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WACC" sheetId="2" r:id="rId5"/>
    <sheet state="visible" name="Q Bank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6">
      <text>
        <t xml:space="preserve">Calculated in Sheet 2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Generally, a companies assets are financed by debt and equity. Step 1 is to determine the market weight of equity and debt.</t>
      </text>
    </comment>
  </commentList>
</comments>
</file>

<file path=xl/sharedStrings.xml><?xml version="1.0" encoding="utf-8"?>
<sst xmlns="http://schemas.openxmlformats.org/spreadsheetml/2006/main" count="158" uniqueCount="136">
  <si>
    <t>Haidilao International Holdings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</si>
  <si>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</si>
  <si>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</si>
  <si>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</si>
  <si>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</si>
  <si>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</si>
  <si>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</si>
  <si>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</si>
  <si>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</si>
  <si>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</si>
  <si>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</si>
  <si>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</si>
  <si>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</si>
  <si>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</si>
  <si>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</si>
  <si>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</si>
  <si>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</si>
  <si>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</si>
  <si>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</si>
  <si>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</si>
  <si>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</si>
  <si>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</si>
  <si>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</si>
  <si>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</si>
  <si>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</si>
  <si>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</si>
  <si>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</si>
  <si>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0071.HK</t>
  </si>
  <si>
    <t>10-K SEC Filing</t>
  </si>
  <si>
    <t>Shares</t>
  </si>
  <si>
    <t>in CNY (7:1, CNY:USD)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</si>
  <si>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</si>
  <si>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</si>
  <si>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</si>
  <si>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</si>
  <si>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</si>
  <si>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</si>
  <si>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</si>
  <si>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</si>
  <si>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</si>
  <si>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</si>
  <si>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</si>
  <si>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</si>
  <si>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</si>
  <si>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</si>
  <si>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</si>
  <si>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</si>
  <si>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</si>
  <si>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</si>
  <si>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</si>
  <si>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</si>
  <si>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(WACC)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</si>
  <si>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</si>
  <si>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</si>
  <si>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</si>
  <si>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</si>
  <si>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</si>
  <si>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</si>
  <si>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</si>
  <si>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</si>
  <si>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</si>
  <si>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</si>
  <si>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</si>
  <si>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</si>
  <si>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</si>
  <si>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</si>
  <si>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</si>
  <si>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</si>
  <si>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</si>
  <si>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</si>
  <si>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</si>
  <si>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</si>
  <si>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</si>
  <si>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</si>
  <si>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</si>
  <si>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</si>
  <si>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</si>
  <si>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</si>
  <si>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</si>
  <si>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</si>
  <si>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</si>
  <si>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WACC Calculations</t>
  </si>
  <si>
    <t>Inputs</t>
  </si>
  <si>
    <t>WACC	=	E	/	(E + D)	*	Cost of Equity	+	D	/	(E + D)	*	Cost of Debt	*	(1 - Tax Rate)</t>
  </si>
  <si>
    <t>Market Premium</t>
  </si>
  <si>
    <t>Beta of Asset</t>
  </si>
  <si>
    <t>Step 1: Weights</t>
  </si>
  <si>
    <t>Important notes</t>
  </si>
  <si>
    <t>Market Value of Equity (Market Cap)</t>
  </si>
  <si>
    <t>in CNY</t>
  </si>
  <si>
    <t xml:space="preserve">Market premium should be around 6% over the long term. </t>
  </si>
  <si>
    <t>Market Value of Debt</t>
  </si>
  <si>
    <t>The beta of the asset defaults to 1.</t>
  </si>
  <si>
    <t>Weight of Equity =</t>
  </si>
  <si>
    <t>E / (E + D)</t>
  </si>
  <si>
    <t>If there is no recorded interest expense (say the net interest is solely recorded positive), can use the market cost of debt.</t>
  </si>
  <si>
    <t>Weight of Debt =</t>
  </si>
  <si>
    <t>D / ( E + D)</t>
  </si>
  <si>
    <t>Step 2: Cost of Equity</t>
  </si>
  <si>
    <t>Cost of Equity = Risk-Free Rate + Beta of Asset * (Expected Return of the Market - Risk-Free Rate)</t>
  </si>
  <si>
    <t>Risk-Free Rate =</t>
  </si>
  <si>
    <t>(alternate link)</t>
  </si>
  <si>
    <t>Asset Beta =</t>
  </si>
  <si>
    <t>Expected Market Return =</t>
  </si>
  <si>
    <t>We require the market premium = 6% so expected market return must be 6% + the risk free rate</t>
  </si>
  <si>
    <t>Cost of Equity =</t>
  </si>
  <si>
    <t>Step 3: Cost of Debt (simplified)</t>
  </si>
  <si>
    <t>Cost of Debt = Interest Expense / Book Value of Debt</t>
  </si>
  <si>
    <t>Interest Expense =</t>
  </si>
  <si>
    <t>Book Value of Debt =</t>
  </si>
  <si>
    <t>Cost of Debt =</t>
  </si>
  <si>
    <t>Step 4: Tax Expense Rate</t>
  </si>
  <si>
    <t>Min: 0%, Max: 100%</t>
  </si>
  <si>
    <t>Tax Rate = Tax Expense / Pretax Income</t>
  </si>
  <si>
    <t>Tax Expense =</t>
  </si>
  <si>
    <t>Pretax Income =</t>
  </si>
  <si>
    <t>Tax Rate =</t>
  </si>
  <si>
    <t>WACC</t>
  </si>
  <si>
    <t>Since it costs money to raise capital, a firm that generates a higher ROIC than it's WACC is creating value.</t>
  </si>
  <si>
    <r>
      <rPr>
        <rFont val="Arial"/>
        <color theme="1"/>
      </rPr>
      <t xml:space="preserve">If the company continues to generate positive </t>
    </r>
    <r>
      <rPr>
        <rFont val="Arial"/>
        <b/>
        <color theme="1"/>
      </rPr>
      <t>excess</t>
    </r>
    <r>
      <rPr>
        <rFont val="Arial"/>
        <color theme="1"/>
      </rPr>
      <t xml:space="preserve"> returns on new investments, it will continue creating value.</t>
    </r>
  </si>
  <si>
    <t>Contrarily, if a firm returns less than the cost of capital will destroy value.</t>
  </si>
  <si>
    <t>Notice that ROIC is calculated as the net income over the working capital of the firm.</t>
  </si>
  <si>
    <t>If a firm generates excess cash &amp; cash equivalents, it's working capital will increase.</t>
  </si>
  <si>
    <t>If the net income does not increase proportionally, the ROIC will subsequently drop.</t>
  </si>
  <si>
    <t>Reference:</t>
  </si>
  <si>
    <t>https://www.gurufocus.com/term/wacc/PDD#:~:text=What%20is%20PDD%20Holdings%20WACC,capital%20needed%20for%20that%20investment.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</si>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</sst>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0.0%"/>
    <numFmt numFmtId="167" formatCode="&quot;$&quot;#,##0"/>
    <numFmt numFmtId="168" formatCode="0.0000"/>
    <numFmt numFmtId="169" formatCode="#,##0.0000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u/>
      <color rgb="FF0000FF"/>
      <name val="Helvetica Neue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i/>
      <color theme="1"/>
      <name val="Arial"/>
      <scheme val="minor"/>
    </font>
    <font>
      <i/>
      <u/>
      <color rgb="FF0000FF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FCFAFA"/>
        <bgColor rgb="FFFCFAFA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3" fontId="4" numFmtId="0" xfId="0" applyAlignment="1" applyBorder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4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5" fontId="3" numFmtId="3" xfId="0" applyAlignment="1" applyBorder="1" applyFill="1" applyFont="1" applyNumberFormat="1">
      <alignment readingOrder="0"/>
    </xf>
    <xf borderId="6" fillId="5" fontId="3" numFmtId="3" xfId="0" applyAlignment="1" applyBorder="1" applyFont="1" applyNumberFormat="1">
      <alignment readingOrder="0"/>
    </xf>
    <xf borderId="5" fillId="5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3" fontId="3" numFmtId="10" xfId="0" applyAlignment="1" applyBorder="1" applyFont="1" applyNumberFormat="1">
      <alignment readingOrder="0"/>
    </xf>
    <xf borderId="0" fillId="3" fontId="3" numFmtId="10" xfId="0" applyAlignment="1" applyFont="1" applyNumberFormat="1">
      <alignment readingOrder="0"/>
    </xf>
    <xf borderId="8" fillId="3" fontId="3" numFmtId="10" xfId="0" applyAlignment="1" applyBorder="1" applyFont="1" applyNumberFormat="1">
      <alignment readingOrder="0"/>
    </xf>
    <xf borderId="7" fillId="5" fontId="3" numFmtId="4" xfId="0" applyAlignment="1" applyBorder="1" applyFont="1" applyNumberFormat="1">
      <alignment readingOrder="0"/>
    </xf>
    <xf borderId="0" fillId="5" fontId="3" numFmtId="3" xfId="0" applyAlignment="1" applyFont="1" applyNumberFormat="1">
      <alignment readingOrder="0"/>
    </xf>
    <xf borderId="8" fillId="5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3" fontId="3" numFmtId="166" xfId="0" applyBorder="1" applyFont="1" applyNumberFormat="1"/>
    <xf borderId="0" fillId="3" fontId="3" numFmtId="166" xfId="0" applyFont="1" applyNumberFormat="1"/>
    <xf borderId="8" fillId="3" fontId="3" numFmtId="166" xfId="0" applyBorder="1" applyFont="1" applyNumberFormat="1"/>
    <xf borderId="0" fillId="2" fontId="3" numFmtId="10" xfId="0" applyFont="1" applyNumberFormat="1"/>
    <xf borderId="7" fillId="3" fontId="3" numFmtId="0" xfId="0" applyBorder="1" applyFont="1"/>
    <xf borderId="0" fillId="3" fontId="3" numFmtId="3" xfId="0" applyFont="1" applyNumberFormat="1"/>
    <xf borderId="8" fillId="3" fontId="3" numFmtId="3" xfId="0" applyBorder="1" applyFont="1" applyNumberFormat="1"/>
    <xf borderId="7" fillId="3" fontId="3" numFmtId="166" xfId="0" applyAlignment="1" applyBorder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5" fontId="3" numFmtId="4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0" fillId="5" fontId="3" numFmtId="3" xfId="0" applyAlignment="1" applyFont="1" applyNumberFormat="1">
      <alignment readingOrder="0" shrinkToFit="0" vertical="top" wrapText="1"/>
    </xf>
    <xf borderId="8" fillId="5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3" fontId="3" numFmtId="0" xfId="0" applyAlignment="1" applyBorder="1" applyFont="1">
      <alignment horizontal="right" readingOrder="0"/>
    </xf>
    <xf borderId="0" fillId="3" fontId="3" numFmtId="3" xfId="0" applyAlignment="1" applyFont="1" applyNumberFormat="1">
      <alignment horizontal="right" readingOrder="0"/>
    </xf>
    <xf borderId="8" fillId="3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5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7" fillId="3" fontId="3" numFmtId="4" xfId="0" applyAlignment="1" applyBorder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 shrinkToFit="0" vertical="top" wrapText="1"/>
    </xf>
    <xf borderId="8" fillId="3" fontId="3" numFmtId="3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3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3" fontId="3" numFmtId="0" xfId="0" applyAlignment="1" applyBorder="1" applyFont="1">
      <alignment readingOrder="0"/>
    </xf>
    <xf borderId="0" fillId="3" fontId="3" numFmtId="9" xfId="0" applyFont="1" applyNumberFormat="1"/>
    <xf borderId="8" fillId="3" fontId="3" numFmtId="9" xfId="0" applyBorder="1" applyFont="1" applyNumberFormat="1"/>
    <xf borderId="0" fillId="2" fontId="3" numFmtId="0" xfId="0" applyFont="1"/>
    <xf borderId="0" fillId="3" fontId="3" numFmtId="4" xfId="0" applyAlignment="1" applyFont="1" applyNumberFormat="1">
      <alignment readingOrder="0"/>
    </xf>
    <xf borderId="8" fillId="3" fontId="3" numFmtId="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2" fillId="3" fontId="3" numFmtId="0" xfId="0" applyAlignment="1" applyBorder="1" applyFont="1">
      <alignment horizontal="right" readingOrder="0"/>
    </xf>
    <xf borderId="9" fillId="5" fontId="3" numFmtId="4" xfId="0" applyAlignment="1" applyBorder="1" applyFont="1" applyNumberFormat="1">
      <alignment readingOrder="0"/>
    </xf>
    <xf borderId="11" fillId="5" fontId="3" numFmtId="3" xfId="0" applyAlignment="1" applyBorder="1" applyFont="1" applyNumberFormat="1">
      <alignment readingOrder="0"/>
    </xf>
    <xf borderId="10" fillId="5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3" fontId="2" numFmtId="165" xfId="0" applyAlignment="1" applyBorder="1" applyFont="1" applyNumberFormat="1">
      <alignment readingOrder="0" vertical="bottom"/>
    </xf>
    <xf borderId="4" fillId="5" fontId="3" numFmtId="4" xfId="0" applyAlignment="1" applyBorder="1" applyFont="1" applyNumberFormat="1">
      <alignment horizontal="right" readingOrder="0"/>
    </xf>
    <xf borderId="6" fillId="5" fontId="3" numFmtId="3" xfId="0" applyAlignment="1" applyBorder="1" applyFont="1" applyNumberFormat="1">
      <alignment horizontal="right" readingOrder="0" vertical="bottom"/>
    </xf>
    <xf borderId="13" fillId="3" fontId="3" numFmtId="165" xfId="0" applyAlignment="1" applyBorder="1" applyFont="1" applyNumberFormat="1">
      <alignment readingOrder="0" vertical="bottom"/>
    </xf>
    <xf borderId="0" fillId="5" fontId="3" numFmtId="3" xfId="0" applyAlignment="1" applyFont="1" applyNumberFormat="1">
      <alignment horizontal="right" readingOrder="0" vertical="bottom"/>
    </xf>
    <xf borderId="13" fillId="3" fontId="2" numFmtId="10" xfId="0" applyAlignment="1" applyBorder="1" applyFont="1" applyNumberFormat="1">
      <alignment readingOrder="0" vertical="bottom"/>
    </xf>
    <xf borderId="9" fillId="5" fontId="3" numFmtId="4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13" fillId="3" fontId="3" numFmtId="4" xfId="0" applyAlignment="1" applyBorder="1" applyFont="1" applyNumberFormat="1">
      <alignment readingOrder="0" vertical="bottom"/>
    </xf>
    <xf borderId="4" fillId="5" fontId="3" numFmtId="2" xfId="0" applyAlignment="1" applyBorder="1" applyFont="1" applyNumberFormat="1">
      <alignment horizontal="right" readingOrder="0"/>
    </xf>
    <xf borderId="6" fillId="5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shrinkToFit="0" vertical="bottom" wrapText="1"/>
    </xf>
    <xf borderId="13" fillId="3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5" fontId="3" numFmtId="2" xfId="0" applyAlignment="1" applyBorder="1" applyFont="1" applyNumberFormat="1">
      <alignment horizontal="right" readingOrder="0"/>
    </xf>
    <xf borderId="14" fillId="3" fontId="3" numFmtId="4" xfId="0" applyAlignment="1" applyBorder="1" applyFont="1" applyNumberFormat="1">
      <alignment readingOrder="0" vertical="bottom"/>
    </xf>
    <xf borderId="0" fillId="2" fontId="1" numFmtId="165" xfId="0" applyFont="1" applyNumberFormat="1"/>
    <xf borderId="0" fillId="2" fontId="3" numFmtId="10" xfId="0" applyAlignment="1" applyFont="1" applyNumberFormat="1">
      <alignment vertical="bottom"/>
    </xf>
    <xf borderId="9" fillId="5" fontId="3" numFmtId="2" xfId="0" applyAlignment="1" applyBorder="1" applyFont="1" applyNumberFormat="1">
      <alignment horizontal="right" readingOrder="0"/>
    </xf>
    <xf borderId="12" fillId="3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3" fontId="3" numFmtId="10" xfId="0" applyAlignment="1" applyBorder="1" applyFont="1" applyNumberFormat="1">
      <alignment readingOrder="0" shrinkToFit="0" vertical="bottom" wrapText="1"/>
    </xf>
    <xf borderId="13" fillId="3" fontId="3" numFmtId="165" xfId="0" applyAlignment="1" applyBorder="1" applyFont="1" applyNumberFormat="1">
      <alignment readingOrder="0" shrinkToFit="0" vertical="bottom" wrapText="1"/>
    </xf>
    <xf borderId="13" fillId="3" fontId="3" numFmtId="3" xfId="0" applyAlignment="1" applyBorder="1" applyFont="1" applyNumberFormat="1">
      <alignment readingOrder="0" shrinkToFit="0" vertical="bottom" wrapText="1"/>
    </xf>
    <xf borderId="13" fillId="3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14" fillId="3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3" fontId="2" numFmtId="0" xfId="0" applyAlignment="1" applyBorder="1" applyFont="1">
      <alignment horizontal="left" readingOrder="0" vertical="bottom"/>
    </xf>
    <xf borderId="3" fillId="3" fontId="2" numFmtId="10" xfId="0" applyAlignment="1" applyBorder="1" applyFont="1" applyNumberFormat="1">
      <alignment horizontal="right" vertical="bottom"/>
    </xf>
    <xf borderId="3" fillId="3" fontId="2" numFmtId="165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horizontal="right" readingOrder="0" shrinkToFit="0" vertical="top" wrapText="1"/>
    </xf>
    <xf borderId="2" fillId="3" fontId="2" numFmtId="0" xfId="0" applyAlignment="1" applyBorder="1" applyFont="1">
      <alignment horizontal="right" readingOrder="0" shrinkToFit="0" vertical="top" wrapText="1"/>
    </xf>
    <xf borderId="12" fillId="3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3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3" fontId="3" numFmtId="167" xfId="0" applyAlignment="1" applyBorder="1" applyFont="1" applyNumberFormat="1">
      <alignment horizontal="right" readingOrder="0" vertical="bottom"/>
    </xf>
    <xf borderId="6" fillId="3" fontId="3" numFmtId="10" xfId="0" applyAlignment="1" applyBorder="1" applyFont="1" applyNumberFormat="1">
      <alignment horizontal="right" readingOrder="0" vertical="bottom"/>
    </xf>
    <xf borderId="6" fillId="3" fontId="3" numFmtId="167" xfId="0" applyAlignment="1" applyBorder="1" applyFont="1" applyNumberFormat="1">
      <alignment horizontal="right" readingOrder="0" vertical="bottom"/>
    </xf>
    <xf borderId="6" fillId="3" fontId="3" numFmtId="10" xfId="0" applyAlignment="1" applyBorder="1" applyFont="1" applyNumberFormat="1">
      <alignment readingOrder="0" vertical="bottom"/>
    </xf>
    <xf borderId="6" fillId="3" fontId="3" numFmtId="167" xfId="0" applyAlignment="1" applyBorder="1" applyFont="1" applyNumberFormat="1">
      <alignment readingOrder="0" shrinkToFit="0" vertical="top" wrapText="1"/>
    </xf>
    <xf borderId="5" fillId="3" fontId="3" numFmtId="167" xfId="0" applyAlignment="1" applyBorder="1" applyFont="1" applyNumberFormat="1">
      <alignment readingOrder="0" shrinkToFit="0" vertical="top" wrapText="1"/>
    </xf>
    <xf borderId="7" fillId="3" fontId="3" numFmtId="167" xfId="0" applyAlignment="1" applyBorder="1" applyFont="1" applyNumberFormat="1">
      <alignment horizontal="right" readingOrder="0" vertical="bottom"/>
    </xf>
    <xf borderId="0" fillId="3" fontId="3" numFmtId="10" xfId="0" applyAlignment="1" applyFont="1" applyNumberFormat="1">
      <alignment horizontal="right" readingOrder="0" vertical="bottom"/>
    </xf>
    <xf borderId="0" fillId="3" fontId="3" numFmtId="167" xfId="0" applyAlignment="1" applyFont="1" applyNumberFormat="1">
      <alignment horizontal="right" vertical="bottom"/>
    </xf>
    <xf borderId="0" fillId="3" fontId="3" numFmtId="10" xfId="0" applyAlignment="1" applyFont="1" applyNumberFormat="1">
      <alignment readingOrder="0" vertical="bottom"/>
    </xf>
    <xf borderId="0" fillId="3" fontId="3" numFmtId="167" xfId="0" applyAlignment="1" applyFont="1" applyNumberFormat="1">
      <alignment readingOrder="0" shrinkToFit="0" vertical="top" wrapText="1"/>
    </xf>
    <xf borderId="8" fillId="3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3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3" fontId="3" numFmtId="167" xfId="0" applyAlignment="1" applyBorder="1" applyFont="1" applyNumberFormat="1">
      <alignment horizontal="right" vertical="bottom"/>
    </xf>
    <xf borderId="0" fillId="3" fontId="3" numFmtId="10" xfId="0" applyAlignment="1" applyFont="1" applyNumberFormat="1">
      <alignment horizontal="right" vertical="bottom"/>
    </xf>
    <xf borderId="13" fillId="3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3" fontId="7" numFmtId="165" xfId="0" applyAlignment="1" applyBorder="1" applyFont="1" applyNumberFormat="1">
      <alignment horizontal="right" readingOrder="0"/>
    </xf>
    <xf borderId="14" fillId="3" fontId="2" numFmtId="10" xfId="0" applyAlignment="1" applyBorder="1" applyFont="1" applyNumberFormat="1">
      <alignment vertical="bottom"/>
    </xf>
    <xf borderId="0" fillId="3" fontId="3" numFmtId="167" xfId="0" applyFont="1" applyNumberFormat="1"/>
    <xf borderId="8" fillId="3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3" fontId="3" numFmtId="10" xfId="0" applyAlignment="1" applyFont="1" applyNumberFormat="1">
      <alignment vertical="bottom"/>
    </xf>
    <xf borderId="13" fillId="3" fontId="3" numFmtId="10" xfId="0" applyBorder="1" applyFont="1" applyNumberFormat="1"/>
    <xf borderId="13" fillId="3" fontId="3" numFmtId="10" xfId="0" applyAlignment="1" applyBorder="1" applyFont="1" applyNumberFormat="1">
      <alignment readingOrder="0"/>
    </xf>
    <xf borderId="13" fillId="3" fontId="3" numFmtId="165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4" fillId="4" fontId="3" numFmtId="0" xfId="0" applyAlignment="1" applyBorder="1" applyFont="1">
      <alignment readingOrder="0" shrinkToFit="0" vertical="center" wrapText="1"/>
    </xf>
    <xf borderId="9" fillId="3" fontId="3" numFmtId="167" xfId="0" applyAlignment="1" applyBorder="1" applyFont="1" applyNumberFormat="1">
      <alignment horizontal="right" readingOrder="0" vertical="bottom"/>
    </xf>
    <xf borderId="11" fillId="3" fontId="3" numFmtId="10" xfId="0" applyAlignment="1" applyBorder="1" applyFont="1" applyNumberFormat="1">
      <alignment horizontal="right" readingOrder="0" vertical="bottom"/>
    </xf>
    <xf borderId="11" fillId="3" fontId="3" numFmtId="167" xfId="0" applyAlignment="1" applyBorder="1" applyFont="1" applyNumberFormat="1">
      <alignment horizontal="right" vertical="bottom"/>
    </xf>
    <xf borderId="11" fillId="3" fontId="3" numFmtId="10" xfId="0" applyAlignment="1" applyBorder="1" applyFont="1" applyNumberFormat="1">
      <alignment vertical="bottom"/>
    </xf>
    <xf borderId="11" fillId="3" fontId="3" numFmtId="167" xfId="0" applyAlignment="1" applyBorder="1" applyFont="1" applyNumberFormat="1">
      <alignment readingOrder="0" shrinkToFit="0" vertical="top" wrapText="1"/>
    </xf>
    <xf borderId="10" fillId="3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3" fontId="2" numFmtId="165" xfId="0" applyAlignment="1" applyBorder="1" applyFont="1" applyNumberFormat="1">
      <alignment horizontal="right" readingOrder="0" vertical="bottom"/>
    </xf>
    <xf borderId="6" fillId="3" fontId="3" numFmtId="167" xfId="0" applyAlignment="1" applyBorder="1" applyFont="1" applyNumberFormat="1">
      <alignment horizontal="right" vertical="bottom"/>
    </xf>
    <xf borderId="6" fillId="3" fontId="3" numFmtId="167" xfId="0" applyAlignment="1" applyBorder="1" applyFont="1" applyNumberFormat="1">
      <alignment vertical="bottom"/>
    </xf>
    <xf borderId="5" fillId="3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0" fillId="3" fontId="3" numFmtId="167" xfId="0" applyAlignment="1" applyFont="1" applyNumberFormat="1">
      <alignment vertical="bottom"/>
    </xf>
    <xf borderId="0" fillId="2" fontId="1" numFmtId="167" xfId="0" applyFont="1" applyNumberFormat="1"/>
    <xf borderId="0" fillId="2" fontId="2" numFmtId="10" xfId="0" applyFont="1" applyNumberFormat="1"/>
    <xf borderId="11" fillId="3" fontId="3" numFmtId="167" xfId="0" applyAlignment="1" applyBorder="1" applyFont="1" applyNumberFormat="1">
      <alignment vertical="bottom"/>
    </xf>
    <xf borderId="11" fillId="3" fontId="3" numFmtId="167" xfId="0" applyBorder="1" applyFont="1" applyNumberFormat="1"/>
    <xf borderId="10" fillId="3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1" fillId="3" fontId="8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0" fillId="2" fontId="2" numFmtId="0" xfId="0" applyAlignment="1" applyFont="1">
      <alignment readingOrder="0" shrinkToFit="0" vertical="top" wrapText="1"/>
    </xf>
    <xf borderId="4" fillId="4" fontId="10" numFmtId="0" xfId="0" applyAlignment="1" applyBorder="1" applyFont="1">
      <alignment horizontal="center" readingOrder="0" vertical="center"/>
    </xf>
    <xf borderId="6" fillId="0" fontId="5" numFmtId="0" xfId="0" applyBorder="1" applyFont="1"/>
    <xf borderId="0" fillId="2" fontId="3" numFmtId="0" xfId="0" applyAlignment="1" applyFon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11" fillId="0" fontId="5" numFmtId="0" xfId="0" applyBorder="1" applyFont="1"/>
    <xf borderId="0" fillId="2" fontId="1" numFmtId="4" xfId="0" applyFont="1" applyNumberFormat="1"/>
    <xf borderId="0" fillId="2" fontId="1" numFmtId="3" xfId="0" applyFont="1" applyNumberFormat="1"/>
    <xf borderId="0" fillId="2" fontId="9" numFmtId="0" xfId="0" applyAlignment="1" applyFont="1">
      <alignment readingOrder="0"/>
    </xf>
    <xf borderId="0" fillId="2" fontId="1" numFmtId="166" xfId="0" applyFont="1" applyNumberFormat="1"/>
    <xf borderId="0" fillId="2" fontId="1" numFmtId="0" xfId="0" applyAlignment="1" applyFont="1">
      <alignment readingOrder="0"/>
    </xf>
    <xf borderId="0" fillId="2" fontId="1" numFmtId="165" xfId="0" applyFont="1" applyNumberFormat="1"/>
    <xf borderId="0" fillId="2" fontId="11" numFmtId="0" xfId="0" applyAlignment="1" applyFont="1">
      <alignment horizontal="right" readingOrder="0"/>
    </xf>
    <xf borderId="0" fillId="2" fontId="1" numFmtId="4" xfId="0" applyAlignment="1" applyFont="1" applyNumberFormat="1">
      <alignment readingOrder="0"/>
    </xf>
    <xf borderId="0" fillId="2" fontId="9" numFmtId="168" xfId="0" applyAlignment="1" applyFont="1" applyNumberFormat="1">
      <alignment horizontal="left"/>
    </xf>
    <xf borderId="0" fillId="2" fontId="1" numFmtId="3" xfId="0" applyAlignment="1" applyFont="1" applyNumberFormat="1">
      <alignment readingOrder="0"/>
    </xf>
    <xf borderId="0" fillId="2" fontId="9" numFmtId="169" xfId="0" applyAlignment="1" applyFont="1" applyNumberFormat="1">
      <alignment horizontal="left"/>
    </xf>
    <xf borderId="0" fillId="2" fontId="1" numFmtId="2" xfId="0" applyFont="1" applyNumberFormat="1"/>
    <xf borderId="0" fillId="2" fontId="1" numFmtId="9" xfId="0" applyFont="1" applyNumberFormat="1"/>
    <xf borderId="0" fillId="2" fontId="1" numFmtId="10" xfId="0" applyAlignment="1" applyFont="1" applyNumberFormat="1">
      <alignment horizontal="left"/>
    </xf>
    <xf borderId="0" fillId="2" fontId="1" numFmtId="0" xfId="0" applyAlignment="1" applyFont="1">
      <alignment horizontal="left" readingOrder="0"/>
    </xf>
    <xf borderId="0" fillId="2" fontId="1" numFmtId="10" xfId="0" applyAlignment="1" applyFont="1" applyNumberFormat="1">
      <alignment horizontal="left" readingOrder="0"/>
    </xf>
    <xf borderId="0" fillId="2" fontId="11" numFmtId="0" xfId="0" applyAlignment="1" applyFont="1">
      <alignment readingOrder="0" shrinkToFit="0" vertical="top" wrapText="1"/>
    </xf>
    <xf borderId="0" fillId="2" fontId="9" numFmtId="10" xfId="0" applyFont="1" applyNumberFormat="1"/>
    <xf borderId="0" fillId="2" fontId="1" numFmtId="2" xfId="0" applyAlignment="1" applyFont="1" applyNumberFormat="1">
      <alignment readingOrder="0"/>
    </xf>
    <xf borderId="0" fillId="2" fontId="1" numFmtId="49" xfId="0" applyFont="1" applyNumberFormat="1"/>
    <xf borderId="0" fillId="2" fontId="11" numFmtId="3" xfId="0" applyAlignment="1" applyFont="1" applyNumberFormat="1">
      <alignment readingOrder="0"/>
    </xf>
    <xf borderId="0" fillId="2" fontId="9" numFmtId="165" xfId="0" applyAlignment="1" applyFont="1" applyNumberFormat="1">
      <alignment readingOrder="0"/>
    </xf>
    <xf borderId="0" fillId="2" fontId="9" numFmtId="0" xfId="0" applyFont="1"/>
    <xf borderId="0" fillId="2" fontId="1" numFmtId="168" xfId="0" applyFont="1" applyNumberFormat="1"/>
    <xf borderId="0" fillId="2" fontId="12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center"/>
    </xf>
    <xf borderId="1" fillId="3" fontId="15" numFmtId="0" xfId="0" applyAlignment="1" applyBorder="1" applyFont="1">
      <alignment horizontal="left" readingOrder="0"/>
    </xf>
    <xf borderId="3" fillId="3" fontId="13" numFmtId="0" xfId="0" applyAlignment="1" applyBorder="1" applyFont="1">
      <alignment vertical="center"/>
    </xf>
    <xf borderId="2" fillId="3" fontId="13" numFmtId="0" xfId="0" applyAlignment="1" applyBorder="1" applyFont="1">
      <alignment vertical="center"/>
    </xf>
    <xf borderId="0" fillId="2" fontId="14" numFmtId="0" xfId="0" applyAlignment="1" applyFont="1">
      <alignment vertical="bottom"/>
    </xf>
    <xf borderId="0" fillId="2" fontId="14" numFmtId="10" xfId="0" applyAlignment="1" applyFont="1" applyNumberFormat="1">
      <alignment shrinkToFit="0" vertical="bottom" wrapText="1"/>
    </xf>
    <xf borderId="0" fillId="2" fontId="13" numFmtId="0" xfId="0" applyAlignment="1" applyFont="1">
      <alignment readingOrder="0" shrinkToFit="0" vertical="bottom" wrapText="1"/>
    </xf>
    <xf borderId="0" fillId="5" fontId="14" numFmtId="10" xfId="0" applyAlignment="1" applyFont="1" applyNumberFormat="1">
      <alignment shrinkToFit="0" vertical="bottom" wrapText="0"/>
    </xf>
    <xf borderId="0" fillId="2" fontId="14" numFmtId="10" xfId="0" applyAlignment="1" applyFont="1" applyNumberFormat="1">
      <alignment shrinkToFit="0" vertical="bottom" wrapText="0"/>
    </xf>
    <xf borderId="0" fillId="2" fontId="14" numFmtId="0" xfId="0" applyAlignment="1" applyFont="1">
      <alignment shrinkToFit="0" vertical="bottom" wrapText="1"/>
    </xf>
    <xf borderId="0" fillId="5" fontId="14" numFmtId="0" xfId="0" applyAlignment="1" applyFont="1">
      <alignment shrinkToFit="0" vertical="bottom" wrapText="1"/>
    </xf>
    <xf borderId="0" fillId="2" fontId="14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447609163"/>
        <c:axId val="365296199"/>
      </c:lineChart>
      <c:catAx>
        <c:axId val="447609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5296199"/>
      </c:catAx>
      <c:valAx>
        <c:axId val="365296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6091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Valuation!$G$15:$K$15</c:f>
              <c:numCache/>
            </c:numRef>
          </c:val>
          <c:smooth val="1"/>
        </c:ser>
        <c:axId val="390627682"/>
        <c:axId val="1246133477"/>
      </c:lineChart>
      <c:catAx>
        <c:axId val="390627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6133477"/>
      </c:catAx>
      <c:valAx>
        <c:axId val="1246133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6276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Valuation!$G$23:$K$23</c:f>
              <c:numCache/>
            </c:numRef>
          </c:val>
          <c:smooth val="1"/>
        </c:ser>
        <c:axId val="1032756397"/>
        <c:axId val="1720064130"/>
      </c:lineChart>
      <c:catAx>
        <c:axId val="1032756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0064130"/>
      </c:catAx>
      <c:valAx>
        <c:axId val="1720064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7563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Valuation!$G$37:$K$37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971223124"/>
        <c:axId val="255241234"/>
      </c:lineChart>
      <c:catAx>
        <c:axId val="971223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241234"/>
      </c:catAx>
      <c:valAx>
        <c:axId val="255241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223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77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77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94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94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gurufocus.com/term/wacc/PDD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6.25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45677.0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/>
      <c r="C4" s="19"/>
      <c r="D4" s="20"/>
      <c r="E4" s="13" t="s">
        <v>8</v>
      </c>
      <c r="F4" s="21"/>
      <c r="G4" s="22">
        <v>2.8614255E7</v>
      </c>
      <c r="H4" s="22">
        <v>3.9096727E7</v>
      </c>
      <c r="I4" s="22">
        <v>3.1038634E7</v>
      </c>
      <c r="J4" s="22">
        <v>4.1453348E7</v>
      </c>
      <c r="K4" s="23"/>
      <c r="L4" s="16"/>
      <c r="M4" s="11"/>
      <c r="N4" s="11"/>
    </row>
    <row r="5">
      <c r="A5" s="3"/>
      <c r="B5" s="24"/>
      <c r="C5" s="25"/>
      <c r="D5" s="20"/>
      <c r="E5" s="26" t="s">
        <v>9</v>
      </c>
      <c r="F5" s="27"/>
      <c r="G5" s="28"/>
      <c r="H5" s="28">
        <f t="shared" ref="H5:K5" si="1">(H4-G4)/G4</f>
        <v>0.3663374077</v>
      </c>
      <c r="I5" s="28">
        <f t="shared" si="1"/>
        <v>-0.2061065879</v>
      </c>
      <c r="J5" s="28">
        <f t="shared" si="1"/>
        <v>0.3355403463</v>
      </c>
      <c r="K5" s="29">
        <f t="shared" si="1"/>
        <v>-1</v>
      </c>
      <c r="L5" s="16"/>
      <c r="M5" s="11"/>
      <c r="N5" s="11"/>
    </row>
    <row r="6">
      <c r="A6" s="3"/>
      <c r="B6" s="24"/>
      <c r="C6" s="25"/>
      <c r="D6" s="6"/>
      <c r="E6" s="13" t="s">
        <v>10</v>
      </c>
      <c r="F6" s="30"/>
      <c r="G6" s="31">
        <v>2.1937975E7</v>
      </c>
      <c r="H6" s="31">
        <v>3.1193519E7</v>
      </c>
      <c r="I6" s="31">
        <v>2.314618E7</v>
      </c>
      <c r="J6" s="31">
        <v>2.9986058E7</v>
      </c>
      <c r="K6" s="32"/>
      <c r="L6" s="16"/>
      <c r="M6" s="11"/>
      <c r="N6" s="11"/>
    </row>
    <row r="7">
      <c r="A7" s="3"/>
      <c r="B7" s="24"/>
      <c r="C7" s="25"/>
      <c r="D7" s="33"/>
      <c r="E7" s="13" t="s">
        <v>11</v>
      </c>
      <c r="F7" s="34"/>
      <c r="G7" s="35">
        <f t="shared" ref="G7:K7" si="2">(G4-G6)/G4</f>
        <v>0.2333200707</v>
      </c>
      <c r="H7" s="35">
        <f t="shared" si="2"/>
        <v>0.2021450031</v>
      </c>
      <c r="I7" s="35">
        <f t="shared" si="2"/>
        <v>0.2542783938</v>
      </c>
      <c r="J7" s="35">
        <f t="shared" si="2"/>
        <v>0.2766312144</v>
      </c>
      <c r="K7" s="36" t="str">
        <f t="shared" si="2"/>
        <v>#DIV/0!</v>
      </c>
      <c r="L7" s="37"/>
      <c r="M7" s="17"/>
      <c r="N7" s="17"/>
    </row>
    <row r="8">
      <c r="A8" s="1"/>
      <c r="B8" s="24"/>
      <c r="C8" s="25"/>
      <c r="D8" s="6"/>
      <c r="E8" s="13" t="s">
        <v>12</v>
      </c>
      <c r="F8" s="38"/>
      <c r="G8" s="39">
        <f t="shared" ref="G8:K8" si="3">G4-G6</f>
        <v>6676280</v>
      </c>
      <c r="H8" s="39">
        <f t="shared" si="3"/>
        <v>7903208</v>
      </c>
      <c r="I8" s="39">
        <f t="shared" si="3"/>
        <v>7892454</v>
      </c>
      <c r="J8" s="39">
        <f t="shared" si="3"/>
        <v>11467290</v>
      </c>
      <c r="K8" s="40">
        <f t="shared" si="3"/>
        <v>0</v>
      </c>
      <c r="L8" s="6"/>
      <c r="M8" s="11"/>
      <c r="N8" s="11"/>
    </row>
    <row r="9">
      <c r="A9" s="1"/>
      <c r="B9" s="24"/>
      <c r="C9" s="25"/>
      <c r="D9" s="6"/>
      <c r="E9" s="13" t="s">
        <v>13</v>
      </c>
      <c r="F9" s="41"/>
      <c r="G9" s="42"/>
      <c r="H9" s="35">
        <f t="shared" ref="H9:K9" si="4">(H8-G8)/G8</f>
        <v>0.1837741976</v>
      </c>
      <c r="I9" s="35">
        <f t="shared" si="4"/>
        <v>-0.00136071327</v>
      </c>
      <c r="J9" s="35">
        <f t="shared" si="4"/>
        <v>0.4529435332</v>
      </c>
      <c r="K9" s="36">
        <f t="shared" si="4"/>
        <v>-1</v>
      </c>
      <c r="L9" s="6"/>
      <c r="M9" s="11"/>
      <c r="N9" s="11"/>
    </row>
    <row r="10">
      <c r="A10" s="3"/>
      <c r="B10" s="24"/>
      <c r="C10" s="25"/>
      <c r="D10" s="6"/>
      <c r="E10" s="43" t="s">
        <v>14</v>
      </c>
      <c r="F10" s="44"/>
      <c r="G10" s="31">
        <v>230278.0</v>
      </c>
      <c r="H10" s="45">
        <v>250999.0</v>
      </c>
      <c r="I10" s="45">
        <v>402101.0</v>
      </c>
      <c r="J10" s="46">
        <v>451485.0</v>
      </c>
      <c r="K10" s="47"/>
      <c r="L10" s="6"/>
      <c r="M10" s="11"/>
      <c r="N10" s="11"/>
    </row>
    <row r="11">
      <c r="A11" s="1"/>
      <c r="B11" s="24"/>
      <c r="C11" s="25"/>
      <c r="D11" s="48"/>
      <c r="E11" s="43" t="s">
        <v>15</v>
      </c>
      <c r="F11" s="30"/>
      <c r="G11" s="31">
        <v>93409.0</v>
      </c>
      <c r="H11" s="31">
        <v>125268.0</v>
      </c>
      <c r="I11" s="31">
        <v>140994.0</v>
      </c>
      <c r="J11" s="46">
        <v>240446.0</v>
      </c>
      <c r="K11" s="47"/>
      <c r="L11" s="6"/>
      <c r="M11" s="11"/>
      <c r="N11" s="11"/>
    </row>
    <row r="12">
      <c r="A12" s="1"/>
      <c r="B12" s="24"/>
      <c r="C12" s="25"/>
      <c r="D12" s="48"/>
      <c r="E12" s="43" t="s">
        <v>16</v>
      </c>
      <c r="F12" s="30"/>
      <c r="G12" s="31">
        <v>1426506.0</v>
      </c>
      <c r="H12" s="31">
        <v>1932720.0</v>
      </c>
      <c r="I12" s="31">
        <v>1377168.0</v>
      </c>
      <c r="J12" s="46">
        <v>1619628.0</v>
      </c>
      <c r="K12" s="47"/>
      <c r="L12" s="6"/>
      <c r="M12" s="11"/>
      <c r="N12" s="11"/>
    </row>
    <row r="13">
      <c r="A13" s="1"/>
      <c r="B13" s="24"/>
      <c r="C13" s="25"/>
      <c r="D13" s="49"/>
      <c r="E13" s="50" t="s">
        <v>17</v>
      </c>
      <c r="F13" s="51"/>
      <c r="G13" s="52">
        <f t="shared" ref="G13:K13" si="5">SUM(G10:G12)</f>
        <v>1750193</v>
      </c>
      <c r="H13" s="52">
        <f t="shared" si="5"/>
        <v>2308987</v>
      </c>
      <c r="I13" s="52">
        <f t="shared" si="5"/>
        <v>1920263</v>
      </c>
      <c r="J13" s="52">
        <f t="shared" si="5"/>
        <v>2311559</v>
      </c>
      <c r="K13" s="53">
        <f t="shared" si="5"/>
        <v>0</v>
      </c>
      <c r="L13" s="6"/>
      <c r="M13" s="11"/>
      <c r="N13" s="11"/>
    </row>
    <row r="14">
      <c r="A14" s="1"/>
      <c r="B14" s="24"/>
      <c r="C14" s="25"/>
      <c r="D14" s="54"/>
      <c r="E14" s="50" t="s">
        <v>18</v>
      </c>
      <c r="F14" s="38"/>
      <c r="G14" s="39">
        <f t="shared" ref="G14:K14" si="6">G4-G6-G13</f>
        <v>4926087</v>
      </c>
      <c r="H14" s="39">
        <f t="shared" si="6"/>
        <v>5594221</v>
      </c>
      <c r="I14" s="39">
        <f t="shared" si="6"/>
        <v>5972191</v>
      </c>
      <c r="J14" s="39">
        <f t="shared" si="6"/>
        <v>9155731</v>
      </c>
      <c r="K14" s="40">
        <f t="shared" si="6"/>
        <v>0</v>
      </c>
      <c r="L14" s="6"/>
      <c r="M14" s="11"/>
      <c r="N14" s="11"/>
    </row>
    <row r="15">
      <c r="A15" s="1"/>
      <c r="B15" s="24"/>
      <c r="C15" s="25"/>
      <c r="D15" s="55"/>
      <c r="E15" s="43" t="s">
        <v>19</v>
      </c>
      <c r="F15" s="34"/>
      <c r="G15" s="35">
        <f t="shared" ref="G15:K15" si="7">G14/G4</f>
        <v>0.1721549976</v>
      </c>
      <c r="H15" s="35">
        <f t="shared" si="7"/>
        <v>0.1430866834</v>
      </c>
      <c r="I15" s="35">
        <f t="shared" si="7"/>
        <v>0.1924115282</v>
      </c>
      <c r="J15" s="35">
        <f t="shared" si="7"/>
        <v>0.220868312</v>
      </c>
      <c r="K15" s="36" t="str">
        <f t="shared" si="7"/>
        <v>#DIV/0!</v>
      </c>
      <c r="L15" s="6"/>
      <c r="M15" s="11"/>
      <c r="N15" s="11"/>
    </row>
    <row r="16">
      <c r="A16" s="1"/>
      <c r="B16" s="24"/>
      <c r="C16" s="25"/>
      <c r="D16" s="55"/>
      <c r="E16" s="50" t="s">
        <v>20</v>
      </c>
      <c r="F16" s="56"/>
      <c r="G16" s="31">
        <v>41289.0</v>
      </c>
      <c r="H16" s="31">
        <v>27783.0</v>
      </c>
      <c r="I16" s="31">
        <v>115681.0</v>
      </c>
      <c r="J16" s="31">
        <v>326889.0</v>
      </c>
      <c r="K16" s="32"/>
      <c r="L16" s="6"/>
      <c r="M16" s="11"/>
      <c r="N16" s="11"/>
    </row>
    <row r="17">
      <c r="A17" s="1"/>
      <c r="B17" s="24"/>
      <c r="C17" s="25"/>
      <c r="D17" s="55"/>
      <c r="E17" s="43" t="s">
        <v>21</v>
      </c>
      <c r="F17" s="56"/>
      <c r="G17" s="31">
        <f>-445559+-92570</f>
        <v>-538129</v>
      </c>
      <c r="H17" s="31">
        <f>-582742-92180</f>
        <v>-674922</v>
      </c>
      <c r="I17" s="31">
        <f>-473879-78484</f>
        <v>-552363</v>
      </c>
      <c r="J17" s="31">
        <f>-351430-102929</f>
        <v>-454359</v>
      </c>
      <c r="K17" s="32"/>
      <c r="L17" s="6"/>
      <c r="M17" s="11"/>
      <c r="N17" s="11"/>
    </row>
    <row r="18">
      <c r="A18" s="1"/>
      <c r="B18" s="24"/>
      <c r="C18" s="25"/>
      <c r="D18" s="57"/>
      <c r="E18" s="50" t="s">
        <v>22</v>
      </c>
      <c r="F18" s="58"/>
      <c r="G18" s="59">
        <f t="shared" ref="G18:J18" si="8">G14+G16+G17</f>
        <v>4429247</v>
      </c>
      <c r="H18" s="59">
        <f t="shared" si="8"/>
        <v>4947082</v>
      </c>
      <c r="I18" s="59">
        <f t="shared" si="8"/>
        <v>5535509</v>
      </c>
      <c r="J18" s="60">
        <f t="shared" si="8"/>
        <v>9028261</v>
      </c>
      <c r="K18" s="61">
        <v>9028261.0</v>
      </c>
      <c r="L18" s="62"/>
      <c r="M18" s="63"/>
      <c r="N18" s="63"/>
      <c r="O18" s="64"/>
    </row>
    <row r="19">
      <c r="A19" s="1"/>
      <c r="B19" s="24"/>
      <c r="C19" s="25"/>
      <c r="D19" s="65"/>
      <c r="E19" s="50" t="s">
        <v>23</v>
      </c>
      <c r="F19" s="30"/>
      <c r="G19" s="31">
        <v>425596.0</v>
      </c>
      <c r="H19" s="31">
        <v>177702.0</v>
      </c>
      <c r="I19" s="31">
        <v>480335.0</v>
      </c>
      <c r="J19" s="31">
        <v>1337673.0</v>
      </c>
      <c r="K19" s="32">
        <v>1337673.0</v>
      </c>
      <c r="L19" s="62"/>
      <c r="M19" s="63"/>
      <c r="N19" s="63"/>
      <c r="O19" s="64"/>
    </row>
    <row r="20">
      <c r="A20" s="1"/>
      <c r="B20" s="24"/>
      <c r="C20" s="25"/>
      <c r="D20" s="65"/>
      <c r="E20" s="50" t="s">
        <v>24</v>
      </c>
      <c r="F20" s="66"/>
      <c r="G20" s="39">
        <f t="shared" ref="G20:K20" si="9">G18-G19</f>
        <v>4003651</v>
      </c>
      <c r="H20" s="39">
        <f t="shared" si="9"/>
        <v>4769380</v>
      </c>
      <c r="I20" s="39">
        <f t="shared" si="9"/>
        <v>5055174</v>
      </c>
      <c r="J20" s="39">
        <f t="shared" si="9"/>
        <v>7690588</v>
      </c>
      <c r="K20" s="40">
        <f t="shared" si="9"/>
        <v>7690588</v>
      </c>
      <c r="L20" s="62"/>
      <c r="M20" s="67"/>
      <c r="N20" s="63"/>
      <c r="O20" s="64"/>
    </row>
    <row r="21">
      <c r="A21" s="3"/>
      <c r="B21" s="68"/>
      <c r="C21" s="69"/>
      <c r="D21" s="6"/>
      <c r="E21" s="43" t="s">
        <v>25</v>
      </c>
      <c r="F21" s="70"/>
      <c r="G21" s="28"/>
      <c r="H21" s="71">
        <f>(H20-G20)/G20</f>
        <v>0.1912576796</v>
      </c>
      <c r="I21" s="71">
        <f t="shared" ref="I21:K21" si="10">(I20-H20)/ABS(H20)</f>
        <v>0.05992267339</v>
      </c>
      <c r="J21" s="71">
        <f t="shared" si="10"/>
        <v>0.5213300274</v>
      </c>
      <c r="K21" s="72">
        <f t="shared" si="10"/>
        <v>0</v>
      </c>
      <c r="L21" s="62"/>
      <c r="M21" s="63"/>
      <c r="N21" s="63"/>
      <c r="O21" s="64"/>
    </row>
    <row r="22">
      <c r="A22" s="3"/>
      <c r="B22" s="6"/>
      <c r="C22" s="73"/>
      <c r="D22" s="57"/>
      <c r="E22" s="50" t="s">
        <v>26</v>
      </c>
      <c r="F22" s="58"/>
      <c r="G22" s="74">
        <f t="shared" ref="G22:K22" si="11">G20/G23</f>
        <v>0.7554058491</v>
      </c>
      <c r="H22" s="74">
        <f t="shared" si="11"/>
        <v>0.8978501506</v>
      </c>
      <c r="I22" s="74">
        <f t="shared" si="11"/>
        <v>0.9335501385</v>
      </c>
      <c r="J22" s="74">
        <f t="shared" si="11"/>
        <v>1.420237858</v>
      </c>
      <c r="K22" s="75">
        <f t="shared" si="11"/>
        <v>1.420237858</v>
      </c>
      <c r="L22" s="62"/>
      <c r="M22" s="63"/>
      <c r="N22" s="63"/>
      <c r="O22" s="64"/>
    </row>
    <row r="23">
      <c r="A23" s="1"/>
      <c r="B23" s="76" t="s">
        <v>27</v>
      </c>
      <c r="C23" s="77" t="s">
        <v>28</v>
      </c>
      <c r="D23" s="6"/>
      <c r="E23" s="50" t="s">
        <v>29</v>
      </c>
      <c r="F23" s="78"/>
      <c r="G23" s="79">
        <v>5300000.0</v>
      </c>
      <c r="H23" s="79">
        <v>5312000.0</v>
      </c>
      <c r="I23" s="79">
        <v>5415000.0</v>
      </c>
      <c r="J23" s="79">
        <v>5415000.0</v>
      </c>
      <c r="K23" s="80">
        <v>5415000.0</v>
      </c>
      <c r="L23" s="62"/>
      <c r="M23" s="63"/>
      <c r="N23" s="63"/>
      <c r="O23" s="64"/>
    </row>
    <row r="24">
      <c r="A24" s="1"/>
      <c r="B24" s="81" t="s">
        <v>30</v>
      </c>
      <c r="C24" s="6"/>
      <c r="D24" s="6"/>
      <c r="E24" s="26"/>
      <c r="F24" s="82"/>
      <c r="G24" s="82"/>
      <c r="H24" s="37"/>
      <c r="I24" s="37"/>
      <c r="J24" s="37"/>
      <c r="K24" s="6"/>
      <c r="L24" s="62"/>
      <c r="M24" s="63"/>
      <c r="N24" s="63"/>
      <c r="O24" s="64"/>
    </row>
    <row r="25">
      <c r="A25" s="1"/>
      <c r="B25" s="26" t="s">
        <v>31</v>
      </c>
      <c r="C25" s="83">
        <f>8.91</f>
        <v>8.91</v>
      </c>
      <c r="D25" s="6"/>
      <c r="E25" s="26" t="s">
        <v>32</v>
      </c>
      <c r="F25" s="84"/>
      <c r="G25" s="85">
        <v>1.2160476E7</v>
      </c>
      <c r="H25" s="85">
        <v>1.4934661E7</v>
      </c>
      <c r="I25" s="22">
        <v>9877860.0</v>
      </c>
      <c r="J25" s="22">
        <v>7304082.0</v>
      </c>
      <c r="K25" s="23">
        <v>7304082.0</v>
      </c>
      <c r="L25" s="62"/>
      <c r="M25" s="63"/>
      <c r="N25" s="63"/>
      <c r="O25" s="64"/>
    </row>
    <row r="26">
      <c r="A26" s="1"/>
      <c r="B26" s="13" t="s">
        <v>33</v>
      </c>
      <c r="C26" s="86">
        <v>6160000.0</v>
      </c>
      <c r="D26" s="6"/>
      <c r="E26" s="26" t="s">
        <v>34</v>
      </c>
      <c r="F26" s="44"/>
      <c r="G26" s="87">
        <v>1.0233951E7</v>
      </c>
      <c r="H26" s="87">
        <v>7914560.0</v>
      </c>
      <c r="I26" s="31">
        <v>7443187.0</v>
      </c>
      <c r="J26" s="31">
        <v>1.152663E7</v>
      </c>
      <c r="K26" s="32"/>
      <c r="L26" s="62"/>
      <c r="M26" s="63"/>
      <c r="N26" s="63"/>
      <c r="O26" s="64"/>
    </row>
    <row r="27">
      <c r="A27" s="1"/>
      <c r="B27" s="13" t="s">
        <v>35</v>
      </c>
      <c r="C27" s="86">
        <f>C38</f>
        <v>113385863.3</v>
      </c>
      <c r="D27" s="6"/>
      <c r="E27" s="26" t="s">
        <v>36</v>
      </c>
      <c r="F27" s="44"/>
      <c r="G27" s="87">
        <v>8062034.0</v>
      </c>
      <c r="H27" s="87">
        <v>7247058.0</v>
      </c>
      <c r="I27" s="31">
        <v>5193601.0</v>
      </c>
      <c r="J27" s="31">
        <v>4547837.0</v>
      </c>
      <c r="K27" s="32"/>
      <c r="L27" s="62"/>
      <c r="M27" s="63"/>
      <c r="N27" s="63"/>
      <c r="O27" s="64"/>
    </row>
    <row r="28">
      <c r="A28" s="1"/>
      <c r="B28" s="13" t="s">
        <v>37</v>
      </c>
      <c r="C28" s="88">
        <f>K20/K29</f>
        <v>1.003308578</v>
      </c>
      <c r="D28" s="6"/>
      <c r="E28" s="26" t="s">
        <v>38</v>
      </c>
      <c r="F28" s="44"/>
      <c r="G28" s="87">
        <v>2948127.0</v>
      </c>
      <c r="H28" s="87">
        <v>6504986.0</v>
      </c>
      <c r="I28" s="87">
        <v>7039971.0</v>
      </c>
      <c r="J28" s="31">
        <v>1.1363842E7</v>
      </c>
      <c r="K28" s="32"/>
      <c r="L28" s="62"/>
      <c r="M28" s="63"/>
      <c r="N28" s="63"/>
      <c r="O28" s="64"/>
    </row>
    <row r="29">
      <c r="A29" s="1"/>
      <c r="B29" s="26" t="s">
        <v>39</v>
      </c>
      <c r="C29" s="86">
        <f>C26+K25-K28</f>
        <v>13464082</v>
      </c>
      <c r="D29" s="6"/>
      <c r="E29" s="26" t="s">
        <v>40</v>
      </c>
      <c r="F29" s="89"/>
      <c r="G29" s="90">
        <v>-3274687.0</v>
      </c>
      <c r="H29" s="90">
        <v>1519633.0</v>
      </c>
      <c r="I29" s="90">
        <v>3274500.0</v>
      </c>
      <c r="J29" s="90">
        <v>7665227.0</v>
      </c>
      <c r="K29" s="91">
        <v>7665227.0</v>
      </c>
      <c r="L29" s="62"/>
      <c r="M29" s="63"/>
      <c r="N29" s="63"/>
      <c r="O29" s="64"/>
    </row>
    <row r="30">
      <c r="A30" s="1"/>
      <c r="B30" s="92" t="s">
        <v>41</v>
      </c>
      <c r="C30" s="93">
        <f>C26/K20</f>
        <v>0.8009790669</v>
      </c>
      <c r="D30" s="6"/>
      <c r="E30" s="26"/>
      <c r="F30" s="82"/>
      <c r="G30" s="82"/>
      <c r="H30" s="37"/>
      <c r="I30" s="37"/>
      <c r="J30" s="37"/>
      <c r="K30" s="6"/>
      <c r="L30" s="62"/>
      <c r="M30" s="63"/>
      <c r="N30" s="63"/>
      <c r="O30" s="64"/>
    </row>
    <row r="31">
      <c r="A31" s="3"/>
      <c r="B31" s="50" t="s">
        <v>42</v>
      </c>
      <c r="C31" s="93" t="str">
        <f>C26/K4</f>
        <v>#DIV/0!</v>
      </c>
      <c r="D31" s="6"/>
      <c r="E31" s="13" t="s">
        <v>43</v>
      </c>
      <c r="F31" s="94"/>
      <c r="G31" s="95"/>
      <c r="H31" s="85"/>
      <c r="I31" s="85"/>
      <c r="J31" s="22"/>
      <c r="K31" s="23"/>
      <c r="L31" s="62"/>
      <c r="M31" s="63"/>
      <c r="N31" s="63"/>
      <c r="O31" s="64"/>
    </row>
    <row r="32">
      <c r="A32" s="3"/>
      <c r="B32" s="96" t="s">
        <v>44</v>
      </c>
      <c r="C32" s="97" t="str">
        <f>C26/K26</f>
        <v>#DIV/0!</v>
      </c>
      <c r="D32" s="6"/>
      <c r="E32" s="98" t="s">
        <v>45</v>
      </c>
      <c r="F32" s="99"/>
      <c r="G32" s="87"/>
      <c r="H32" s="87"/>
      <c r="I32" s="45"/>
      <c r="J32" s="31"/>
      <c r="K32" s="32"/>
      <c r="L32" s="6"/>
      <c r="M32" s="11"/>
      <c r="N32" s="11"/>
    </row>
    <row r="33">
      <c r="A33" s="3"/>
      <c r="B33" s="96" t="s">
        <v>46</v>
      </c>
      <c r="C33" s="93" t="str">
        <f>C29/K4</f>
        <v>#DIV/0!</v>
      </c>
      <c r="D33" s="6"/>
      <c r="E33" s="26" t="s">
        <v>47</v>
      </c>
      <c r="F33" s="99"/>
      <c r="G33" s="87"/>
      <c r="H33" s="87"/>
      <c r="I33" s="87"/>
      <c r="J33" s="87"/>
      <c r="K33" s="32"/>
      <c r="L33" s="62"/>
      <c r="M33" s="63"/>
      <c r="N33" s="63"/>
      <c r="O33" s="64"/>
    </row>
    <row r="34">
      <c r="A34" s="3"/>
      <c r="B34" s="50" t="s">
        <v>48</v>
      </c>
      <c r="C34" s="100">
        <f>C29/K18</f>
        <v>1.491326181</v>
      </c>
      <c r="D34" s="12"/>
      <c r="E34" s="98" t="s">
        <v>49</v>
      </c>
      <c r="F34" s="99"/>
      <c r="G34" s="45"/>
      <c r="H34" s="45"/>
      <c r="I34" s="45"/>
      <c r="J34" s="31"/>
      <c r="K34" s="32"/>
      <c r="L34" s="62"/>
      <c r="M34" s="63"/>
      <c r="N34" s="63"/>
      <c r="O34" s="64"/>
    </row>
    <row r="35">
      <c r="A35" s="1"/>
      <c r="B35" s="12"/>
      <c r="C35" s="101"/>
      <c r="D35" s="102"/>
      <c r="E35" s="98" t="s">
        <v>50</v>
      </c>
      <c r="F35" s="103"/>
      <c r="G35" s="90"/>
      <c r="H35" s="90"/>
      <c r="I35" s="90"/>
      <c r="J35" s="79"/>
      <c r="K35" s="80"/>
      <c r="L35" s="62"/>
      <c r="M35" s="63"/>
      <c r="N35" s="63"/>
      <c r="O35" s="64"/>
    </row>
    <row r="36">
      <c r="A36" s="1"/>
      <c r="B36" s="43" t="s">
        <v>51</v>
      </c>
      <c r="C36" s="104">
        <v>0.1</v>
      </c>
      <c r="D36" s="105"/>
      <c r="E36" s="98"/>
      <c r="F36" s="106"/>
      <c r="G36" s="106"/>
      <c r="H36" s="106"/>
      <c r="I36" s="82"/>
      <c r="J36" s="6"/>
      <c r="K36" s="6"/>
      <c r="L36" s="6"/>
      <c r="M36" s="11"/>
      <c r="N36" s="11"/>
    </row>
    <row r="37">
      <c r="A37" s="3"/>
      <c r="B37" s="43" t="s">
        <v>52</v>
      </c>
      <c r="C37" s="107">
        <v>0.06</v>
      </c>
      <c r="D37" s="12"/>
      <c r="E37" s="13" t="s">
        <v>53</v>
      </c>
      <c r="F37" s="94"/>
      <c r="G37" s="95">
        <v>2921451.0</v>
      </c>
      <c r="H37" s="85">
        <v>3806125.0</v>
      </c>
      <c r="I37" s="85">
        <v>6152295.0</v>
      </c>
      <c r="J37" s="22">
        <v>9000350.0</v>
      </c>
      <c r="K37" s="23"/>
      <c r="L37" s="6"/>
      <c r="M37" s="11"/>
      <c r="N37" s="11"/>
    </row>
    <row r="38">
      <c r="A38" s="3"/>
      <c r="B38" s="50" t="s">
        <v>54</v>
      </c>
      <c r="C38" s="108">
        <f t="array" ref="C38">NPV(C36, J50:J60)</f>
        <v>113385863.3</v>
      </c>
      <c r="D38" s="12"/>
      <c r="E38" s="98" t="s">
        <v>55</v>
      </c>
      <c r="F38" s="99"/>
      <c r="G38" s="45">
        <v>-4691020.0</v>
      </c>
      <c r="H38" s="45">
        <v>-4952514.0</v>
      </c>
      <c r="I38" s="45">
        <v>-756888.0</v>
      </c>
      <c r="J38" s="31">
        <v>-5310684.0</v>
      </c>
      <c r="K38" s="32"/>
      <c r="L38" s="6"/>
      <c r="M38" s="11"/>
      <c r="N38" s="11"/>
    </row>
    <row r="39">
      <c r="A39" s="3"/>
      <c r="B39" s="50" t="s">
        <v>56</v>
      </c>
      <c r="C39" s="108">
        <f>C38+K28-K25</f>
        <v>106081781.3</v>
      </c>
      <c r="D39" s="12"/>
      <c r="E39" s="98" t="s">
        <v>57</v>
      </c>
      <c r="F39" s="99"/>
      <c r="G39" s="45">
        <v>2339705.0</v>
      </c>
      <c r="H39" s="45">
        <v>4310825.0</v>
      </c>
      <c r="I39" s="45">
        <v>-4987546.0</v>
      </c>
      <c r="J39" s="31">
        <v>-3501732.0</v>
      </c>
      <c r="K39" s="32"/>
      <c r="L39" s="6"/>
      <c r="M39" s="11"/>
      <c r="N39" s="11"/>
    </row>
    <row r="40">
      <c r="A40" s="3"/>
      <c r="B40" s="50" t="s">
        <v>29</v>
      </c>
      <c r="C40" s="109">
        <f>K23</f>
        <v>5415000</v>
      </c>
      <c r="D40" s="12"/>
      <c r="E40" s="98" t="s">
        <v>58</v>
      </c>
      <c r="F40" s="99"/>
      <c r="G40" s="45">
        <v>570136.0</v>
      </c>
      <c r="H40" s="45">
        <v>3164436.0</v>
      </c>
      <c r="I40" s="45">
        <v>407861.0</v>
      </c>
      <c r="J40" s="31">
        <v>187934.0</v>
      </c>
      <c r="K40" s="32"/>
      <c r="L40" s="6"/>
      <c r="M40" s="11"/>
      <c r="N40" s="11"/>
    </row>
    <row r="41">
      <c r="A41" s="1"/>
      <c r="B41" s="43" t="s">
        <v>59</v>
      </c>
      <c r="C41" s="110">
        <f>C38/C40</f>
        <v>20.9392176</v>
      </c>
      <c r="D41" s="111"/>
      <c r="E41" s="98" t="s">
        <v>60</v>
      </c>
      <c r="F41" s="103"/>
      <c r="G41" s="90">
        <v>-3156130.0</v>
      </c>
      <c r="H41" s="90">
        <v>-663182.0</v>
      </c>
      <c r="I41" s="90">
        <v>5304834.0</v>
      </c>
      <c r="J41" s="90">
        <v>8369618.0</v>
      </c>
      <c r="K41" s="80"/>
      <c r="L41" s="6"/>
      <c r="M41" s="11"/>
      <c r="N41" s="11"/>
    </row>
    <row r="42">
      <c r="A42" s="1"/>
      <c r="B42" s="26" t="s">
        <v>61</v>
      </c>
      <c r="C42" s="112">
        <f>(C41-C25)/C41</f>
        <v>0.5744826685</v>
      </c>
      <c r="D42" s="105"/>
      <c r="E42" s="113"/>
      <c r="F42" s="57"/>
      <c r="G42" s="57"/>
      <c r="H42" s="114"/>
      <c r="I42" s="6"/>
      <c r="J42" s="6"/>
      <c r="K42" s="6"/>
      <c r="L42" s="6"/>
      <c r="M42" s="11"/>
      <c r="N42" s="11"/>
    </row>
    <row r="43">
      <c r="A43" s="3"/>
      <c r="B43" s="26"/>
      <c r="C43" s="115"/>
      <c r="D43" s="57"/>
      <c r="E43" s="116" t="s">
        <v>62</v>
      </c>
      <c r="F43" s="8" t="s">
        <v>8</v>
      </c>
      <c r="G43" s="117" t="s">
        <v>63</v>
      </c>
      <c r="H43" s="118" t="s">
        <v>24</v>
      </c>
      <c r="I43" s="8" t="s">
        <v>64</v>
      </c>
      <c r="J43" s="119" t="s">
        <v>65</v>
      </c>
      <c r="K43" s="120" t="s">
        <v>66</v>
      </c>
      <c r="L43" s="62"/>
      <c r="M43" s="11"/>
      <c r="N43" s="11"/>
    </row>
    <row r="44">
      <c r="A44" s="1"/>
      <c r="B44" s="13" t="s">
        <v>67</v>
      </c>
      <c r="C44" s="121">
        <f>C38+K28-K60</f>
        <v>113178292.8</v>
      </c>
      <c r="D44" s="57"/>
      <c r="E44" s="122"/>
      <c r="F44" s="123"/>
      <c r="G44" s="123"/>
      <c r="H44" s="124"/>
      <c r="I44" s="125"/>
      <c r="J44" s="62"/>
      <c r="K44" s="62"/>
      <c r="L44" s="62"/>
      <c r="M44" s="11"/>
      <c r="N44" s="11"/>
    </row>
    <row r="45">
      <c r="A45" s="1"/>
      <c r="B45" s="13" t="s">
        <v>68</v>
      </c>
      <c r="C45" s="126">
        <f>C44/K23</f>
        <v>20.90088509</v>
      </c>
      <c r="D45" s="57"/>
      <c r="E45" s="127">
        <v>2019.0</v>
      </c>
      <c r="F45" s="128" t="str">
        <f>F4</f>
        <v/>
      </c>
      <c r="G45" s="129" t="str">
        <f>F5</f>
        <v/>
      </c>
      <c r="H45" s="130" t="str">
        <f>F20</f>
        <v/>
      </c>
      <c r="I45" s="131">
        <v>0.0</v>
      </c>
      <c r="J45" s="132" t="str">
        <f>F41</f>
        <v/>
      </c>
      <c r="K45" s="133" t="str">
        <f>F25</f>
        <v/>
      </c>
      <c r="L45" s="62"/>
      <c r="M45" s="11"/>
      <c r="N45" s="11"/>
    </row>
    <row r="46">
      <c r="A46" s="1"/>
      <c r="B46" s="1"/>
      <c r="C46" s="115"/>
      <c r="D46" s="57"/>
      <c r="E46" s="127">
        <v>2020.0</v>
      </c>
      <c r="F46" s="134">
        <f>G4</f>
        <v>28614255</v>
      </c>
      <c r="G46" s="135" t="str">
        <f>G5</f>
        <v/>
      </c>
      <c r="H46" s="136">
        <f>G20</f>
        <v>4003651</v>
      </c>
      <c r="I46" s="137">
        <v>0.0</v>
      </c>
      <c r="J46" s="138">
        <f>G41</f>
        <v>-3156130</v>
      </c>
      <c r="K46" s="139">
        <f>G25</f>
        <v>12160476</v>
      </c>
      <c r="L46" s="140">
        <v>1.0</v>
      </c>
      <c r="M46" s="141"/>
      <c r="N46" s="141"/>
    </row>
    <row r="47">
      <c r="A47" s="1"/>
      <c r="B47" s="43" t="s">
        <v>69</v>
      </c>
      <c r="C47" s="142">
        <f>C37</f>
        <v>0.06</v>
      </c>
      <c r="D47" s="92"/>
      <c r="E47" s="143">
        <v>2021.0</v>
      </c>
      <c r="F47" s="144">
        <f>H4</f>
        <v>39096727</v>
      </c>
      <c r="G47" s="145">
        <f>H5</f>
        <v>0.3663374077</v>
      </c>
      <c r="H47" s="136">
        <f>H20</f>
        <v>4769380</v>
      </c>
      <c r="I47" s="137">
        <v>0.0</v>
      </c>
      <c r="J47" s="138">
        <f>H41</f>
        <v>-663182</v>
      </c>
      <c r="K47" s="139">
        <f>H25</f>
        <v>14934661</v>
      </c>
      <c r="L47" s="140">
        <f>(K47/K46)</f>
        <v>1.228131284</v>
      </c>
      <c r="M47" s="141"/>
      <c r="N47" s="141"/>
    </row>
    <row r="48">
      <c r="A48" s="3"/>
      <c r="B48" s="26" t="s">
        <v>70</v>
      </c>
      <c r="C48" s="146">
        <f t="array" ref="C48">NPV(C36, I64:I74)</f>
        <v>245348891.2</v>
      </c>
      <c r="D48" s="147"/>
      <c r="E48" s="143">
        <v>2022.0</v>
      </c>
      <c r="F48" s="144">
        <f>I4</f>
        <v>31038634</v>
      </c>
      <c r="G48" s="145">
        <f>I5</f>
        <v>-0.2061065879</v>
      </c>
      <c r="H48" s="136">
        <f>I20</f>
        <v>5055174</v>
      </c>
      <c r="I48" s="137">
        <v>0.0</v>
      </c>
      <c r="J48" s="138">
        <f>I41</f>
        <v>5304834</v>
      </c>
      <c r="K48" s="139">
        <f>I25</f>
        <v>9877860</v>
      </c>
      <c r="L48" s="140">
        <f t="shared" ref="L48:L49" si="12">K48/K47</f>
        <v>0.6614050362</v>
      </c>
      <c r="M48" s="141"/>
      <c r="N48" s="141"/>
    </row>
    <row r="49">
      <c r="A49" s="3"/>
      <c r="B49" s="13" t="s">
        <v>71</v>
      </c>
      <c r="C49" s="148">
        <f>C48/K64</f>
        <v>44.44728563</v>
      </c>
      <c r="D49" s="147"/>
      <c r="E49" s="143">
        <v>2023.0</v>
      </c>
      <c r="F49" s="144">
        <f>J4</f>
        <v>41453348</v>
      </c>
      <c r="G49" s="145">
        <f>J5</f>
        <v>0.3355403463</v>
      </c>
      <c r="H49" s="136">
        <f>J20</f>
        <v>7690588</v>
      </c>
      <c r="I49" s="137">
        <v>0.0</v>
      </c>
      <c r="J49" s="138">
        <f>J41</f>
        <v>8369618</v>
      </c>
      <c r="K49" s="139">
        <f>J25</f>
        <v>7304082</v>
      </c>
      <c r="L49" s="140">
        <f t="shared" si="12"/>
        <v>0.7394397167</v>
      </c>
      <c r="M49" s="141"/>
      <c r="N49" s="141"/>
    </row>
    <row r="50">
      <c r="A50" s="3"/>
      <c r="B50" s="13" t="s">
        <v>72</v>
      </c>
      <c r="C50" s="149">
        <f>(C49/C25)^(1/10)-1</f>
        <v>0.1743478418</v>
      </c>
      <c r="D50" s="147"/>
      <c r="E50" s="143">
        <v>2024.0</v>
      </c>
      <c r="F50" s="134">
        <f t="shared" ref="F50:F60" si="13">F49*(1+G50)</f>
        <v>48303806.23</v>
      </c>
      <c r="G50" s="135">
        <f>AVERAGE(G47:G49)</f>
        <v>0.1652570554</v>
      </c>
      <c r="H50" s="136">
        <f>H49+H49*G50</f>
        <v>8961511.927</v>
      </c>
      <c r="I50" s="137">
        <v>0.0</v>
      </c>
      <c r="J50" s="138">
        <f t="shared" ref="J50:J60" si="14">J49*(1+G50)</f>
        <v>9752756.425</v>
      </c>
      <c r="K50" s="139">
        <f>K25</f>
        <v>7304082</v>
      </c>
      <c r="L50" s="115">
        <f>AVERAGE(L48:L49)</f>
        <v>0.7004223765</v>
      </c>
      <c r="M50" s="141"/>
      <c r="N50" s="141"/>
    </row>
    <row r="51">
      <c r="A51" s="1"/>
      <c r="B51" s="43"/>
      <c r="C51" s="3"/>
      <c r="D51" s="147"/>
      <c r="E51" s="143">
        <v>2025.0</v>
      </c>
      <c r="F51" s="134">
        <f t="shared" si="13"/>
        <v>56286351</v>
      </c>
      <c r="G51" s="135">
        <f>AVERAGE(G47:G50)</f>
        <v>0.1652570554</v>
      </c>
      <c r="H51" s="136">
        <f t="shared" ref="H51:H60" si="15">H50*(1+G51)</f>
        <v>10442465</v>
      </c>
      <c r="I51" s="137">
        <f>G51</f>
        <v>0.1652570554</v>
      </c>
      <c r="J51" s="150">
        <f t="shared" si="14"/>
        <v>11364468.23</v>
      </c>
      <c r="K51" s="151">
        <f>L50*K50</f>
        <v>5115942.472</v>
      </c>
      <c r="L51" s="6"/>
      <c r="M51" s="11"/>
      <c r="N51" s="11"/>
    </row>
    <row r="52">
      <c r="A52" s="1"/>
      <c r="B52" s="13" t="s">
        <v>73</v>
      </c>
      <c r="C52" s="152">
        <f>I52</f>
        <v>0.1925669497</v>
      </c>
      <c r="D52" s="62"/>
      <c r="E52" s="153">
        <v>2026.0</v>
      </c>
      <c r="F52" s="134">
        <f t="shared" si="13"/>
        <v>64995614.07</v>
      </c>
      <c r="G52" s="135">
        <f>G51-(G51-G60) / 10</f>
        <v>0.1547313498</v>
      </c>
      <c r="H52" s="136">
        <f t="shared" si="15"/>
        <v>12058241.7</v>
      </c>
      <c r="I52" s="154">
        <f t="shared" ref="I52:I60" si="16">I51 * (1+G51)</f>
        <v>0.1925669497</v>
      </c>
      <c r="J52" s="138">
        <f t="shared" si="14"/>
        <v>13122907.74</v>
      </c>
      <c r="K52" s="139">
        <f>L50*K51</f>
        <v>3583320.584</v>
      </c>
      <c r="L52" s="62"/>
      <c r="M52" s="11"/>
      <c r="N52" s="11"/>
    </row>
    <row r="53">
      <c r="A53" s="1"/>
      <c r="B53" s="13" t="s">
        <v>74</v>
      </c>
      <c r="C53" s="155">
        <f>J60/H60</f>
        <v>1.088293639</v>
      </c>
      <c r="D53" s="62"/>
      <c r="E53" s="153">
        <v>2027.0</v>
      </c>
      <c r="F53" s="134">
        <f t="shared" si="13"/>
        <v>74368348.47</v>
      </c>
      <c r="G53" s="135">
        <f>G52-(G51-G60) / 10</f>
        <v>0.1442056443</v>
      </c>
      <c r="H53" s="136">
        <f t="shared" si="15"/>
        <v>13797108.22</v>
      </c>
      <c r="I53" s="154">
        <f t="shared" si="16"/>
        <v>0.2223630938</v>
      </c>
      <c r="J53" s="138">
        <f t="shared" si="14"/>
        <v>15015305.11</v>
      </c>
      <c r="K53" s="139">
        <f>L50*K52</f>
        <v>2509837.919</v>
      </c>
      <c r="L53" s="62"/>
      <c r="M53" s="11"/>
      <c r="N53" s="11"/>
    </row>
    <row r="54">
      <c r="A54" s="1"/>
      <c r="B54" s="13" t="s">
        <v>75</v>
      </c>
      <c r="C54" s="156">
        <f>C53*(1+C52)^10</f>
        <v>6.332479375</v>
      </c>
      <c r="D54" s="62"/>
      <c r="E54" s="153">
        <v>2028.0</v>
      </c>
      <c r="F54" s="134">
        <f t="shared" si="13"/>
        <v>84309904.74</v>
      </c>
      <c r="G54" s="135">
        <f>G53-(G51-G60) / 10</f>
        <v>0.1336799387</v>
      </c>
      <c r="H54" s="136">
        <f t="shared" si="15"/>
        <v>15641504.8</v>
      </c>
      <c r="I54" s="154">
        <f t="shared" si="16"/>
        <v>0.254429107</v>
      </c>
      <c r="J54" s="138">
        <f t="shared" si="14"/>
        <v>17022550.18</v>
      </c>
      <c r="K54" s="139">
        <f>L50*K53</f>
        <v>1757946.64</v>
      </c>
      <c r="L54" s="62"/>
      <c r="M54" s="11"/>
      <c r="N54" s="11"/>
    </row>
    <row r="55">
      <c r="A55" s="3"/>
      <c r="B55" s="13" t="s">
        <v>76</v>
      </c>
      <c r="C55" s="157">
        <f t="array" ref="C55">NPV(C36, J64:J74)</f>
        <v>1427617269</v>
      </c>
      <c r="D55" s="73"/>
      <c r="E55" s="153">
        <v>2029.0</v>
      </c>
      <c r="F55" s="134">
        <f t="shared" si="13"/>
        <v>94693026.41</v>
      </c>
      <c r="G55" s="135">
        <f>G54-(G51-G60) / 10</f>
        <v>0.1231542332</v>
      </c>
      <c r="H55" s="136">
        <f t="shared" si="15"/>
        <v>17567822.33</v>
      </c>
      <c r="I55" s="154">
        <f t="shared" si="16"/>
        <v>0.2884411744</v>
      </c>
      <c r="J55" s="138">
        <f t="shared" si="14"/>
        <v>19118949.29</v>
      </c>
      <c r="K55" s="139">
        <f>L50*K54</f>
        <v>1231305.163</v>
      </c>
      <c r="L55" s="62"/>
      <c r="M55" s="11"/>
      <c r="N55" s="11"/>
    </row>
    <row r="56">
      <c r="A56" s="3"/>
      <c r="B56" s="13" t="s">
        <v>71</v>
      </c>
      <c r="C56" s="158">
        <f>C55/K64</f>
        <v>258.6264492</v>
      </c>
      <c r="D56" s="62"/>
      <c r="E56" s="153">
        <v>2030.0</v>
      </c>
      <c r="F56" s="134">
        <f t="shared" si="13"/>
        <v>105358162.6</v>
      </c>
      <c r="G56" s="135">
        <f>G55-(G51-G60) / 10</f>
        <v>0.1126285277</v>
      </c>
      <c r="H56" s="136">
        <f t="shared" si="15"/>
        <v>19546460.29</v>
      </c>
      <c r="I56" s="154">
        <f t="shared" si="16"/>
        <v>0.3239639261</v>
      </c>
      <c r="J56" s="138">
        <f t="shared" si="14"/>
        <v>21272288.4</v>
      </c>
      <c r="K56" s="139">
        <f>L50*K55</f>
        <v>862433.6887</v>
      </c>
      <c r="L56" s="62"/>
      <c r="M56" s="11"/>
      <c r="N56" s="11"/>
    </row>
    <row r="57">
      <c r="A57" s="1"/>
      <c r="B57" s="13" t="s">
        <v>72</v>
      </c>
      <c r="C57" s="159">
        <f>(C56/C25)^(1/10)-1</f>
        <v>0.4004884236</v>
      </c>
      <c r="D57" s="62"/>
      <c r="E57" s="113">
        <v>2031.0</v>
      </c>
      <c r="F57" s="134">
        <f t="shared" si="13"/>
        <v>116115528.3</v>
      </c>
      <c r="G57" s="135">
        <f>G56-(G51-G60) / 10</f>
        <v>0.1021028221</v>
      </c>
      <c r="H57" s="136">
        <f t="shared" si="15"/>
        <v>21542209.05</v>
      </c>
      <c r="I57" s="154">
        <f t="shared" si="16"/>
        <v>0.3604515061</v>
      </c>
      <c r="J57" s="138">
        <f t="shared" si="14"/>
        <v>23444249.08</v>
      </c>
      <c r="K57" s="151">
        <f>L50*K56</f>
        <v>604067.8538</v>
      </c>
      <c r="L57" s="6"/>
      <c r="M57" s="11"/>
      <c r="N57" s="11"/>
    </row>
    <row r="58">
      <c r="A58" s="1"/>
      <c r="B58" s="43"/>
      <c r="C58" s="115"/>
      <c r="D58" s="62"/>
      <c r="E58" s="113">
        <v>2032.0</v>
      </c>
      <c r="F58" s="134">
        <f t="shared" si="13"/>
        <v>126749053.6</v>
      </c>
      <c r="G58" s="135">
        <f>G57-(G51-G60) / 10</f>
        <v>0.09157711661</v>
      </c>
      <c r="H58" s="136">
        <f t="shared" si="15"/>
        <v>23514982.44</v>
      </c>
      <c r="I58" s="154">
        <f t="shared" si="16"/>
        <v>0.3972546221</v>
      </c>
      <c r="J58" s="138">
        <f t="shared" si="14"/>
        <v>25591205.81</v>
      </c>
      <c r="K58" s="151">
        <f>L50*K57</f>
        <v>423102.6417</v>
      </c>
      <c r="L58" s="6"/>
      <c r="M58" s="11"/>
      <c r="N58" s="11"/>
    </row>
    <row r="59">
      <c r="A59" s="1"/>
      <c r="B59" s="160" t="s">
        <v>77</v>
      </c>
      <c r="C59" s="19"/>
      <c r="D59" s="73"/>
      <c r="E59" s="113">
        <v>2033.0</v>
      </c>
      <c r="F59" s="134">
        <f t="shared" si="13"/>
        <v>137022243.2</v>
      </c>
      <c r="G59" s="135">
        <f>G58-(G51-G60) / 10</f>
        <v>0.08105141107</v>
      </c>
      <c r="H59" s="136">
        <f t="shared" si="15"/>
        <v>25420904.95</v>
      </c>
      <c r="I59" s="154">
        <f t="shared" si="16"/>
        <v>0.4336340549</v>
      </c>
      <c r="J59" s="138">
        <f t="shared" si="14"/>
        <v>27665409.15</v>
      </c>
      <c r="K59" s="151">
        <f>L50*K58</f>
        <v>296350.5578</v>
      </c>
      <c r="L59" s="6"/>
      <c r="M59" s="11"/>
      <c r="N59" s="11"/>
    </row>
    <row r="60">
      <c r="A60" s="1"/>
      <c r="B60" s="24"/>
      <c r="C60" s="25"/>
      <c r="D60" s="73"/>
      <c r="E60" s="113">
        <v>2034.0</v>
      </c>
      <c r="F60" s="161">
        <f t="shared" si="13"/>
        <v>145243577.8</v>
      </c>
      <c r="G60" s="162">
        <f>C37</f>
        <v>0.06</v>
      </c>
      <c r="H60" s="163">
        <f t="shared" si="15"/>
        <v>26946159.25</v>
      </c>
      <c r="I60" s="164">
        <f t="shared" si="16"/>
        <v>0.468780707</v>
      </c>
      <c r="J60" s="165">
        <f t="shared" si="14"/>
        <v>29325333.7</v>
      </c>
      <c r="K60" s="166">
        <f>L50*K59</f>
        <v>207570.5619</v>
      </c>
      <c r="L60" s="6"/>
      <c r="M60" s="11"/>
      <c r="N60" s="11"/>
    </row>
    <row r="61" ht="21.75" customHeight="1">
      <c r="A61" s="1"/>
      <c r="B61" s="24"/>
      <c r="C61" s="25"/>
      <c r="D61" s="147"/>
      <c r="E61" s="6"/>
      <c r="F61" s="167"/>
      <c r="G61" s="167"/>
      <c r="H61" s="6"/>
      <c r="I61" s="6"/>
      <c r="J61" s="6"/>
      <c r="K61" s="6"/>
      <c r="L61" s="6"/>
      <c r="M61" s="11"/>
      <c r="N61" s="11"/>
    </row>
    <row r="62">
      <c r="A62" s="1"/>
      <c r="B62" s="68"/>
      <c r="C62" s="69"/>
      <c r="D62" s="147"/>
      <c r="E62" s="116" t="s">
        <v>62</v>
      </c>
      <c r="F62" s="8" t="s">
        <v>78</v>
      </c>
      <c r="G62" s="8" t="s">
        <v>63</v>
      </c>
      <c r="H62" s="168" t="s">
        <v>24</v>
      </c>
      <c r="I62" s="119" t="s">
        <v>65</v>
      </c>
      <c r="J62" s="119" t="s">
        <v>79</v>
      </c>
      <c r="K62" s="120" t="s">
        <v>29</v>
      </c>
      <c r="L62" s="6"/>
      <c r="M62" s="11"/>
      <c r="N62" s="11"/>
    </row>
    <row r="63">
      <c r="A63" s="1"/>
      <c r="B63" s="62"/>
      <c r="C63" s="62"/>
      <c r="D63" s="147"/>
      <c r="E63" s="122"/>
      <c r="F63" s="123"/>
      <c r="G63" s="123"/>
      <c r="H63" s="124"/>
      <c r="I63" s="125"/>
      <c r="J63" s="62"/>
      <c r="K63" s="3"/>
      <c r="L63" s="6"/>
      <c r="M63" s="11"/>
      <c r="N63" s="11"/>
    </row>
    <row r="64">
      <c r="A64" s="115"/>
      <c r="B64" s="62"/>
      <c r="C64" s="62"/>
      <c r="D64" s="37"/>
      <c r="E64" s="113">
        <v>2034.0</v>
      </c>
      <c r="F64" s="128">
        <f>F60*C54</f>
        <v>919751960.8</v>
      </c>
      <c r="G64" s="129">
        <f t="shared" ref="G64:H64" si="17">G60</f>
        <v>0.06</v>
      </c>
      <c r="H64" s="169">
        <f t="shared" si="17"/>
        <v>26946159.25</v>
      </c>
      <c r="I64" s="170">
        <f>J60</f>
        <v>29325333.7</v>
      </c>
      <c r="J64" s="132">
        <f>H64*C54</f>
        <v>170635997.7</v>
      </c>
      <c r="K64" s="171">
        <f>L64*K23</f>
        <v>5519997.176</v>
      </c>
      <c r="L64" s="172">
        <f>((K23-H23)/H23 + 1)</f>
        <v>1.01939006</v>
      </c>
      <c r="M64" s="11"/>
      <c r="N64" s="11"/>
    </row>
    <row r="65">
      <c r="A65" s="115"/>
      <c r="B65" s="1"/>
      <c r="C65" s="115"/>
      <c r="D65" s="37"/>
      <c r="E65" s="113">
        <v>2035.0</v>
      </c>
      <c r="F65" s="134">
        <f t="shared" ref="F65:F74" si="18">F64*(1+G65)</f>
        <v>974937078.4</v>
      </c>
      <c r="G65" s="135">
        <f>G64-(G64-G74) / 10</f>
        <v>0.06</v>
      </c>
      <c r="H65" s="136">
        <f t="shared" ref="H65:H74" si="19">H64*(1+G65)</f>
        <v>28562928.8</v>
      </c>
      <c r="I65" s="173">
        <f t="shared" ref="I65:I74" si="20">I64*(1+G65)</f>
        <v>31084853.72</v>
      </c>
      <c r="J65" s="150">
        <f>H65*C54</f>
        <v>180874157.5</v>
      </c>
      <c r="K65" s="40">
        <f t="shared" ref="K65:K68" si="21">L65*K64</f>
        <v>5570759.951</v>
      </c>
      <c r="L65" s="172">
        <f t="shared" ref="L65:L67" si="22">L64*0.99</f>
        <v>1.00919616</v>
      </c>
      <c r="M65" s="11"/>
      <c r="N65" s="11"/>
    </row>
    <row r="66">
      <c r="A66" s="115"/>
      <c r="B66" s="1"/>
      <c r="C66" s="174"/>
      <c r="D66" s="37"/>
      <c r="E66" s="113">
        <v>2036.0</v>
      </c>
      <c r="F66" s="134">
        <f t="shared" si="18"/>
        <v>1033433303</v>
      </c>
      <c r="G66" s="135">
        <f>G65-(G64-G74) / 10</f>
        <v>0.06</v>
      </c>
      <c r="H66" s="136">
        <f t="shared" si="19"/>
        <v>30276704.53</v>
      </c>
      <c r="I66" s="173">
        <f t="shared" si="20"/>
        <v>32949944.95</v>
      </c>
      <c r="J66" s="138">
        <f>H66*C54</f>
        <v>191726607</v>
      </c>
      <c r="K66" s="61">
        <f t="shared" si="21"/>
        <v>5565769.654</v>
      </c>
      <c r="L66" s="172">
        <f t="shared" si="22"/>
        <v>0.999104198</v>
      </c>
      <c r="M66" s="11"/>
      <c r="N66" s="11"/>
    </row>
    <row r="67">
      <c r="A67" s="115"/>
      <c r="B67" s="1"/>
      <c r="C67" s="174"/>
      <c r="D67" s="37"/>
      <c r="E67" s="113">
        <v>2037.0</v>
      </c>
      <c r="F67" s="134">
        <f t="shared" si="18"/>
        <v>1095439301</v>
      </c>
      <c r="G67" s="135">
        <f>G66-(G64-G74) / 10</f>
        <v>0.06</v>
      </c>
      <c r="H67" s="136">
        <f t="shared" si="19"/>
        <v>32093306.8</v>
      </c>
      <c r="I67" s="173">
        <f t="shared" si="20"/>
        <v>34926941.64</v>
      </c>
      <c r="J67" s="150">
        <f>H67*C54</f>
        <v>203230203.4</v>
      </c>
      <c r="K67" s="40">
        <f t="shared" si="21"/>
        <v>5505175.988</v>
      </c>
      <c r="L67" s="172">
        <f t="shared" si="22"/>
        <v>0.9891131561</v>
      </c>
      <c r="M67" s="11"/>
      <c r="N67" s="11"/>
    </row>
    <row r="68">
      <c r="A68" s="1"/>
      <c r="B68" s="1"/>
      <c r="C68" s="115"/>
      <c r="D68" s="73"/>
      <c r="E68" s="113">
        <v>2038.0</v>
      </c>
      <c r="F68" s="134">
        <f t="shared" si="18"/>
        <v>1161165659</v>
      </c>
      <c r="G68" s="135">
        <f>G67-(G64-G74) / 10</f>
        <v>0.06</v>
      </c>
      <c r="H68" s="136">
        <f t="shared" si="19"/>
        <v>34018905.21</v>
      </c>
      <c r="I68" s="173">
        <f t="shared" si="20"/>
        <v>37022558.14</v>
      </c>
      <c r="J68" s="138">
        <f>H68*C54</f>
        <v>215424015.6</v>
      </c>
      <c r="K68" s="61">
        <f t="shared" si="21"/>
        <v>5445241.996</v>
      </c>
      <c r="L68" s="172">
        <f>L67</f>
        <v>0.9891131561</v>
      </c>
      <c r="M68" s="11"/>
      <c r="N68" s="11"/>
    </row>
    <row r="69">
      <c r="A69" s="1"/>
      <c r="B69" s="13"/>
      <c r="C69" s="73"/>
      <c r="D69" s="73"/>
      <c r="E69" s="113">
        <v>2039.0</v>
      </c>
      <c r="F69" s="134">
        <f t="shared" si="18"/>
        <v>1230835599</v>
      </c>
      <c r="G69" s="135">
        <f>G68-(G64-G74) / 10</f>
        <v>0.06</v>
      </c>
      <c r="H69" s="136">
        <f t="shared" si="19"/>
        <v>36060039.52</v>
      </c>
      <c r="I69" s="173">
        <f t="shared" si="20"/>
        <v>39243911.63</v>
      </c>
      <c r="J69" s="150">
        <f>H69*C54</f>
        <v>228349456.5</v>
      </c>
      <c r="K69" s="40">
        <f>L68*K68</f>
        <v>5385960.496</v>
      </c>
      <c r="L69" s="6"/>
      <c r="M69" s="11"/>
      <c r="N69" s="11"/>
    </row>
    <row r="70">
      <c r="A70" s="1"/>
      <c r="B70" s="13"/>
      <c r="C70" s="175"/>
      <c r="D70" s="73"/>
      <c r="E70" s="113">
        <v>2040.0</v>
      </c>
      <c r="F70" s="134">
        <f t="shared" si="18"/>
        <v>1304685735</v>
      </c>
      <c r="G70" s="135">
        <f>G69-(G64-G74) / 10</f>
        <v>0.06</v>
      </c>
      <c r="H70" s="136">
        <f t="shared" si="19"/>
        <v>38223641.89</v>
      </c>
      <c r="I70" s="173">
        <f t="shared" si="20"/>
        <v>41598546.33</v>
      </c>
      <c r="J70" s="150">
        <f>H70*C54</f>
        <v>242050423.9</v>
      </c>
      <c r="K70" s="40">
        <f>L68*K69</f>
        <v>5327324.385</v>
      </c>
      <c r="L70" s="6"/>
      <c r="M70" s="11"/>
      <c r="N70" s="11"/>
    </row>
    <row r="71">
      <c r="A71" s="1"/>
      <c r="B71" s="73"/>
      <c r="C71" s="73"/>
      <c r="D71" s="73"/>
      <c r="E71" s="113">
        <v>2041.0</v>
      </c>
      <c r="F71" s="134">
        <f t="shared" si="18"/>
        <v>1382966879</v>
      </c>
      <c r="G71" s="135">
        <f>G70-(G64-G74) / 10</f>
        <v>0.06</v>
      </c>
      <c r="H71" s="136">
        <f t="shared" si="19"/>
        <v>40517060.41</v>
      </c>
      <c r="I71" s="173">
        <f t="shared" si="20"/>
        <v>44094459.11</v>
      </c>
      <c r="J71" s="150">
        <f>H71*C54</f>
        <v>256573449.4</v>
      </c>
      <c r="K71" s="40">
        <f>L68*K70</f>
        <v>5269326.636</v>
      </c>
      <c r="L71" s="6"/>
      <c r="M71" s="11"/>
      <c r="N71" s="11"/>
    </row>
    <row r="72">
      <c r="A72" s="1"/>
      <c r="B72" s="73"/>
      <c r="C72" s="73"/>
      <c r="D72" s="73"/>
      <c r="E72" s="113">
        <v>2042.0</v>
      </c>
      <c r="F72" s="134">
        <f t="shared" si="18"/>
        <v>1465944892</v>
      </c>
      <c r="G72" s="135">
        <f>G71-(G64-G74) / 10</f>
        <v>0.06</v>
      </c>
      <c r="H72" s="136">
        <f t="shared" si="19"/>
        <v>42948084.03</v>
      </c>
      <c r="I72" s="173">
        <f t="shared" si="20"/>
        <v>46740126.66</v>
      </c>
      <c r="J72" s="150">
        <f>H72*C54</f>
        <v>271967856.3</v>
      </c>
      <c r="K72" s="40">
        <f>L68*K71</f>
        <v>5211960.299</v>
      </c>
      <c r="L72" s="6"/>
      <c r="M72" s="11"/>
      <c r="N72" s="11"/>
    </row>
    <row r="73">
      <c r="A73" s="1"/>
      <c r="B73" s="73"/>
      <c r="C73" s="73"/>
      <c r="D73" s="73"/>
      <c r="E73" s="113">
        <v>2043.0</v>
      </c>
      <c r="F73" s="134">
        <f t="shared" si="18"/>
        <v>1553901585</v>
      </c>
      <c r="G73" s="135">
        <f>G72-(G64-G74) / 10</f>
        <v>0.06</v>
      </c>
      <c r="H73" s="136">
        <f t="shared" si="19"/>
        <v>45524969.07</v>
      </c>
      <c r="I73" s="173">
        <f t="shared" si="20"/>
        <v>49544534.26</v>
      </c>
      <c r="J73" s="150">
        <f>H73*C54</f>
        <v>288285927.7</v>
      </c>
      <c r="K73" s="40">
        <f>L68*K72</f>
        <v>5155218.501</v>
      </c>
      <c r="L73" s="6"/>
      <c r="M73" s="11"/>
      <c r="N73" s="11"/>
    </row>
    <row r="74">
      <c r="A74" s="115"/>
      <c r="B74" s="37"/>
      <c r="C74" s="37"/>
      <c r="D74" s="73"/>
      <c r="E74" s="113">
        <v>2044.0</v>
      </c>
      <c r="F74" s="161">
        <f t="shared" si="18"/>
        <v>1647135680</v>
      </c>
      <c r="G74" s="162">
        <f>C47</f>
        <v>0.06</v>
      </c>
      <c r="H74" s="163">
        <f t="shared" si="19"/>
        <v>48256467.22</v>
      </c>
      <c r="I74" s="176">
        <f t="shared" si="20"/>
        <v>52517206.31</v>
      </c>
      <c r="J74" s="177">
        <f>H74*C54</f>
        <v>305583083.4</v>
      </c>
      <c r="K74" s="178">
        <f>L68*K73</f>
        <v>5099094.442</v>
      </c>
      <c r="L74" s="6"/>
      <c r="M74" s="11"/>
      <c r="N74" s="11"/>
    </row>
    <row r="75">
      <c r="A75" s="3"/>
      <c r="B75" s="6"/>
      <c r="C75" s="73"/>
      <c r="D75" s="73"/>
      <c r="E75" s="179"/>
      <c r="F75" s="179">
        <v>2019.0</v>
      </c>
      <c r="G75" s="179">
        <v>2020.0</v>
      </c>
      <c r="H75" s="179">
        <v>2021.0</v>
      </c>
      <c r="I75" s="179">
        <v>2022.0</v>
      </c>
      <c r="J75" s="179">
        <v>2023.0</v>
      </c>
      <c r="K75" s="6"/>
      <c r="L75" s="6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6"/>
      <c r="C76" s="73"/>
      <c r="D76" s="73"/>
      <c r="E76" s="6"/>
      <c r="F76" s="6"/>
      <c r="G76" s="6"/>
      <c r="H76" s="6"/>
      <c r="I76" s="6"/>
      <c r="J76" s="6"/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1.75" customHeight="1">
      <c r="A77" s="3"/>
      <c r="B77" s="180" t="s">
        <v>80</v>
      </c>
      <c r="C77" s="181"/>
      <c r="D77" s="181"/>
      <c r="E77" s="181"/>
      <c r="F77" s="181"/>
      <c r="G77" s="181"/>
      <c r="H77" s="181"/>
      <c r="I77" s="181"/>
      <c r="J77" s="181"/>
      <c r="K77" s="182"/>
      <c r="L77" s="6"/>
      <c r="M77" s="11"/>
      <c r="N77" s="11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idden="1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1"/>
      <c r="N130" s="11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</sheetData>
  <mergeCells count="3">
    <mergeCell ref="B4:C21"/>
    <mergeCell ref="B59:C62"/>
    <mergeCell ref="B77:K77"/>
  </mergeCells>
  <printOptions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7.75"/>
    <col customWidth="1" min="2" max="2" width="13.5"/>
    <col customWidth="1" min="3" max="3" width="14.38"/>
    <col customWidth="1" min="4" max="11" width="11.13"/>
    <col customWidth="1" min="12" max="12" width="12.0"/>
    <col customWidth="1" hidden="1" min="13" max="25" width="11.1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183" t="str">
        <f>Valuation!B23</f>
        <v>0071.HK</v>
      </c>
      <c r="C2" s="5">
        <v>45659.0</v>
      </c>
      <c r="D2" s="6"/>
      <c r="E2" s="184" t="s">
        <v>81</v>
      </c>
      <c r="F2" s="181"/>
      <c r="G2" s="181"/>
      <c r="H2" s="181"/>
      <c r="I2" s="181"/>
      <c r="J2" s="181"/>
      <c r="K2" s="182"/>
      <c r="L2" s="6"/>
      <c r="M2" s="10"/>
      <c r="N2" s="11"/>
    </row>
    <row r="3">
      <c r="A3" s="1"/>
      <c r="B3" s="12"/>
      <c r="C3" s="13"/>
      <c r="D3" s="14"/>
      <c r="E3" s="1"/>
      <c r="F3" s="3"/>
      <c r="G3" s="3"/>
      <c r="H3" s="3"/>
      <c r="I3" s="3"/>
      <c r="J3" s="3"/>
      <c r="K3" s="1"/>
      <c r="L3" s="16"/>
      <c r="M3" s="17"/>
      <c r="N3" s="11"/>
    </row>
    <row r="4">
      <c r="A4" s="3"/>
      <c r="B4" s="185" t="s">
        <v>82</v>
      </c>
      <c r="D4" s="20"/>
      <c r="E4" s="186" t="s">
        <v>83</v>
      </c>
      <c r="F4" s="187"/>
      <c r="G4" s="187"/>
      <c r="H4" s="187"/>
      <c r="I4" s="187"/>
      <c r="J4" s="187"/>
      <c r="K4" s="19"/>
      <c r="L4" s="16"/>
      <c r="M4" s="11"/>
      <c r="N4" s="11"/>
    </row>
    <row r="5">
      <c r="A5" s="3"/>
      <c r="B5" s="188" t="s">
        <v>84</v>
      </c>
      <c r="C5" s="189">
        <v>0.06</v>
      </c>
      <c r="D5" s="20"/>
      <c r="E5" s="68"/>
      <c r="F5" s="190"/>
      <c r="G5" s="190"/>
      <c r="H5" s="190"/>
      <c r="I5" s="190"/>
      <c r="J5" s="190"/>
      <c r="K5" s="69"/>
      <c r="L5" s="16"/>
      <c r="M5" s="11"/>
      <c r="N5" s="11"/>
    </row>
    <row r="6">
      <c r="A6" s="3"/>
      <c r="B6" s="188" t="s">
        <v>85</v>
      </c>
      <c r="C6" s="188">
        <v>1.0</v>
      </c>
      <c r="D6" s="6"/>
      <c r="E6" s="1"/>
      <c r="F6" s="191"/>
      <c r="G6" s="192"/>
      <c r="H6" s="192"/>
      <c r="I6" s="192"/>
      <c r="J6" s="192"/>
      <c r="K6" s="192"/>
      <c r="L6" s="16"/>
      <c r="M6" s="11"/>
      <c r="N6" s="11"/>
    </row>
    <row r="7">
      <c r="A7" s="3"/>
      <c r="B7" s="188"/>
      <c r="C7" s="188"/>
      <c r="D7" s="33"/>
      <c r="E7" s="193" t="s">
        <v>86</v>
      </c>
      <c r="G7" s="194"/>
      <c r="H7" s="194"/>
      <c r="I7" s="194"/>
      <c r="J7" s="194"/>
      <c r="K7" s="194"/>
      <c r="L7" s="37"/>
      <c r="M7" s="17"/>
      <c r="N7" s="17"/>
    </row>
    <row r="8">
      <c r="A8" s="1"/>
      <c r="B8" s="188"/>
      <c r="C8" s="188"/>
      <c r="D8" s="6"/>
      <c r="E8" s="1"/>
      <c r="F8" s="3"/>
      <c r="G8" s="3"/>
      <c r="H8" s="3"/>
      <c r="I8" s="3"/>
      <c r="J8" s="3"/>
      <c r="K8" s="3"/>
      <c r="L8" s="6"/>
      <c r="M8" s="11"/>
      <c r="N8" s="11"/>
    </row>
    <row r="9">
      <c r="A9" s="1"/>
      <c r="B9" s="185" t="s">
        <v>87</v>
      </c>
      <c r="D9" s="6"/>
      <c r="E9" s="1"/>
      <c r="F9" s="195" t="s">
        <v>88</v>
      </c>
      <c r="G9" s="194"/>
      <c r="H9" s="194"/>
      <c r="I9" s="196">
        <f>Valuation!C26</f>
        <v>6160000</v>
      </c>
      <c r="K9" s="197" t="s">
        <v>89</v>
      </c>
      <c r="L9" s="6"/>
      <c r="M9" s="11"/>
      <c r="N9" s="11"/>
    </row>
    <row r="10">
      <c r="A10" s="3"/>
      <c r="B10" s="188" t="s">
        <v>90</v>
      </c>
      <c r="D10" s="6"/>
      <c r="E10" s="1"/>
      <c r="F10" s="198" t="s">
        <v>91</v>
      </c>
      <c r="G10" s="192"/>
      <c r="H10" s="192"/>
      <c r="I10" s="196">
        <f>Valuation!K25</f>
        <v>7304082</v>
      </c>
      <c r="K10" s="197" t="s">
        <v>89</v>
      </c>
      <c r="L10" s="6"/>
      <c r="M10" s="11"/>
      <c r="N10" s="11"/>
    </row>
    <row r="11">
      <c r="A11" s="1"/>
      <c r="D11" s="48"/>
      <c r="E11" s="1"/>
      <c r="F11" s="191"/>
      <c r="G11" s="192"/>
      <c r="H11" s="192"/>
      <c r="I11" s="192"/>
      <c r="J11" s="192"/>
      <c r="K11" s="192"/>
      <c r="L11" s="6"/>
      <c r="M11" s="11"/>
      <c r="N11" s="11"/>
    </row>
    <row r="12">
      <c r="A12" s="1"/>
      <c r="B12" s="188" t="s">
        <v>92</v>
      </c>
      <c r="D12" s="49"/>
      <c r="E12" s="3"/>
      <c r="F12" s="195" t="s">
        <v>93</v>
      </c>
      <c r="G12" s="1"/>
      <c r="H12" s="195" t="s">
        <v>94</v>
      </c>
      <c r="I12" s="1"/>
      <c r="J12" s="195"/>
      <c r="K12" s="1"/>
      <c r="L12" s="6"/>
      <c r="M12" s="11"/>
      <c r="N12" s="11"/>
    </row>
    <row r="13">
      <c r="A13" s="1"/>
      <c r="B13" s="188" t="s">
        <v>95</v>
      </c>
      <c r="D13" s="54"/>
      <c r="E13" s="3"/>
      <c r="F13" s="195" t="s">
        <v>93</v>
      </c>
      <c r="G13" s="3"/>
      <c r="H13" s="199">
        <f>I9/(I9+I10)</f>
        <v>0.4575135535</v>
      </c>
      <c r="I13" s="3"/>
      <c r="J13" s="3"/>
      <c r="K13" s="3"/>
      <c r="L13" s="6"/>
      <c r="M13" s="11"/>
      <c r="N13" s="11"/>
    </row>
    <row r="14">
      <c r="A14" s="1"/>
      <c r="D14" s="55"/>
      <c r="E14" s="1"/>
      <c r="F14" s="1"/>
      <c r="G14" s="194"/>
      <c r="H14" s="194"/>
      <c r="I14" s="194"/>
      <c r="J14" s="194"/>
      <c r="K14" s="194"/>
      <c r="L14" s="3"/>
      <c r="M14" s="11"/>
      <c r="N14" s="11"/>
    </row>
    <row r="15">
      <c r="A15" s="1"/>
      <c r="D15" s="55"/>
      <c r="E15" s="3"/>
      <c r="F15" s="200" t="s">
        <v>96</v>
      </c>
      <c r="G15" s="192"/>
      <c r="H15" s="200" t="s">
        <v>97</v>
      </c>
      <c r="I15" s="192"/>
      <c r="J15" s="192"/>
      <c r="K15" s="192"/>
      <c r="L15" s="6"/>
      <c r="M15" s="11"/>
      <c r="N15" s="11"/>
    </row>
    <row r="16">
      <c r="A16" s="1"/>
      <c r="D16" s="55"/>
      <c r="E16" s="1"/>
      <c r="F16" s="200" t="s">
        <v>96</v>
      </c>
      <c r="G16" s="192"/>
      <c r="H16" s="201">
        <f>I10/(I9+I10)</f>
        <v>0.5424864465</v>
      </c>
      <c r="I16" s="192"/>
      <c r="J16" s="192"/>
      <c r="K16" s="192"/>
      <c r="L16" s="6"/>
      <c r="M16" s="11"/>
      <c r="N16" s="11"/>
    </row>
    <row r="17">
      <c r="A17" s="1"/>
      <c r="B17" s="188"/>
      <c r="C17" s="188"/>
      <c r="D17" s="57"/>
      <c r="E17" s="3"/>
      <c r="F17" s="191"/>
      <c r="G17" s="192"/>
      <c r="H17" s="192"/>
      <c r="I17" s="192"/>
      <c r="J17" s="192"/>
      <c r="K17" s="192"/>
      <c r="L17" s="62"/>
      <c r="M17" s="63"/>
      <c r="N17" s="63"/>
      <c r="O17" s="64"/>
    </row>
    <row r="18">
      <c r="A18" s="1"/>
      <c r="B18" s="188"/>
      <c r="C18" s="188"/>
      <c r="D18" s="65"/>
      <c r="E18" s="193" t="s">
        <v>98</v>
      </c>
      <c r="G18" s="192"/>
      <c r="H18" s="192"/>
      <c r="I18" s="192"/>
      <c r="J18" s="192"/>
      <c r="K18" s="192"/>
      <c r="L18" s="62"/>
      <c r="M18" s="63"/>
      <c r="N18" s="63"/>
      <c r="O18" s="64"/>
    </row>
    <row r="19">
      <c r="A19" s="1"/>
      <c r="B19" s="188"/>
      <c r="C19" s="188"/>
      <c r="D19" s="65"/>
      <c r="E19" s="195"/>
      <c r="F19" s="191"/>
      <c r="G19" s="192"/>
      <c r="H19" s="192"/>
      <c r="I19" s="192"/>
      <c r="J19" s="192"/>
      <c r="K19" s="192"/>
      <c r="L19" s="62"/>
      <c r="M19" s="63"/>
      <c r="N19" s="63"/>
      <c r="O19" s="64"/>
    </row>
    <row r="20">
      <c r="A20" s="1"/>
      <c r="B20" s="188"/>
      <c r="C20" s="188"/>
      <c r="D20" s="202"/>
      <c r="E20" s="1"/>
      <c r="F20" s="195" t="s">
        <v>99</v>
      </c>
      <c r="G20" s="192"/>
      <c r="H20" s="192"/>
      <c r="I20" s="192"/>
      <c r="J20" s="192"/>
      <c r="K20" s="192"/>
      <c r="L20" s="1"/>
      <c r="M20" s="67"/>
      <c r="N20" s="63"/>
      <c r="O20" s="64"/>
    </row>
    <row r="21">
      <c r="A21" s="3"/>
      <c r="B21" s="188"/>
      <c r="C21" s="188"/>
      <c r="D21" s="6"/>
      <c r="E21" s="195"/>
      <c r="F21" s="1"/>
      <c r="G21" s="115"/>
      <c r="H21" s="203"/>
      <c r="I21" s="115"/>
      <c r="J21" s="203"/>
      <c r="K21" s="203"/>
      <c r="L21" s="62"/>
      <c r="M21" s="63"/>
      <c r="N21" s="63"/>
      <c r="O21" s="64"/>
    </row>
    <row r="22">
      <c r="A22" s="3"/>
      <c r="B22" s="6"/>
      <c r="C22" s="73"/>
      <c r="D22" s="57"/>
      <c r="E22" s="3"/>
      <c r="F22" s="198" t="s">
        <v>100</v>
      </c>
      <c r="G22" s="191"/>
      <c r="H22" s="204">
        <f>IFERROR(__xludf.DUMMYFUNCTION("GOOGLEFINANCE(""INDEXCBOE:TNX"")/1000"),0.046259999999999996)</f>
        <v>0.04626</v>
      </c>
      <c r="I22" s="115"/>
      <c r="J22" s="191"/>
      <c r="K22" s="115">
        <f>IFERROR(__xludf.DUMMYFUNCTION("INDEX(importhtml(""https://www.multpl.com/10-year-treasury-rate/table/by-year"",""table"",1),2,2)"),0.0463)</f>
        <v>0.0463</v>
      </c>
      <c r="L22" s="62" t="s">
        <v>101</v>
      </c>
      <c r="M22" s="63"/>
      <c r="N22" s="63"/>
      <c r="O22" s="64"/>
    </row>
    <row r="23">
      <c r="A23" s="1"/>
      <c r="B23" s="1"/>
      <c r="C23" s="1"/>
      <c r="D23" s="3"/>
      <c r="E23" s="3"/>
      <c r="F23" s="195" t="s">
        <v>102</v>
      </c>
      <c r="G23" s="192"/>
      <c r="H23" s="205">
        <f>C6</f>
        <v>1</v>
      </c>
      <c r="I23" s="192"/>
      <c r="J23" s="192"/>
      <c r="K23" s="192"/>
      <c r="L23" s="1"/>
      <c r="M23" s="63"/>
      <c r="N23" s="63"/>
      <c r="O23" s="64"/>
    </row>
    <row r="24">
      <c r="A24" s="1"/>
      <c r="B24" s="1"/>
      <c r="C24" s="3"/>
      <c r="D24" s="3"/>
      <c r="E24" s="1"/>
      <c r="F24" s="195" t="s">
        <v>103</v>
      </c>
      <c r="G24" s="1"/>
      <c r="H24" s="206">
        <f>H22+C5</f>
        <v>0.10626</v>
      </c>
      <c r="I24" s="207" t="s">
        <v>104</v>
      </c>
      <c r="M24" s="63"/>
      <c r="N24" s="63"/>
      <c r="O24" s="64"/>
    </row>
    <row r="25">
      <c r="A25" s="1"/>
      <c r="B25" s="1"/>
      <c r="C25" s="196"/>
      <c r="D25" s="3"/>
      <c r="E25" s="1"/>
      <c r="F25" s="191"/>
      <c r="G25" s="192"/>
      <c r="H25" s="192"/>
      <c r="M25" s="63"/>
      <c r="N25" s="63"/>
      <c r="O25" s="64"/>
    </row>
    <row r="26">
      <c r="A26" s="1"/>
      <c r="B26" s="1"/>
      <c r="C26" s="196"/>
      <c r="D26" s="3"/>
      <c r="E26" s="1"/>
      <c r="F26" s="198" t="s">
        <v>105</v>
      </c>
      <c r="G26" s="192"/>
      <c r="H26" s="208">
        <f>H22+H23*(H24-H22)</f>
        <v>0.10626</v>
      </c>
      <c r="I26" s="192"/>
      <c r="J26" s="192"/>
      <c r="K26" s="192"/>
      <c r="L26" s="1"/>
      <c r="M26" s="63"/>
      <c r="N26" s="63"/>
      <c r="O26" s="64"/>
    </row>
    <row r="27">
      <c r="A27" s="1"/>
      <c r="B27" s="1"/>
      <c r="C27" s="196"/>
      <c r="D27" s="3"/>
      <c r="E27" s="1"/>
      <c r="F27" s="191"/>
      <c r="G27" s="192"/>
      <c r="H27" s="192"/>
      <c r="I27" s="192"/>
      <c r="J27" s="192"/>
      <c r="K27" s="192"/>
      <c r="L27" s="1"/>
      <c r="M27" s="63"/>
      <c r="N27" s="63"/>
      <c r="O27" s="64"/>
    </row>
    <row r="28">
      <c r="A28" s="1"/>
      <c r="B28" s="1"/>
      <c r="C28" s="115"/>
      <c r="D28" s="3"/>
      <c r="E28" s="193" t="s">
        <v>106</v>
      </c>
      <c r="H28" s="192"/>
      <c r="I28" s="192"/>
      <c r="J28" s="192"/>
      <c r="K28" s="192"/>
      <c r="L28" s="1"/>
      <c r="M28" s="63"/>
      <c r="N28" s="63"/>
      <c r="O28" s="64"/>
    </row>
    <row r="29">
      <c r="A29" s="1"/>
      <c r="B29" s="1"/>
      <c r="C29" s="196"/>
      <c r="D29" s="3"/>
      <c r="E29" s="1"/>
      <c r="F29" s="191"/>
      <c r="G29" s="192"/>
      <c r="H29" s="192"/>
      <c r="I29" s="192"/>
      <c r="J29" s="192"/>
      <c r="K29" s="192"/>
      <c r="L29" s="1"/>
      <c r="M29" s="63"/>
      <c r="N29" s="63"/>
      <c r="O29" s="64"/>
    </row>
    <row r="30">
      <c r="A30" s="1"/>
      <c r="B30" s="3"/>
      <c r="C30" s="191"/>
      <c r="D30" s="3"/>
      <c r="E30" s="1"/>
      <c r="F30" s="195" t="s">
        <v>107</v>
      </c>
      <c r="G30" s="1"/>
      <c r="H30" s="115"/>
      <c r="I30" s="115"/>
      <c r="J30" s="115"/>
      <c r="K30" s="3"/>
      <c r="L30" s="1"/>
      <c r="M30" s="63"/>
      <c r="N30" s="63"/>
      <c r="O30" s="64"/>
    </row>
    <row r="31">
      <c r="A31" s="3"/>
      <c r="B31" s="3"/>
      <c r="C31" s="191"/>
      <c r="D31" s="3"/>
      <c r="E31" s="1"/>
      <c r="F31" s="202"/>
      <c r="G31" s="192"/>
      <c r="H31" s="192"/>
      <c r="I31" s="192"/>
      <c r="J31" s="192"/>
      <c r="K31" s="192"/>
      <c r="L31" s="1"/>
      <c r="M31" s="63"/>
      <c r="N31" s="63"/>
      <c r="O31" s="64"/>
    </row>
    <row r="32">
      <c r="A32" s="3"/>
      <c r="B32" s="1"/>
      <c r="C32" s="191"/>
      <c r="D32" s="3"/>
      <c r="E32" s="1"/>
      <c r="F32" s="209" t="s">
        <v>108</v>
      </c>
      <c r="G32" s="192"/>
      <c r="H32" s="174">
        <f>-Valuation!K16 / 4</f>
        <v>0</v>
      </c>
      <c r="I32" s="192"/>
      <c r="J32" s="192"/>
      <c r="K32" s="192"/>
      <c r="L32" s="3"/>
      <c r="M32" s="11"/>
      <c r="N32" s="11"/>
    </row>
    <row r="33">
      <c r="A33" s="3"/>
      <c r="B33" s="1"/>
      <c r="C33" s="191"/>
      <c r="D33" s="3"/>
      <c r="E33" s="1"/>
      <c r="F33" s="209" t="s">
        <v>109</v>
      </c>
      <c r="G33" s="192"/>
      <c r="H33" s="174">
        <f>I10</f>
        <v>7304082</v>
      </c>
      <c r="I33" s="192"/>
      <c r="J33" s="192"/>
      <c r="K33" s="192"/>
      <c r="L33" s="1"/>
      <c r="M33" s="63"/>
      <c r="N33" s="63"/>
      <c r="O33" s="64"/>
    </row>
    <row r="34">
      <c r="A34" s="3"/>
      <c r="B34" s="3"/>
      <c r="C34" s="191"/>
      <c r="D34" s="1"/>
      <c r="E34" s="1"/>
      <c r="F34" s="202"/>
      <c r="G34" s="192"/>
      <c r="H34" s="192"/>
      <c r="I34" s="192"/>
      <c r="J34" s="192"/>
      <c r="K34" s="192"/>
      <c r="L34" s="1"/>
      <c r="M34" s="63"/>
      <c r="N34" s="63"/>
      <c r="O34" s="64"/>
    </row>
    <row r="35">
      <c r="A35" s="1"/>
      <c r="B35" s="1"/>
      <c r="C35" s="101"/>
      <c r="D35" s="115"/>
      <c r="E35" s="1"/>
      <c r="F35" s="209" t="s">
        <v>110</v>
      </c>
      <c r="G35" s="192"/>
      <c r="H35" s="208">
        <f>H32/H33</f>
        <v>0</v>
      </c>
      <c r="I35" s="192"/>
      <c r="J35" s="192"/>
      <c r="K35" s="192"/>
      <c r="L35" s="1"/>
      <c r="M35" s="63"/>
      <c r="N35" s="63"/>
      <c r="O35" s="64"/>
    </row>
    <row r="36">
      <c r="A36" s="1"/>
      <c r="B36" s="1"/>
      <c r="C36" s="115"/>
      <c r="D36" s="1"/>
      <c r="E36" s="1"/>
      <c r="F36" s="210"/>
      <c r="G36" s="210"/>
      <c r="H36" s="210"/>
      <c r="I36" s="1"/>
      <c r="J36" s="3"/>
      <c r="K36" s="3"/>
      <c r="L36" s="3"/>
      <c r="M36" s="11"/>
      <c r="N36" s="11"/>
    </row>
    <row r="37">
      <c r="A37" s="3"/>
      <c r="B37" s="1"/>
      <c r="C37" s="115"/>
      <c r="D37" s="1"/>
      <c r="E37" s="193" t="s">
        <v>111</v>
      </c>
      <c r="G37" s="211" t="s">
        <v>112</v>
      </c>
      <c r="H37" s="192"/>
      <c r="I37" s="192"/>
      <c r="J37" s="192"/>
      <c r="K37" s="192"/>
      <c r="L37" s="3"/>
      <c r="M37" s="11"/>
      <c r="N37" s="11"/>
    </row>
    <row r="38">
      <c r="A38" s="3"/>
      <c r="B38" s="3"/>
      <c r="C38" s="196"/>
      <c r="D38" s="1"/>
      <c r="E38" s="1"/>
      <c r="F38" s="202"/>
      <c r="G38" s="192"/>
      <c r="H38" s="192"/>
      <c r="I38" s="192"/>
      <c r="J38" s="192"/>
      <c r="K38" s="192"/>
      <c r="L38" s="3"/>
      <c r="M38" s="11"/>
      <c r="N38" s="11"/>
    </row>
    <row r="39">
      <c r="A39" s="3"/>
      <c r="B39" s="3"/>
      <c r="C39" s="196"/>
      <c r="D39" s="1"/>
      <c r="E39" s="1"/>
      <c r="F39" s="209" t="s">
        <v>113</v>
      </c>
      <c r="G39" s="192"/>
      <c r="H39" s="192"/>
      <c r="I39" s="192"/>
      <c r="J39" s="192"/>
      <c r="K39" s="192"/>
      <c r="L39" s="3"/>
      <c r="M39" s="11"/>
      <c r="N39" s="11"/>
    </row>
    <row r="40">
      <c r="A40" s="3"/>
      <c r="B40" s="3"/>
      <c r="C40" s="1"/>
      <c r="D40" s="1"/>
      <c r="E40" s="1"/>
      <c r="F40" s="202"/>
      <c r="G40" s="192"/>
      <c r="H40" s="192"/>
      <c r="I40" s="192"/>
      <c r="J40" s="192"/>
      <c r="K40" s="192"/>
      <c r="L40" s="3"/>
      <c r="M40" s="11"/>
      <c r="N40" s="11"/>
    </row>
    <row r="41">
      <c r="A41" s="1"/>
      <c r="B41" s="1"/>
      <c r="C41" s="196"/>
      <c r="D41" s="1"/>
      <c r="E41" s="1"/>
      <c r="F41" s="209" t="s">
        <v>114</v>
      </c>
      <c r="G41" s="192"/>
      <c r="H41" s="174">
        <f>Valuation!K19</f>
        <v>1337673</v>
      </c>
      <c r="I41" s="192"/>
      <c r="J41" s="192"/>
      <c r="K41" s="192"/>
      <c r="L41" s="3"/>
      <c r="M41" s="11"/>
      <c r="N41" s="11"/>
    </row>
    <row r="42">
      <c r="A42" s="1"/>
      <c r="B42" s="1"/>
      <c r="C42" s="115"/>
      <c r="D42" s="1"/>
      <c r="E42" s="1"/>
      <c r="F42" s="195" t="s">
        <v>115</v>
      </c>
      <c r="G42" s="115"/>
      <c r="H42" s="174">
        <f>Valuation!K18</f>
        <v>9028261</v>
      </c>
      <c r="I42" s="3"/>
      <c r="J42" s="3"/>
      <c r="K42" s="3"/>
      <c r="L42" s="3"/>
      <c r="M42" s="11"/>
      <c r="N42" s="11"/>
    </row>
    <row r="43">
      <c r="A43" s="3"/>
      <c r="B43" s="1"/>
      <c r="C43" s="115"/>
      <c r="D43" s="115"/>
      <c r="E43" s="1"/>
      <c r="F43" s="1"/>
      <c r="G43" s="115"/>
      <c r="H43" s="196"/>
      <c r="I43" s="1"/>
      <c r="J43" s="1"/>
      <c r="K43" s="1"/>
      <c r="L43" s="1"/>
      <c r="M43" s="11"/>
      <c r="N43" s="11"/>
    </row>
    <row r="44">
      <c r="A44" s="1"/>
      <c r="B44" s="1"/>
      <c r="C44" s="1"/>
      <c r="D44" s="115"/>
      <c r="E44" s="1"/>
      <c r="F44" s="195" t="s">
        <v>116</v>
      </c>
      <c r="G44" s="115"/>
      <c r="H44" s="208">
        <f>H41/H42</f>
        <v>0.1481650785</v>
      </c>
      <c r="I44" s="1"/>
      <c r="J44" s="1"/>
      <c r="K44" s="1"/>
      <c r="L44" s="1"/>
      <c r="M44" s="11"/>
      <c r="N44" s="11"/>
    </row>
    <row r="45">
      <c r="A45" s="1"/>
      <c r="B45" s="1"/>
      <c r="C45" s="196"/>
      <c r="D45" s="115"/>
      <c r="E45" s="1"/>
      <c r="F45" s="174"/>
      <c r="G45" s="1"/>
      <c r="H45" s="174"/>
      <c r="I45" s="115"/>
      <c r="J45" s="174"/>
      <c r="K45" s="174"/>
      <c r="L45" s="1"/>
      <c r="M45" s="11"/>
      <c r="N45" s="11"/>
    </row>
    <row r="46">
      <c r="A46" s="1"/>
      <c r="B46" s="1"/>
      <c r="C46" s="115"/>
      <c r="D46" s="115"/>
      <c r="E46" s="1"/>
      <c r="F46" s="174"/>
      <c r="G46" s="1"/>
      <c r="H46" s="174"/>
      <c r="I46" s="115"/>
      <c r="J46" s="174"/>
      <c r="K46" s="174"/>
      <c r="L46" s="115"/>
      <c r="M46" s="141"/>
      <c r="N46" s="141"/>
    </row>
    <row r="47">
      <c r="A47" s="1"/>
      <c r="B47" s="1"/>
      <c r="C47" s="115"/>
      <c r="D47" s="3"/>
      <c r="E47" s="193" t="s">
        <v>117</v>
      </c>
      <c r="F47" s="208">
        <f>H13*H26+H16*H35*(1-H44)</f>
        <v>0.04861539019</v>
      </c>
      <c r="G47" s="115"/>
      <c r="H47" s="174"/>
      <c r="I47" s="115"/>
      <c r="J47" s="174"/>
      <c r="K47" s="174"/>
      <c r="L47" s="115"/>
      <c r="M47" s="141"/>
      <c r="N47" s="141"/>
    </row>
    <row r="48">
      <c r="A48" s="3"/>
      <c r="B48" s="1"/>
      <c r="C48" s="196"/>
      <c r="D48" s="1"/>
      <c r="E48" s="1"/>
      <c r="F48" s="174"/>
      <c r="G48" s="115"/>
      <c r="H48" s="174"/>
      <c r="I48" s="115"/>
      <c r="J48" s="174"/>
      <c r="K48" s="174"/>
      <c r="L48" s="115"/>
      <c r="M48" s="141"/>
      <c r="N48" s="141"/>
    </row>
    <row r="49">
      <c r="A49" s="3"/>
      <c r="B49" s="1"/>
      <c r="C49" s="196"/>
      <c r="D49" s="1"/>
      <c r="E49" s="1"/>
      <c r="F49" s="174"/>
      <c r="G49" s="115"/>
      <c r="H49" s="174"/>
      <c r="I49" s="115"/>
      <c r="J49" s="174"/>
      <c r="K49" s="174"/>
      <c r="L49" s="115"/>
      <c r="M49" s="141"/>
      <c r="N49" s="141"/>
    </row>
    <row r="50">
      <c r="A50" s="3"/>
      <c r="B50" s="195" t="s">
        <v>118</v>
      </c>
      <c r="C50" s="115"/>
      <c r="D50" s="1"/>
      <c r="E50" s="1"/>
      <c r="F50" s="174"/>
      <c r="G50" s="115"/>
      <c r="H50" s="174"/>
      <c r="I50" s="115"/>
      <c r="J50" s="174"/>
      <c r="K50" s="174"/>
      <c r="L50" s="115"/>
      <c r="M50" s="141"/>
      <c r="N50" s="141"/>
    </row>
    <row r="51">
      <c r="A51" s="1"/>
      <c r="B51" s="195" t="s">
        <v>119</v>
      </c>
      <c r="C51" s="3"/>
      <c r="D51" s="1"/>
      <c r="E51" s="1"/>
      <c r="F51" s="174"/>
      <c r="G51" s="115"/>
      <c r="H51" s="174"/>
      <c r="I51" s="115"/>
      <c r="J51" s="174"/>
      <c r="K51" s="174"/>
      <c r="L51" s="3"/>
      <c r="M51" s="11"/>
      <c r="N51" s="11"/>
    </row>
    <row r="52">
      <c r="A52" s="1"/>
      <c r="B52" s="195" t="s">
        <v>120</v>
      </c>
      <c r="C52" s="203"/>
      <c r="D52" s="1"/>
      <c r="E52" s="3"/>
      <c r="F52" s="174"/>
      <c r="G52" s="115"/>
      <c r="H52" s="174"/>
      <c r="I52" s="115"/>
      <c r="J52" s="174"/>
      <c r="K52" s="174"/>
      <c r="L52" s="1"/>
      <c r="M52" s="11"/>
      <c r="N52" s="11"/>
    </row>
    <row r="53">
      <c r="A53" s="1"/>
      <c r="B53" s="1"/>
      <c r="C53" s="115"/>
      <c r="D53" s="1"/>
      <c r="E53" s="3"/>
      <c r="F53" s="174"/>
      <c r="G53" s="1"/>
      <c r="H53" s="174"/>
      <c r="I53" s="115"/>
      <c r="J53" s="174"/>
      <c r="K53" s="174"/>
      <c r="L53" s="1"/>
      <c r="M53" s="11"/>
      <c r="N53" s="11"/>
    </row>
    <row r="54">
      <c r="A54" s="1"/>
      <c r="B54" s="1"/>
      <c r="C54" s="193" t="s">
        <v>117</v>
      </c>
      <c r="D54" s="208">
        <f>F47</f>
        <v>0.04861539019</v>
      </c>
      <c r="E54" s="3"/>
      <c r="F54" s="174"/>
      <c r="G54" s="115"/>
      <c r="H54" s="174"/>
      <c r="I54" s="115"/>
      <c r="J54" s="174"/>
      <c r="K54" s="174"/>
      <c r="L54" s="1"/>
      <c r="M54" s="11"/>
      <c r="N54" s="11"/>
    </row>
    <row r="55">
      <c r="A55" s="3"/>
      <c r="B55" s="1"/>
      <c r="C55" s="212" t="s">
        <v>37</v>
      </c>
      <c r="D55" s="208">
        <f>Valuation!C28</f>
        <v>1.003308578</v>
      </c>
      <c r="E55" s="3"/>
      <c r="F55" s="174"/>
      <c r="G55" s="115"/>
      <c r="H55" s="174"/>
      <c r="I55" s="115"/>
      <c r="J55" s="174"/>
      <c r="K55" s="174"/>
      <c r="L55" s="1"/>
      <c r="M55" s="11"/>
      <c r="N55" s="11"/>
    </row>
    <row r="56">
      <c r="A56" s="3"/>
      <c r="B56" s="1"/>
      <c r="C56" s="212"/>
      <c r="D56" s="213"/>
      <c r="E56" s="3"/>
      <c r="F56" s="174"/>
      <c r="G56" s="115"/>
      <c r="H56" s="174"/>
      <c r="I56" s="115"/>
      <c r="J56" s="174"/>
      <c r="K56" s="174"/>
      <c r="L56" s="1"/>
      <c r="M56" s="11"/>
      <c r="N56" s="11"/>
    </row>
    <row r="57">
      <c r="A57" s="1"/>
      <c r="B57" s="1"/>
      <c r="C57" s="115"/>
      <c r="D57" s="1"/>
      <c r="E57" s="1"/>
      <c r="F57" s="174"/>
      <c r="G57" s="115"/>
      <c r="H57" s="174"/>
      <c r="I57" s="115"/>
      <c r="J57" s="174"/>
      <c r="K57" s="174"/>
      <c r="L57" s="3"/>
      <c r="M57" s="11"/>
      <c r="N57" s="11"/>
    </row>
    <row r="58">
      <c r="A58" s="1"/>
      <c r="B58" s="195" t="s">
        <v>121</v>
      </c>
      <c r="C58" s="115"/>
      <c r="D58" s="1"/>
      <c r="E58" s="1"/>
      <c r="F58" s="174"/>
      <c r="G58" s="115"/>
      <c r="H58" s="174"/>
      <c r="I58" s="115"/>
      <c r="J58" s="174"/>
      <c r="K58" s="174"/>
      <c r="L58" s="3"/>
      <c r="M58" s="11"/>
      <c r="N58" s="11"/>
    </row>
    <row r="59">
      <c r="A59" s="1"/>
      <c r="B59" s="195" t="s">
        <v>122</v>
      </c>
      <c r="C59" s="1"/>
      <c r="D59" s="1"/>
      <c r="E59" s="1"/>
      <c r="F59" s="174"/>
      <c r="G59" s="115"/>
      <c r="H59" s="174"/>
      <c r="I59" s="115"/>
      <c r="J59" s="174"/>
      <c r="K59" s="174"/>
      <c r="L59" s="3"/>
      <c r="M59" s="11"/>
      <c r="N59" s="11"/>
    </row>
    <row r="60">
      <c r="A60" s="1"/>
      <c r="B60" s="195" t="s">
        <v>123</v>
      </c>
      <c r="C60" s="1"/>
      <c r="D60" s="1"/>
      <c r="E60" s="1"/>
      <c r="F60" s="174"/>
      <c r="G60" s="115"/>
      <c r="H60" s="174"/>
      <c r="I60" s="115"/>
      <c r="J60" s="174"/>
      <c r="K60" s="174"/>
      <c r="L60" s="3"/>
      <c r="M60" s="11"/>
      <c r="N60" s="11"/>
    </row>
    <row r="61">
      <c r="A61" s="1"/>
      <c r="B61" s="1"/>
      <c r="C61" s="1"/>
      <c r="D61" s="1"/>
      <c r="E61" s="1"/>
      <c r="F61" s="1"/>
      <c r="G61" s="1"/>
      <c r="H61" s="196"/>
      <c r="I61" s="1"/>
      <c r="J61" s="1"/>
      <c r="K61" s="1"/>
      <c r="L61" s="3"/>
      <c r="M61" s="11"/>
      <c r="N61" s="11"/>
    </row>
    <row r="62">
      <c r="A62" s="1"/>
      <c r="B62" s="1"/>
      <c r="C62" s="1"/>
      <c r="D62" s="1"/>
      <c r="E62" s="1"/>
      <c r="F62" s="115"/>
      <c r="G62" s="115"/>
      <c r="H62" s="196"/>
      <c r="I62" s="1"/>
      <c r="J62" s="1"/>
      <c r="K62" s="3"/>
      <c r="L62" s="3"/>
      <c r="M62" s="11"/>
      <c r="N62" s="11"/>
    </row>
    <row r="63">
      <c r="A63" s="115"/>
      <c r="B63" s="1"/>
      <c r="C63" s="1"/>
      <c r="D63" s="115"/>
      <c r="E63" s="1"/>
      <c r="F63" s="174"/>
      <c r="G63" s="115"/>
      <c r="H63" s="174"/>
      <c r="I63" s="174"/>
      <c r="J63" s="174"/>
      <c r="K63" s="191"/>
      <c r="L63" s="214"/>
      <c r="M63" s="11"/>
      <c r="N63" s="11"/>
    </row>
    <row r="64">
      <c r="A64" s="115"/>
      <c r="B64" s="1"/>
      <c r="C64" s="115"/>
      <c r="D64" s="115"/>
      <c r="E64" s="1"/>
      <c r="F64" s="174"/>
      <c r="G64" s="115"/>
      <c r="H64" s="174"/>
      <c r="I64" s="174"/>
      <c r="J64" s="174"/>
      <c r="K64" s="192"/>
      <c r="L64" s="214"/>
      <c r="M64" s="11"/>
      <c r="N64" s="11"/>
    </row>
    <row r="65">
      <c r="A65" s="115"/>
      <c r="B65" s="1"/>
      <c r="C65" s="174"/>
      <c r="D65" s="115"/>
      <c r="E65" s="1"/>
      <c r="F65" s="174"/>
      <c r="G65" s="115"/>
      <c r="H65" s="174"/>
      <c r="I65" s="174"/>
      <c r="J65" s="174"/>
      <c r="K65" s="192"/>
      <c r="L65" s="214"/>
      <c r="M65" s="11"/>
      <c r="N65" s="11"/>
    </row>
    <row r="66">
      <c r="A66" s="115"/>
      <c r="B66" s="1"/>
      <c r="C66" s="174"/>
      <c r="D66" s="115"/>
      <c r="E66" s="1"/>
      <c r="F66" s="174"/>
      <c r="G66" s="115"/>
      <c r="H66" s="174"/>
      <c r="I66" s="174"/>
      <c r="J66" s="174"/>
      <c r="K66" s="192"/>
      <c r="L66" s="214"/>
      <c r="M66" s="11"/>
      <c r="N66" s="11"/>
    </row>
    <row r="67">
      <c r="A67" s="1"/>
      <c r="B67" s="1"/>
      <c r="C67" s="115"/>
      <c r="D67" s="1"/>
      <c r="E67" s="1"/>
      <c r="F67" s="174"/>
      <c r="G67" s="115"/>
      <c r="H67" s="174"/>
      <c r="I67" s="174"/>
      <c r="J67" s="174"/>
      <c r="K67" s="192"/>
      <c r="L67" s="214"/>
      <c r="M67" s="11"/>
      <c r="N67" s="11"/>
    </row>
    <row r="68">
      <c r="A68" s="1"/>
      <c r="B68" s="1"/>
      <c r="C68" s="1"/>
      <c r="D68" s="1"/>
      <c r="E68" s="1"/>
      <c r="F68" s="174"/>
      <c r="G68" s="115"/>
      <c r="H68" s="174"/>
      <c r="I68" s="174"/>
      <c r="J68" s="174"/>
      <c r="K68" s="192"/>
      <c r="L68" s="3"/>
      <c r="M68" s="11"/>
      <c r="N68" s="11"/>
    </row>
    <row r="69">
      <c r="A69" s="1"/>
      <c r="B69" s="1"/>
      <c r="C69" s="115"/>
      <c r="D69" s="1"/>
      <c r="E69" s="1"/>
      <c r="F69" s="174"/>
      <c r="G69" s="115"/>
      <c r="H69" s="174"/>
      <c r="I69" s="174"/>
      <c r="J69" s="174"/>
      <c r="K69" s="192"/>
      <c r="L69" s="3"/>
      <c r="M69" s="11"/>
      <c r="N69" s="11"/>
    </row>
    <row r="70">
      <c r="A70" s="1"/>
      <c r="B70" s="1"/>
      <c r="C70" s="1"/>
      <c r="D70" s="1"/>
      <c r="E70" s="1"/>
      <c r="F70" s="174"/>
      <c r="G70" s="115"/>
      <c r="H70" s="174"/>
      <c r="I70" s="174"/>
      <c r="J70" s="174"/>
      <c r="K70" s="192"/>
      <c r="L70" s="3"/>
      <c r="M70" s="11"/>
      <c r="N70" s="11"/>
    </row>
    <row r="71">
      <c r="A71" s="1"/>
      <c r="B71" s="1"/>
      <c r="C71" s="1"/>
      <c r="D71" s="1"/>
      <c r="E71" s="1"/>
      <c r="F71" s="174"/>
      <c r="G71" s="115"/>
      <c r="H71" s="174"/>
      <c r="I71" s="174"/>
      <c r="J71" s="174"/>
      <c r="K71" s="192"/>
      <c r="L71" s="3"/>
      <c r="M71" s="11"/>
      <c r="N71" s="11"/>
    </row>
    <row r="72">
      <c r="A72" s="1"/>
      <c r="B72" s="1"/>
      <c r="C72" s="1"/>
      <c r="D72" s="1"/>
      <c r="E72" s="1"/>
      <c r="F72" s="174"/>
      <c r="G72" s="115"/>
      <c r="H72" s="174"/>
      <c r="I72" s="174"/>
      <c r="J72" s="174"/>
      <c r="K72" s="192"/>
      <c r="L72" s="3"/>
      <c r="M72" s="11"/>
      <c r="N72" s="11"/>
    </row>
    <row r="73">
      <c r="A73" s="115"/>
      <c r="B73" s="115"/>
      <c r="C73" s="115"/>
      <c r="D73" s="1"/>
      <c r="E73" s="1"/>
      <c r="F73" s="174"/>
      <c r="G73" s="115"/>
      <c r="H73" s="174"/>
      <c r="I73" s="174"/>
      <c r="J73" s="174"/>
      <c r="K73" s="192"/>
      <c r="L73" s="3"/>
      <c r="M73" s="11"/>
      <c r="N73" s="1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3"/>
      <c r="L74" s="3"/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1"/>
      <c r="D75" s="1"/>
      <c r="E75" s="3"/>
      <c r="F75" s="3"/>
      <c r="G75" s="3"/>
      <c r="H75" s="3"/>
      <c r="I75" s="3"/>
      <c r="J75" s="3"/>
      <c r="K75" s="3"/>
      <c r="L75" s="3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197" t="s">
        <v>124</v>
      </c>
      <c r="C92" s="215" t="s">
        <v>125</v>
      </c>
      <c r="D92" s="216"/>
      <c r="E92" s="216"/>
      <c r="F92" s="216"/>
      <c r="G92" s="216"/>
      <c r="H92" s="216"/>
      <c r="I92" s="216"/>
      <c r="J92" s="216"/>
      <c r="K92" s="21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idden="1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1"/>
      <c r="N95" s="11"/>
    </row>
    <row r="96" hidden="1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1"/>
      <c r="N96" s="11"/>
    </row>
    <row r="97" hidden="1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1"/>
      <c r="N97" s="11"/>
    </row>
    <row r="98" hidden="1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1"/>
      <c r="N98" s="11"/>
    </row>
    <row r="99" hidden="1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1"/>
      <c r="N99" s="11"/>
    </row>
    <row r="100" hidden="1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1"/>
      <c r="N100" s="11"/>
    </row>
    <row r="101" hidden="1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1"/>
      <c r="N101" s="11"/>
    </row>
    <row r="102" hidden="1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1"/>
      <c r="N102" s="11"/>
    </row>
    <row r="103" hidden="1">
      <c r="A103" s="3"/>
      <c r="L103" s="3"/>
    </row>
    <row r="104" hidden="1">
      <c r="A104" s="3"/>
      <c r="L104" s="3"/>
    </row>
    <row r="105" hidden="1">
      <c r="A105" s="3"/>
      <c r="L105" s="3"/>
    </row>
    <row r="106" hidden="1">
      <c r="A106" s="3"/>
      <c r="L106" s="3"/>
    </row>
    <row r="107" hidden="1">
      <c r="A107" s="3"/>
      <c r="L107" s="3"/>
    </row>
    <row r="108" hidden="1">
      <c r="A108" s="3"/>
      <c r="L108" s="3"/>
    </row>
    <row r="109" hidden="1">
      <c r="A109" s="3"/>
      <c r="L109" s="3"/>
    </row>
    <row r="110" hidden="1">
      <c r="A110" s="3"/>
      <c r="L110" s="3"/>
    </row>
    <row r="111" hidden="1">
      <c r="A111" s="3"/>
      <c r="L111" s="3"/>
    </row>
    <row r="112" hidden="1">
      <c r="A112" s="3"/>
      <c r="L112" s="3"/>
    </row>
    <row r="113" hidden="1">
      <c r="A113" s="3"/>
      <c r="L113" s="3"/>
    </row>
    <row r="114" hidden="1">
      <c r="A114" s="3"/>
      <c r="L114" s="3"/>
    </row>
    <row r="115" hidden="1">
      <c r="A115" s="3"/>
      <c r="L115" s="3"/>
    </row>
    <row r="116" hidden="1">
      <c r="A116" s="3"/>
      <c r="L116" s="3"/>
    </row>
    <row r="117" hidden="1">
      <c r="A117" s="3"/>
      <c r="L117" s="3"/>
    </row>
    <row r="118" hidden="1">
      <c r="A118" s="3"/>
      <c r="L118" s="3"/>
    </row>
    <row r="119" hidden="1">
      <c r="A119" s="3"/>
      <c r="L119" s="3"/>
    </row>
    <row r="120" hidden="1">
      <c r="A120" s="3"/>
      <c r="L120" s="3"/>
    </row>
    <row r="121" hidden="1">
      <c r="A121" s="3"/>
      <c r="L121" s="3"/>
    </row>
    <row r="122" hidden="1">
      <c r="A122" s="3"/>
      <c r="L122" s="3"/>
    </row>
    <row r="123" hidden="1">
      <c r="A123" s="3"/>
      <c r="L123" s="3"/>
    </row>
    <row r="124" hidden="1">
      <c r="A124" s="3"/>
      <c r="L124" s="3"/>
    </row>
    <row r="125" hidden="1">
      <c r="A125" s="3"/>
      <c r="L125" s="3"/>
    </row>
    <row r="126" hidden="1">
      <c r="A126" s="3"/>
      <c r="L126" s="3"/>
    </row>
    <row r="127" hidden="1">
      <c r="A127" s="3"/>
      <c r="L127" s="3"/>
    </row>
    <row r="128" hidden="1">
      <c r="A128" s="3"/>
      <c r="L128" s="3"/>
    </row>
    <row r="129" hidden="1">
      <c r="A129" s="3"/>
      <c r="L129" s="3"/>
    </row>
    <row r="130" hidden="1">
      <c r="A130" s="3"/>
      <c r="L130" s="3"/>
    </row>
    <row r="131" hidden="1">
      <c r="A131" s="3"/>
      <c r="L131" s="3"/>
    </row>
    <row r="132" hidden="1">
      <c r="A132" s="3"/>
      <c r="L132" s="3"/>
    </row>
    <row r="133" hidden="1">
      <c r="A133" s="3"/>
      <c r="L133" s="3"/>
    </row>
    <row r="134" hidden="1">
      <c r="A134" s="3"/>
      <c r="L134" s="3"/>
    </row>
    <row r="135" hidden="1">
      <c r="A135" s="3"/>
      <c r="L135" s="3"/>
    </row>
    <row r="136" hidden="1">
      <c r="A136" s="3"/>
      <c r="L136" s="3"/>
    </row>
    <row r="137" hidden="1">
      <c r="A137" s="3"/>
      <c r="L137" s="3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</sheetData>
  <mergeCells count="14">
    <mergeCell ref="B10:C11"/>
    <mergeCell ref="B12:C12"/>
    <mergeCell ref="B13:C16"/>
    <mergeCell ref="E18:F18"/>
    <mergeCell ref="I24:L25"/>
    <mergeCell ref="E28:G28"/>
    <mergeCell ref="E37:F37"/>
    <mergeCell ref="E2:K2"/>
    <mergeCell ref="B4:C4"/>
    <mergeCell ref="E4:K5"/>
    <mergeCell ref="E7:F7"/>
    <mergeCell ref="B9:C9"/>
    <mergeCell ref="I9:J9"/>
    <mergeCell ref="I10:J10"/>
  </mergeCells>
  <hyperlinks>
    <hyperlink r:id="rId2" location=":~:text=What%20is%20PDD%20Holdings%20WACC,capital%20needed%20for%20that%20investment." ref="C92"/>
  </hyperlinks>
  <printOptions horizontalCentered="1"/>
  <pageMargins bottom="0.75" footer="0.0" header="0.0" left="0.7" right="0.7" top="0.75"/>
  <pageSetup fitToHeight="0" cellComments="atEnd" orientation="portrait" pageOrder="overThenDown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17"/>
      <c r="B3" s="218"/>
      <c r="C3" s="219" t="s">
        <v>126</v>
      </c>
      <c r="D3" s="220"/>
      <c r="E3" s="220"/>
      <c r="F3" s="22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22"/>
      <c r="B4" s="222"/>
      <c r="C4" s="222"/>
      <c r="D4" s="22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23"/>
      <c r="B5" s="224" t="s">
        <v>127</v>
      </c>
      <c r="C5" s="223" t="s">
        <v>128</v>
      </c>
      <c r="G5" s="22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23"/>
      <c r="B6" s="224"/>
      <c r="C6" s="223"/>
      <c r="D6" s="223"/>
      <c r="E6" s="223"/>
      <c r="F6" s="223"/>
      <c r="G6" s="22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23"/>
      <c r="B7" s="224" t="s">
        <v>127</v>
      </c>
      <c r="C7" s="225" t="s">
        <v>129</v>
      </c>
      <c r="G7" s="22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23"/>
      <c r="B8" s="224"/>
      <c r="C8" s="226"/>
      <c r="D8" s="226"/>
      <c r="E8" s="226"/>
      <c r="F8" s="226"/>
      <c r="G8" s="22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27"/>
      <c r="B9" s="224" t="s">
        <v>127</v>
      </c>
      <c r="C9" s="227" t="s">
        <v>130</v>
      </c>
      <c r="G9" s="22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27"/>
      <c r="B10" s="224"/>
      <c r="C10" s="227"/>
      <c r="D10" s="227"/>
      <c r="E10" s="227"/>
      <c r="F10" s="227"/>
      <c r="G10" s="22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27"/>
      <c r="B11" s="224" t="s">
        <v>127</v>
      </c>
      <c r="C11" s="228" t="s">
        <v>131</v>
      </c>
      <c r="G11" s="22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27"/>
      <c r="B12" s="224"/>
      <c r="C12" s="227"/>
      <c r="D12" s="227"/>
      <c r="E12" s="227"/>
      <c r="F12" s="227"/>
      <c r="G12" s="22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23"/>
      <c r="B13" s="224" t="s">
        <v>127</v>
      </c>
      <c r="C13" s="227" t="s">
        <v>132</v>
      </c>
      <c r="G13" s="2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23"/>
      <c r="B14" s="224"/>
      <c r="C14" s="227"/>
      <c r="D14" s="227"/>
      <c r="E14" s="227"/>
      <c r="F14" s="227"/>
      <c r="G14" s="2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23"/>
      <c r="B15" s="224" t="s">
        <v>127</v>
      </c>
      <c r="C15" s="228" t="s">
        <v>133</v>
      </c>
      <c r="G15" s="2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23"/>
      <c r="B16" s="224"/>
      <c r="C16" s="227"/>
      <c r="D16" s="227"/>
      <c r="E16" s="227"/>
      <c r="F16" s="227"/>
      <c r="G16" s="2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23"/>
      <c r="B17" s="224" t="s">
        <v>127</v>
      </c>
      <c r="C17" s="227" t="s">
        <v>134</v>
      </c>
      <c r="G17" s="2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23"/>
      <c r="B18" s="224"/>
      <c r="C18" s="227"/>
      <c r="D18" s="227"/>
      <c r="E18" s="227"/>
      <c r="F18" s="227"/>
      <c r="G18" s="2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23"/>
      <c r="B19" s="224" t="s">
        <v>127</v>
      </c>
      <c r="C19" s="228" t="s">
        <v>135</v>
      </c>
      <c r="G19" s="2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27"/>
      <c r="B20" s="227"/>
      <c r="C20" s="227"/>
      <c r="D20" s="227"/>
      <c r="E20" s="227"/>
      <c r="F20" s="22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27"/>
      <c r="B21" s="227"/>
      <c r="C21" s="227"/>
      <c r="D21" s="227"/>
      <c r="E21" s="227"/>
      <c r="F21" s="22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27"/>
      <c r="B22" s="227"/>
      <c r="C22" s="227"/>
      <c r="D22" s="227"/>
      <c r="E22" s="227"/>
      <c r="F22" s="22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27"/>
      <c r="B23" s="227"/>
      <c r="C23" s="227"/>
      <c r="D23" s="227"/>
      <c r="E23" s="227"/>
      <c r="F23" s="22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27"/>
      <c r="B24" s="227"/>
      <c r="C24" s="227"/>
      <c r="D24" s="227"/>
      <c r="E24" s="227"/>
      <c r="F24" s="22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27"/>
      <c r="B25" s="227"/>
      <c r="C25" s="227"/>
      <c r="D25" s="227"/>
      <c r="E25" s="227"/>
      <c r="F25" s="22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29"/>
      <c r="B26" s="227"/>
      <c r="C26" s="227"/>
      <c r="D26" s="227"/>
      <c r="E26" s="227"/>
      <c r="F26" s="22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29"/>
      <c r="B27" s="227"/>
      <c r="C27" s="227"/>
      <c r="D27" s="227"/>
      <c r="E27" s="227"/>
      <c r="F27" s="22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