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ro" sheetId="1" r:id="rId4"/>
    <sheet state="visible" name="Basic Model" sheetId="2" r:id="rId5"/>
    <sheet state="visible" name="Questions" sheetId="3" r:id="rId6"/>
  </sheets>
  <definedNames/>
  <calcPr/>
</workbook>
</file>

<file path=xl/sharedStrings.xml><?xml version="1.0" encoding="utf-8"?>
<sst xmlns="http://schemas.openxmlformats.org/spreadsheetml/2006/main" count="199" uniqueCount="104">
  <si>
    <t>American Airlines</t>
  </si>
  <si>
    <r>
      <rPr>
        <rFont val="Helvetica Neue"/>
        <i/>
        <color theme="1"/>
        <sz val="9.0"/>
      </rPr>
      <t>in millions</t>
    </r>
    <r>
      <rPr>
        <rFont val="Helvetica Neue"/>
        <color theme="1"/>
        <sz val="9.0"/>
      </rPr>
      <t>, exept per shares</t>
    </r>
  </si>
  <si>
    <t>Y18</t>
  </si>
  <si>
    <t>Y19</t>
  </si>
  <si>
    <t>Y20</t>
  </si>
  <si>
    <t>Y21</t>
  </si>
  <si>
    <t>Y22</t>
  </si>
  <si>
    <t>TTM</t>
  </si>
  <si>
    <t>Revenue</t>
  </si>
  <si>
    <t>Revenue Growth</t>
  </si>
  <si>
    <t>COGS</t>
  </si>
  <si>
    <t>Profit Margin</t>
  </si>
  <si>
    <t>Gross Profit</t>
  </si>
  <si>
    <t>Gross Profit Growth</t>
  </si>
  <si>
    <t>SG&amp;A</t>
  </si>
  <si>
    <t>R&amp;D</t>
  </si>
  <si>
    <t>Other Operating Expenses</t>
  </si>
  <si>
    <t>Operating Expenses</t>
  </si>
  <si>
    <t>Operating Income</t>
  </si>
  <si>
    <t>Operating Margin</t>
  </si>
  <si>
    <t>Interest Income</t>
  </si>
  <si>
    <t>-</t>
  </si>
  <si>
    <t>Other expense, net</t>
  </si>
  <si>
    <t>Pretax Income</t>
  </si>
  <si>
    <t>Taxes</t>
  </si>
  <si>
    <t>normalized p/e</t>
  </si>
  <si>
    <t>Net Income</t>
  </si>
  <si>
    <t>Net Income Growth</t>
  </si>
  <si>
    <t>EPS</t>
  </si>
  <si>
    <t>AAL</t>
  </si>
  <si>
    <t>10-K SEC Filing</t>
  </si>
  <si>
    <t>Shares</t>
  </si>
  <si>
    <t>Share Price</t>
  </si>
  <si>
    <t>Total Debt</t>
  </si>
  <si>
    <t>Market Cap (Actual)</t>
  </si>
  <si>
    <t>Shareholder Equity</t>
  </si>
  <si>
    <t>Market Cap (Estimate)</t>
  </si>
  <si>
    <t>Operating Lease Liabilities</t>
  </si>
  <si>
    <t>ROIC</t>
  </si>
  <si>
    <t>Cash and Cash Equivalents</t>
  </si>
  <si>
    <t>EV</t>
  </si>
  <si>
    <t>Invested Capital</t>
  </si>
  <si>
    <t>P/E</t>
  </si>
  <si>
    <t>P/S</t>
  </si>
  <si>
    <t>Share Repurchase</t>
  </si>
  <si>
    <t>P/B</t>
  </si>
  <si>
    <t>Share Issuance Proceeds</t>
  </si>
  <si>
    <t>EV / Revenue</t>
  </si>
  <si>
    <t>Stock Based Comp</t>
  </si>
  <si>
    <t>EV / Pretax Income</t>
  </si>
  <si>
    <t>Debt Issuance</t>
  </si>
  <si>
    <t>Debt Repayment</t>
  </si>
  <si>
    <t>Discount (WAPM)</t>
  </si>
  <si>
    <t>Terminal Growth Rate</t>
  </si>
  <si>
    <t>Operating Cash Flow</t>
  </si>
  <si>
    <t>NPV</t>
  </si>
  <si>
    <t>Investing Cash Flow</t>
  </si>
  <si>
    <t>NPV + Cash - Debt</t>
  </si>
  <si>
    <t>Financing Cash Flow</t>
  </si>
  <si>
    <t>Net Cash Change</t>
  </si>
  <si>
    <t>Expected Price</t>
  </si>
  <si>
    <t>Free Cash Flow</t>
  </si>
  <si>
    <t>Price Safety Margin</t>
  </si>
  <si>
    <t>Year (Projected)</t>
  </si>
  <si>
    <t>Growth Rate</t>
  </si>
  <si>
    <t>GR Margin</t>
  </si>
  <si>
    <t>FCF</t>
  </si>
  <si>
    <t>Debt</t>
  </si>
  <si>
    <t>(NPV + C - 2033 D)</t>
  </si>
  <si>
    <t>--&gt; Share Price</t>
  </si>
  <si>
    <t>Management is expecting to significantly reduce debt over the next year and a half - to be roughly -15B from 2021-2022 highs so ~30B debt with 5-10B cash is my expectation</t>
  </si>
  <si>
    <t>Terminal + 10 Growth Rate</t>
  </si>
  <si>
    <t>Terminal NPV</t>
  </si>
  <si>
    <t>Terminal Share Price</t>
  </si>
  <si>
    <t>Reversed ROR</t>
  </si>
  <si>
    <t>FCF Margin GR</t>
  </si>
  <si>
    <t>2033 FCF:Net Income</t>
  </si>
  <si>
    <t>2043 Disc FCF Margin</t>
  </si>
  <si>
    <t>Terminal Discounted NPV</t>
  </si>
  <si>
    <t>Discounted NI</t>
  </si>
  <si>
    <t>Disc. FCF</t>
  </si>
  <si>
    <t>Block, Inc.</t>
  </si>
  <si>
    <r>
      <rPr>
        <rFont val="Helvetica Neue"/>
        <i/>
        <color theme="1"/>
        <sz val="9.0"/>
      </rPr>
      <t>in millions</t>
    </r>
    <r>
      <rPr>
        <rFont val="Helvetica Neue"/>
        <color theme="1"/>
        <sz val="9.0"/>
      </rPr>
      <t>, exept per shares</t>
    </r>
  </si>
  <si>
    <t>Y23</t>
  </si>
  <si>
    <t>SQ</t>
  </si>
  <si>
    <t>Price</t>
  </si>
  <si>
    <t>Shares Outstanding</t>
  </si>
  <si>
    <t>Cash</t>
  </si>
  <si>
    <t>Valueline (3-5 pt)</t>
  </si>
  <si>
    <t>$105 - $175</t>
  </si>
  <si>
    <t>Market Cap</t>
  </si>
  <si>
    <t>N/A</t>
  </si>
  <si>
    <t>Price Margin</t>
  </si>
  <si>
    <t>2022 FCF Margin</t>
  </si>
  <si>
    <t>2033 FCF Margin</t>
  </si>
  <si>
    <t>Questions</t>
  </si>
  <si>
    <t>What are you doing, that your competitors aren't doing yet?</t>
  </si>
  <si>
    <t>How does your product or service change peoples' lives?</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</si>
  <si>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</si>
  <si>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</si>
  <si>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</si>
  <si>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</si>
  <si>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</si>
  <si>
    <t>What market and other actions are insiders taking and why?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</si>
</sst>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quot;$&quot;#,##0.00"/>
    <numFmt numFmtId="166" formatCode="0.0%"/>
    <numFmt numFmtId="167" formatCode="&quot;$&quot;#,##0"/>
    <numFmt numFmtId="168" formatCode="[$¥]#,##0"/>
  </numFmts>
  <fonts count="9">
    <font>
      <sz val="10.0"/>
      <color rgb="FF000000"/>
      <name val="Arial"/>
      <scheme val="minor"/>
    </font>
    <font>
      <color theme="1"/>
      <name val="Arial"/>
      <scheme val="minor"/>
    </font>
    <font>
      <b/>
      <color theme="1"/>
      <name val="Helvetica Neue"/>
    </font>
    <font>
      <color theme="1"/>
      <name val="Helvetica Neue"/>
    </font>
    <font>
      <sz val="9.0"/>
      <color theme="1"/>
      <name val="Helvetica Neue"/>
    </font>
    <font>
      <color rgb="FF000000"/>
      <name val="&quot;docs-Helvetica Neue&quot;"/>
    </font>
    <font>
      <b/>
      <color theme="1"/>
      <name val="Arial"/>
    </font>
    <font>
      <color theme="1"/>
      <name val="Arial"/>
    </font>
    <font>
      <color rgb="FF000000"/>
      <name val="Arial"/>
    </font>
  </fonts>
  <fills count="13">
    <fill>
      <patternFill patternType="none"/>
    </fill>
    <fill>
      <patternFill patternType="lightGray"/>
    </fill>
    <fill>
      <patternFill patternType="solid">
        <fgColor rgb="FFEFEFEF"/>
        <bgColor rgb="FFEFEFEF"/>
      </patternFill>
    </fill>
    <fill>
      <patternFill patternType="solid">
        <fgColor rgb="FFC9DAF8"/>
        <bgColor rgb="FFC9DAF8"/>
      </patternFill>
    </fill>
    <fill>
      <patternFill patternType="solid">
        <fgColor rgb="FFD9EAD3"/>
        <bgColor rgb="FFD9EAD3"/>
      </patternFill>
    </fill>
    <fill>
      <patternFill patternType="solid">
        <fgColor rgb="FFCFE2F3"/>
        <bgColor rgb="FFCFE2F3"/>
      </patternFill>
    </fill>
    <fill>
      <patternFill patternType="solid">
        <fgColor rgb="FFFCE5CD"/>
        <bgColor rgb="FFFCE5CD"/>
      </patternFill>
    </fill>
    <fill>
      <patternFill patternType="solid">
        <fgColor rgb="FFE6B8AF"/>
        <bgColor rgb="FFE6B8AF"/>
      </patternFill>
    </fill>
    <fill>
      <patternFill patternType="solid">
        <fgColor rgb="FFD9D2E9"/>
        <bgColor rgb="FFD9D2E9"/>
      </patternFill>
    </fill>
    <fill>
      <patternFill patternType="solid">
        <fgColor rgb="FFD0E0E3"/>
        <bgColor rgb="FFD0E0E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1" fillId="2" fontId="2" numFmtId="0" xfId="0" applyAlignment="1" applyBorder="1" applyFill="1" applyFont="1">
      <alignment readingOrder="0"/>
    </xf>
    <xf borderId="2" fillId="2" fontId="3" numFmtId="164" xfId="0" applyAlignment="1" applyBorder="1" applyFont="1" applyNumberFormat="1">
      <alignment readingOrder="0"/>
    </xf>
    <xf borderId="0" fillId="0" fontId="3" numFmtId="0" xfId="0" applyFont="1"/>
    <xf borderId="1" fillId="3" fontId="4" numFmtId="0" xfId="0" applyAlignment="1" applyBorder="1" applyFill="1" applyFont="1">
      <alignment readingOrder="0"/>
    </xf>
    <xf borderId="3" fillId="3" fontId="2" numFmtId="0" xfId="0" applyAlignment="1" applyBorder="1" applyFont="1">
      <alignment horizontal="right" readingOrder="0" vertical="bottom"/>
    </xf>
    <xf borderId="2" fillId="3" fontId="2" numFmtId="0" xfId="0" applyAlignment="1" applyBorder="1" applyFont="1">
      <alignment horizontal="right" readingOrder="0" vertical="bottom"/>
    </xf>
    <xf borderId="0" fillId="0" fontId="2" numFmtId="0" xfId="0" applyAlignment="1" applyFont="1">
      <alignment vertical="bottom"/>
    </xf>
    <xf borderId="0" fillId="0" fontId="2" numFmtId="0" xfId="0" applyAlignment="1" applyFont="1">
      <alignment readingOrder="0"/>
    </xf>
    <xf borderId="0" fillId="0" fontId="3" numFmtId="0" xfId="0" applyAlignment="1" applyFont="1">
      <alignment horizontal="right" readingOrder="0"/>
    </xf>
    <xf borderId="0" fillId="0" fontId="3" numFmtId="0" xfId="0" applyAlignment="1" applyFont="1">
      <alignment readingOrder="0"/>
    </xf>
    <xf borderId="0" fillId="0" fontId="2" numFmtId="0" xfId="0" applyAlignment="1" applyFont="1">
      <alignment readingOrder="0" shrinkToFit="0" vertical="top" wrapText="1"/>
    </xf>
    <xf borderId="0" fillId="0" fontId="3" numFmtId="165" xfId="0" applyFont="1" applyNumberFormat="1"/>
    <xf borderId="0" fillId="0" fontId="3" numFmtId="165" xfId="0" applyAlignment="1" applyFont="1" applyNumberFormat="1">
      <alignment readingOrder="0"/>
    </xf>
    <xf borderId="4" fillId="4" fontId="3" numFmtId="3" xfId="0" applyAlignment="1" applyBorder="1" applyFill="1" applyFont="1" applyNumberFormat="1">
      <alignment readingOrder="0"/>
    </xf>
    <xf borderId="5" fillId="4" fontId="3" numFmtId="3" xfId="0" applyAlignment="1" applyBorder="1" applyFont="1" applyNumberFormat="1">
      <alignment readingOrder="0"/>
    </xf>
    <xf borderId="6" fillId="4" fontId="3" numFmtId="3" xfId="0" applyAlignment="1" applyBorder="1" applyFont="1" applyNumberFormat="1">
      <alignment readingOrder="0"/>
    </xf>
    <xf borderId="0" fillId="0" fontId="3" numFmtId="0" xfId="0" applyFont="1"/>
    <xf borderId="0" fillId="0" fontId="2" numFmtId="0" xfId="0" applyAlignment="1" applyFont="1">
      <alignment readingOrder="0" vertical="bottom"/>
    </xf>
    <xf borderId="7" fillId="4" fontId="3" numFmtId="10" xfId="0" applyAlignment="1" applyBorder="1" applyFont="1" applyNumberFormat="1">
      <alignment readingOrder="0"/>
    </xf>
    <xf borderId="0" fillId="4" fontId="3" numFmtId="10" xfId="0" applyAlignment="1" applyFont="1" applyNumberFormat="1">
      <alignment readingOrder="0"/>
    </xf>
    <xf borderId="8" fillId="4" fontId="3" numFmtId="10" xfId="0" applyAlignment="1" applyBorder="1" applyFont="1" applyNumberFormat="1">
      <alignment readingOrder="0"/>
    </xf>
    <xf borderId="7" fillId="4" fontId="3" numFmtId="3" xfId="0" applyAlignment="1" applyBorder="1" applyFont="1" applyNumberFormat="1">
      <alignment readingOrder="0"/>
    </xf>
    <xf borderId="0" fillId="4" fontId="3" numFmtId="3" xfId="0" applyAlignment="1" applyFont="1" applyNumberFormat="1">
      <alignment readingOrder="0"/>
    </xf>
    <xf borderId="8" fillId="4" fontId="3" numFmtId="3" xfId="0" applyAlignment="1" applyBorder="1" applyFont="1" applyNumberFormat="1">
      <alignment readingOrder="0"/>
    </xf>
    <xf borderId="0" fillId="0" fontId="3" numFmtId="3" xfId="0" applyAlignment="1" applyFont="1" applyNumberFormat="1">
      <alignment readingOrder="0"/>
    </xf>
    <xf borderId="7" fillId="4" fontId="3" numFmtId="166" xfId="0" applyBorder="1" applyFont="1" applyNumberFormat="1"/>
    <xf borderId="0" fillId="4" fontId="3" numFmtId="166" xfId="0" applyFont="1" applyNumberFormat="1"/>
    <xf borderId="8" fillId="4" fontId="3" numFmtId="166" xfId="0" applyBorder="1" applyFont="1" applyNumberFormat="1"/>
    <xf borderId="0" fillId="0" fontId="3" numFmtId="10" xfId="0" applyFont="1" applyNumberFormat="1"/>
    <xf borderId="7" fillId="4" fontId="3" numFmtId="3" xfId="0" applyBorder="1" applyFont="1" applyNumberFormat="1"/>
    <xf borderId="0" fillId="4" fontId="3" numFmtId="3" xfId="0" applyFont="1" applyNumberFormat="1"/>
    <xf borderId="8" fillId="4" fontId="3" numFmtId="3" xfId="0" applyBorder="1" applyFont="1" applyNumberFormat="1"/>
    <xf borderId="7" fillId="4" fontId="3" numFmtId="166" xfId="0" applyAlignment="1" applyBorder="1" applyFont="1" applyNumberFormat="1">
      <alignment readingOrder="0"/>
    </xf>
    <xf borderId="0" fillId="4" fontId="3" numFmtId="166" xfId="0" applyAlignment="1" applyFont="1" applyNumberFormat="1">
      <alignment readingOrder="0"/>
    </xf>
    <xf borderId="0" fillId="0" fontId="2" numFmtId="0" xfId="0" applyAlignment="1" applyFont="1">
      <alignment readingOrder="0" shrinkToFit="0" vertical="bottom" wrapText="1"/>
    </xf>
    <xf borderId="7" fillId="4" fontId="3" numFmtId="3" xfId="0" applyAlignment="1" applyBorder="1" applyFont="1" applyNumberFormat="1">
      <alignment horizontal="right" readingOrder="0"/>
    </xf>
    <xf borderId="0" fillId="4" fontId="3" numFmtId="3" xfId="0" applyAlignment="1" applyFont="1" applyNumberFormat="1">
      <alignment horizontal="right" readingOrder="0"/>
    </xf>
    <xf borderId="0" fillId="4" fontId="3" numFmtId="3" xfId="0" applyAlignment="1" applyFont="1" applyNumberFormat="1">
      <alignment readingOrder="0" shrinkToFit="0" vertical="top" wrapText="1"/>
    </xf>
    <xf borderId="8" fillId="4" fontId="3" numFmtId="3" xfId="0" applyAlignment="1" applyBorder="1" applyFont="1" applyNumberFormat="1">
      <alignment readingOrder="0" shrinkToFit="0" vertical="top" wrapText="1"/>
    </xf>
    <xf borderId="0" fillId="0" fontId="3" numFmtId="4" xfId="0" applyFont="1" applyNumberFormat="1"/>
    <xf borderId="0" fillId="0" fontId="3" numFmtId="0" xfId="0" applyAlignment="1" applyFont="1">
      <alignment horizontal="right"/>
    </xf>
    <xf borderId="0" fillId="0" fontId="2" numFmtId="0" xfId="0" applyAlignment="1" applyFont="1">
      <alignment shrinkToFit="0" vertical="bottom" wrapText="1"/>
    </xf>
    <xf borderId="8" fillId="4" fontId="3" numFmtId="3" xfId="0" applyAlignment="1" applyBorder="1" applyFont="1" applyNumberFormat="1">
      <alignment horizontal="right" readingOrder="0"/>
    </xf>
    <xf borderId="0" fillId="0" fontId="3" numFmtId="4" xfId="0" applyAlignment="1" applyFont="1" applyNumberFormat="1">
      <alignment readingOrder="0"/>
    </xf>
    <xf borderId="0" fillId="0" fontId="3" numFmtId="2" xfId="0" applyAlignment="1" applyFont="1" applyNumberFormat="1">
      <alignment horizontal="right" readingOrder="0"/>
    </xf>
    <xf borderId="0" fillId="0" fontId="3" numFmtId="10" xfId="0" applyAlignment="1" applyFont="1" applyNumberFormat="1">
      <alignment readingOrder="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3" numFmtId="2" xfId="0" applyFont="1" applyNumberFormat="1"/>
    <xf borderId="0" fillId="0" fontId="3" numFmtId="4" xfId="0" applyAlignment="1" applyFont="1" applyNumberFormat="1">
      <alignment readingOrder="0" shrinkToFit="0" vertical="top" wrapText="1"/>
    </xf>
    <xf borderId="7" fillId="4" fontId="3" numFmtId="0" xfId="0" applyAlignment="1" applyBorder="1" applyFont="1">
      <alignment readingOrder="0"/>
    </xf>
    <xf borderId="0" fillId="4" fontId="3" numFmtId="9" xfId="0" applyFont="1" applyNumberFormat="1"/>
    <xf borderId="8" fillId="4" fontId="3" numFmtId="9" xfId="0" applyBorder="1" applyFont="1" applyNumberFormat="1"/>
    <xf borderId="7" fillId="4" fontId="3" numFmtId="4" xfId="0" applyAlignment="1" applyBorder="1" applyFont="1" applyNumberFormat="1">
      <alignment readingOrder="0"/>
    </xf>
    <xf borderId="0" fillId="4" fontId="3" numFmtId="4" xfId="0" applyAlignment="1" applyFont="1" applyNumberFormat="1">
      <alignment readingOrder="0"/>
    </xf>
    <xf borderId="0" fillId="4" fontId="3" numFmtId="4" xfId="0" applyAlignment="1" applyFont="1" applyNumberFormat="1">
      <alignment readingOrder="0" shrinkToFit="0" vertical="top" wrapText="1"/>
    </xf>
    <xf borderId="8" fillId="4" fontId="3" numFmtId="4" xfId="0" applyAlignment="1" applyBorder="1" applyFont="1" applyNumberFormat="1">
      <alignment readingOrder="0" shrinkToFit="0" vertical="top" wrapText="1"/>
    </xf>
    <xf borderId="2" fillId="2" fontId="3" numFmtId="0" xfId="0" applyAlignment="1" applyBorder="1" applyFont="1">
      <alignment horizontal="right" readingOrder="0"/>
    </xf>
    <xf borderId="9" fillId="4" fontId="3" numFmtId="3" xfId="0" applyAlignment="1" applyBorder="1" applyFont="1" applyNumberFormat="1">
      <alignment readingOrder="0"/>
    </xf>
    <xf borderId="10" fillId="4" fontId="3" numFmtId="3" xfId="0" applyAlignment="1" applyBorder="1" applyFont="1" applyNumberFormat="1">
      <alignment readingOrder="0"/>
    </xf>
    <xf borderId="11" fillId="4" fontId="3" numFmtId="3" xfId="0" applyAlignment="1" applyBorder="1" applyFont="1" applyNumberFormat="1">
      <alignment readingOrder="0"/>
    </xf>
    <xf borderId="0" fillId="0" fontId="3" numFmtId="0" xfId="0" applyAlignment="1" applyFont="1">
      <alignment horizontal="right" readingOrder="0"/>
    </xf>
    <xf borderId="12" fillId="5" fontId="2" numFmtId="165" xfId="0" applyAlignment="1" applyBorder="1" applyFill="1" applyFont="1" applyNumberFormat="1">
      <alignment readingOrder="0" vertical="bottom"/>
    </xf>
    <xf borderId="4" fillId="6" fontId="3" numFmtId="3" xfId="0" applyAlignment="1" applyBorder="1" applyFill="1" applyFont="1" applyNumberFormat="1">
      <alignment horizontal="right" readingOrder="0"/>
    </xf>
    <xf borderId="5" fillId="6" fontId="3" numFmtId="3" xfId="0" applyAlignment="1" applyBorder="1" applyFont="1" applyNumberFormat="1">
      <alignment horizontal="right" readingOrder="0"/>
    </xf>
    <xf borderId="5" fillId="6" fontId="3" numFmtId="3" xfId="0" applyAlignment="1" applyBorder="1" applyFont="1" applyNumberFormat="1">
      <alignment readingOrder="0"/>
    </xf>
    <xf borderId="6" fillId="6" fontId="3" numFmtId="3" xfId="0" applyAlignment="1" applyBorder="1" applyFont="1" applyNumberFormat="1">
      <alignment readingOrder="0"/>
    </xf>
    <xf borderId="13" fillId="5" fontId="3" numFmtId="167" xfId="0" applyAlignment="1" applyBorder="1" applyFont="1" applyNumberFormat="1">
      <alignment readingOrder="0" vertical="bottom"/>
    </xf>
    <xf borderId="7" fillId="6" fontId="3" numFmtId="3" xfId="0" applyAlignment="1" applyBorder="1" applyFont="1" applyNumberFormat="1">
      <alignment horizontal="right" readingOrder="0"/>
    </xf>
    <xf borderId="0" fillId="6" fontId="3" numFmtId="3" xfId="0" applyAlignment="1" applyFont="1" applyNumberFormat="1">
      <alignment horizontal="right" readingOrder="0"/>
    </xf>
    <xf borderId="0" fillId="6" fontId="3" numFmtId="3" xfId="0" applyAlignment="1" applyFont="1" applyNumberFormat="1">
      <alignment readingOrder="0"/>
    </xf>
    <xf borderId="8" fillId="6" fontId="3" numFmtId="3" xfId="0" applyAlignment="1" applyBorder="1" applyFont="1" applyNumberFormat="1">
      <alignment readingOrder="0"/>
    </xf>
    <xf borderId="13" fillId="5" fontId="2" numFmtId="10" xfId="0" applyAlignment="1" applyBorder="1" applyFont="1" applyNumberFormat="1">
      <alignment readingOrder="0" vertical="bottom"/>
    </xf>
    <xf borderId="9" fillId="6" fontId="3" numFmtId="3" xfId="0" applyAlignment="1" applyBorder="1" applyFont="1" applyNumberFormat="1">
      <alignment horizontal="right" readingOrder="0"/>
    </xf>
    <xf borderId="10" fillId="6" fontId="3" numFmtId="3" xfId="0" applyAlignment="1" applyBorder="1" applyFont="1" applyNumberFormat="1">
      <alignment horizontal="right" readingOrder="0"/>
    </xf>
    <xf borderId="11" fillId="6" fontId="3" numFmtId="3" xfId="0" applyAlignment="1" applyBorder="1" applyFont="1" applyNumberFormat="1">
      <alignment horizontal="right" readingOrder="0"/>
    </xf>
    <xf borderId="0" fillId="0" fontId="2" numFmtId="0" xfId="0" applyAlignment="1" applyFont="1">
      <alignment vertical="bottom"/>
    </xf>
    <xf borderId="13" fillId="5" fontId="3" numFmtId="4" xfId="0" applyAlignment="1" applyBorder="1" applyFont="1" applyNumberFormat="1">
      <alignment readingOrder="0" vertical="bottom"/>
    </xf>
    <xf borderId="4" fillId="7" fontId="3" numFmtId="3" xfId="0" applyAlignment="1" applyBorder="1" applyFill="1" applyFont="1" applyNumberFormat="1">
      <alignment horizontal="right" readingOrder="0"/>
    </xf>
    <xf borderId="5" fillId="7" fontId="3" numFmtId="3" xfId="0" applyAlignment="1" applyBorder="1" applyFont="1" applyNumberFormat="1">
      <alignment horizontal="right" readingOrder="0"/>
    </xf>
    <xf borderId="5" fillId="7" fontId="3" numFmtId="3" xfId="0" applyAlignment="1" applyBorder="1" applyFont="1" applyNumberFormat="1">
      <alignment horizontal="right" readingOrder="0" vertical="bottom"/>
    </xf>
    <xf borderId="5" fillId="7" fontId="3" numFmtId="3" xfId="0" applyAlignment="1" applyBorder="1" applyFont="1" applyNumberFormat="1">
      <alignment readingOrder="0"/>
    </xf>
    <xf borderId="6" fillId="7" fontId="3" numFmtId="0" xfId="0" applyAlignment="1" applyBorder="1" applyFont="1">
      <alignment readingOrder="0"/>
    </xf>
    <xf borderId="0" fillId="0" fontId="2" numFmtId="0" xfId="0" applyAlignment="1" applyFont="1">
      <alignment shrinkToFit="0" vertical="bottom" wrapText="1"/>
    </xf>
    <xf borderId="13" fillId="5" fontId="3" numFmtId="4" xfId="0" applyAlignment="1" applyBorder="1" applyFont="1" applyNumberFormat="1">
      <alignment readingOrder="0" shrinkToFit="0" vertical="bottom" wrapText="0"/>
    </xf>
    <xf borderId="0" fillId="0" fontId="2" numFmtId="0" xfId="0" applyAlignment="1" applyFont="1">
      <alignment horizontal="left" readingOrder="0"/>
    </xf>
    <xf borderId="7" fillId="7" fontId="3" numFmtId="3" xfId="0" applyAlignment="1" applyBorder="1" applyFont="1" applyNumberFormat="1">
      <alignment horizontal="right" readingOrder="0"/>
    </xf>
    <xf borderId="0" fillId="7" fontId="3" numFmtId="3" xfId="0" applyAlignment="1" applyFont="1" applyNumberFormat="1">
      <alignment horizontal="right" readingOrder="0"/>
    </xf>
    <xf borderId="0" fillId="7" fontId="3" numFmtId="3" xfId="0" applyAlignment="1" applyFont="1" applyNumberFormat="1">
      <alignment readingOrder="0"/>
    </xf>
    <xf borderId="8" fillId="7" fontId="3" numFmtId="0" xfId="0" applyAlignment="1" applyBorder="1" applyFont="1">
      <alignment readingOrder="0"/>
    </xf>
    <xf borderId="0" fillId="7" fontId="3" numFmtId="3" xfId="0" applyAlignment="1" applyFont="1" applyNumberFormat="1">
      <alignment horizontal="right" readingOrder="0" vertical="bottom"/>
    </xf>
    <xf borderId="14" fillId="5" fontId="3" numFmtId="4" xfId="0" applyAlignment="1" applyBorder="1" applyFont="1" applyNumberFormat="1">
      <alignment readingOrder="0" vertical="bottom"/>
    </xf>
    <xf borderId="0" fillId="0" fontId="1" numFmtId="165" xfId="0" applyFont="1" applyNumberFormat="1"/>
    <xf borderId="0" fillId="0" fontId="3" numFmtId="10" xfId="0" applyAlignment="1" applyFont="1" applyNumberFormat="1">
      <alignment vertical="bottom"/>
    </xf>
    <xf borderId="9" fillId="7" fontId="3" numFmtId="3" xfId="0" applyAlignment="1" applyBorder="1" applyFont="1" applyNumberFormat="1">
      <alignment horizontal="right" readingOrder="0"/>
    </xf>
    <xf borderId="10" fillId="7" fontId="3" numFmtId="3" xfId="0" applyAlignment="1" applyBorder="1" applyFont="1" applyNumberFormat="1">
      <alignment horizontal="right" readingOrder="0"/>
    </xf>
    <xf borderId="10" fillId="7" fontId="3" numFmtId="3" xfId="0" applyAlignment="1" applyBorder="1" applyFont="1" applyNumberFormat="1">
      <alignment readingOrder="0"/>
    </xf>
    <xf borderId="11" fillId="7" fontId="3" numFmtId="0" xfId="0" applyAlignment="1" applyBorder="1" applyFont="1">
      <alignment readingOrder="0"/>
    </xf>
    <xf borderId="12" fillId="4" fontId="3" numFmtId="10" xfId="0" applyAlignment="1" applyBorder="1" applyFont="1" applyNumberFormat="1">
      <alignment readingOrder="0" shrinkToFit="0" vertical="bottom" wrapText="1"/>
    </xf>
    <xf borderId="0" fillId="0" fontId="3" numFmtId="0" xfId="0" applyAlignment="1" applyFont="1">
      <alignment vertical="bottom"/>
    </xf>
    <xf borderId="0" fillId="0" fontId="3" numFmtId="49" xfId="0" applyAlignment="1" applyFont="1" applyNumberFormat="1">
      <alignment horizontal="right" readingOrder="0"/>
    </xf>
    <xf borderId="13" fillId="4" fontId="3" numFmtId="10" xfId="0" applyAlignment="1" applyBorder="1" applyFont="1" applyNumberFormat="1">
      <alignment readingOrder="0" shrinkToFit="0" vertical="bottom" wrapText="1"/>
    </xf>
    <xf borderId="4" fillId="8" fontId="3" numFmtId="3" xfId="0" applyAlignment="1" applyBorder="1" applyFill="1" applyFont="1" applyNumberFormat="1">
      <alignment horizontal="right" readingOrder="0"/>
    </xf>
    <xf borderId="5" fillId="8" fontId="3" numFmtId="3" xfId="0" applyAlignment="1" applyBorder="1" applyFont="1" applyNumberFormat="1">
      <alignment horizontal="right" readingOrder="0"/>
    </xf>
    <xf borderId="5" fillId="8" fontId="3" numFmtId="3" xfId="0" applyAlignment="1" applyBorder="1" applyFont="1" applyNumberFormat="1">
      <alignment horizontal="right" readingOrder="0" vertical="bottom"/>
    </xf>
    <xf borderId="5" fillId="8" fontId="3" numFmtId="3" xfId="0" applyAlignment="1" applyBorder="1" applyFont="1" applyNumberFormat="1">
      <alignment readingOrder="0"/>
    </xf>
    <xf borderId="6" fillId="8" fontId="3" numFmtId="0" xfId="0" applyAlignment="1" applyBorder="1" applyFont="1">
      <alignment readingOrder="0"/>
    </xf>
    <xf borderId="13" fillId="4" fontId="3" numFmtId="167" xfId="0" applyAlignment="1" applyBorder="1" applyFont="1" applyNumberFormat="1">
      <alignment readingOrder="0" shrinkToFit="0" vertical="bottom" wrapText="1"/>
    </xf>
    <xf borderId="7" fillId="8" fontId="3" numFmtId="3" xfId="0" applyAlignment="1" applyBorder="1" applyFont="1" applyNumberFormat="1">
      <alignment horizontal="right" readingOrder="0"/>
    </xf>
    <xf borderId="0" fillId="8" fontId="3" numFmtId="3" xfId="0" applyAlignment="1" applyFont="1" applyNumberFormat="1">
      <alignment horizontal="right" readingOrder="0"/>
    </xf>
    <xf borderId="0" fillId="8" fontId="3" numFmtId="3" xfId="0" applyAlignment="1" applyFont="1" applyNumberFormat="1">
      <alignment readingOrder="0"/>
    </xf>
    <xf borderId="8" fillId="8" fontId="3" numFmtId="0" xfId="0" applyAlignment="1" applyBorder="1" applyFont="1">
      <alignment readingOrder="0"/>
    </xf>
    <xf borderId="13" fillId="4" fontId="3" numFmtId="3" xfId="0" applyAlignment="1" applyBorder="1" applyFont="1" applyNumberFormat="1">
      <alignment readingOrder="0" shrinkToFit="0" vertical="bottom" wrapText="1"/>
    </xf>
    <xf borderId="13" fillId="4" fontId="2" numFmtId="165" xfId="0" applyAlignment="1" applyBorder="1" applyFont="1" applyNumberFormat="1">
      <alignment shrinkToFit="0" vertical="bottom" wrapText="1"/>
    </xf>
    <xf borderId="0" fillId="0" fontId="3" numFmtId="0" xfId="0" applyAlignment="1" applyFont="1">
      <alignment horizontal="right" readingOrder="0" vertical="bottom"/>
    </xf>
    <xf borderId="9" fillId="8" fontId="3" numFmtId="3" xfId="0" applyAlignment="1" applyBorder="1" applyFont="1" applyNumberFormat="1">
      <alignment horizontal="right" readingOrder="0"/>
    </xf>
    <xf borderId="10" fillId="8" fontId="3" numFmtId="3" xfId="0" applyAlignment="1" applyBorder="1" applyFont="1" applyNumberFormat="1">
      <alignment horizontal="right" readingOrder="0"/>
    </xf>
    <xf borderId="10" fillId="8" fontId="3" numFmtId="3" xfId="0" applyAlignment="1" applyBorder="1" applyFont="1" applyNumberFormat="1">
      <alignment readingOrder="0"/>
    </xf>
    <xf borderId="11" fillId="8" fontId="3" numFmtId="0" xfId="0" applyAlignment="1" applyBorder="1" applyFont="1">
      <alignment readingOrder="0"/>
    </xf>
    <xf borderId="14" fillId="4" fontId="1" numFmtId="10" xfId="0" applyBorder="1" applyFont="1" applyNumberFormat="1"/>
    <xf borderId="0" fillId="0" fontId="3" numFmtId="0" xfId="0" applyAlignment="1" applyFont="1">
      <alignment horizontal="left" readingOrder="0"/>
    </xf>
    <xf borderId="0" fillId="0" fontId="3" numFmtId="49" xfId="0" applyFont="1" applyNumberFormat="1"/>
    <xf borderId="0" fillId="0" fontId="1" numFmtId="10" xfId="0" applyFont="1" applyNumberFormat="1"/>
    <xf borderId="1" fillId="9" fontId="2" numFmtId="0" xfId="0" applyAlignment="1" applyBorder="1" applyFill="1" applyFont="1">
      <alignment horizontal="left" readingOrder="0" vertical="bottom"/>
    </xf>
    <xf borderId="3" fillId="9" fontId="2" numFmtId="0" xfId="0" applyAlignment="1" applyBorder="1" applyFont="1">
      <alignment horizontal="right" readingOrder="0" vertical="bottom"/>
    </xf>
    <xf borderId="3" fillId="9" fontId="2" numFmtId="10" xfId="0" applyAlignment="1" applyBorder="1" applyFont="1" applyNumberFormat="1">
      <alignment horizontal="right" vertical="bottom"/>
    </xf>
    <xf borderId="3" fillId="9" fontId="2" numFmtId="165" xfId="0" applyAlignment="1" applyBorder="1" applyFont="1" applyNumberFormat="1">
      <alignment horizontal="right" vertical="bottom"/>
    </xf>
    <xf borderId="3" fillId="9" fontId="2" numFmtId="0" xfId="0" applyAlignment="1" applyBorder="1" applyFont="1">
      <alignment horizontal="right" readingOrder="0" shrinkToFit="0" vertical="top" wrapText="1"/>
    </xf>
    <xf borderId="2" fillId="9" fontId="2" numFmtId="0" xfId="0" applyAlignment="1" applyBorder="1" applyFont="1">
      <alignment horizontal="right" readingOrder="0" shrinkToFit="0" vertical="top" wrapText="1"/>
    </xf>
    <xf borderId="12" fillId="10" fontId="3" numFmtId="167" xfId="0" applyBorder="1" applyFill="1" applyFont="1" applyNumberFormat="1"/>
    <xf borderId="0" fillId="0" fontId="2" numFmtId="0" xfId="0" applyAlignment="1" applyFont="1">
      <alignment horizontal="left" vertical="bottom"/>
    </xf>
    <xf borderId="0" fillId="0" fontId="2" numFmtId="10"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horizontal="right" readingOrder="0" vertical="bottom"/>
    </xf>
    <xf borderId="14" fillId="10" fontId="3" numFmtId="165" xfId="0" applyBorder="1" applyFont="1" applyNumberFormat="1"/>
    <xf borderId="0" fillId="0" fontId="3" numFmtId="0" xfId="0" applyAlignment="1" applyFont="1">
      <alignment horizontal="left" readingOrder="0" vertical="bottom"/>
    </xf>
    <xf borderId="4" fillId="6" fontId="3" numFmtId="167" xfId="0" applyAlignment="1" applyBorder="1" applyFont="1" applyNumberFormat="1">
      <alignment horizontal="right" readingOrder="0" vertical="bottom"/>
    </xf>
    <xf borderId="5" fillId="6" fontId="3" numFmtId="10" xfId="0" applyAlignment="1" applyBorder="1" applyFont="1" applyNumberFormat="1">
      <alignment horizontal="right" readingOrder="0" vertical="bottom"/>
    </xf>
    <xf borderId="5" fillId="6" fontId="3" numFmtId="167" xfId="0" applyAlignment="1" applyBorder="1" applyFont="1" applyNumberFormat="1">
      <alignment horizontal="right" readingOrder="0" vertical="bottom"/>
    </xf>
    <xf borderId="5" fillId="6" fontId="3" numFmtId="10" xfId="0" applyAlignment="1" applyBorder="1" applyFont="1" applyNumberFormat="1">
      <alignment readingOrder="0" vertical="bottom"/>
    </xf>
    <xf borderId="5" fillId="6" fontId="3" numFmtId="167" xfId="0" applyAlignment="1" applyBorder="1" applyFont="1" applyNumberFormat="1">
      <alignment readingOrder="0" shrinkToFit="0" vertical="top" wrapText="1"/>
    </xf>
    <xf borderId="6" fillId="6" fontId="3" numFmtId="167" xfId="0" applyAlignment="1" applyBorder="1" applyFont="1" applyNumberFormat="1">
      <alignment readingOrder="0" shrinkToFit="0" vertical="top" wrapText="1"/>
    </xf>
    <xf borderId="7" fillId="6" fontId="3" numFmtId="167" xfId="0" applyAlignment="1" applyBorder="1" applyFont="1" applyNumberFormat="1">
      <alignment horizontal="right" readingOrder="0" vertical="bottom"/>
    </xf>
    <xf borderId="0" fillId="6" fontId="3" numFmtId="10" xfId="0" applyAlignment="1" applyFont="1" applyNumberFormat="1">
      <alignment horizontal="right" readingOrder="0" vertical="bottom"/>
    </xf>
    <xf borderId="0" fillId="6" fontId="3" numFmtId="167" xfId="0" applyAlignment="1" applyFont="1" applyNumberFormat="1">
      <alignment horizontal="right" vertical="bottom"/>
    </xf>
    <xf borderId="0" fillId="6" fontId="3" numFmtId="10" xfId="0" applyAlignment="1" applyFont="1" applyNumberFormat="1">
      <alignment readingOrder="0" vertical="bottom"/>
    </xf>
    <xf borderId="0" fillId="6" fontId="3" numFmtId="167" xfId="0" applyAlignment="1" applyFont="1" applyNumberFormat="1">
      <alignment readingOrder="0" shrinkToFit="0" vertical="top" wrapText="1"/>
    </xf>
    <xf borderId="8" fillId="6" fontId="3" numFmtId="167" xfId="0" applyAlignment="1" applyBorder="1" applyFont="1" applyNumberFormat="1">
      <alignment readingOrder="0" shrinkToFit="0" vertical="top" wrapText="1"/>
    </xf>
    <xf borderId="0" fillId="0" fontId="3" numFmtId="10" xfId="0" applyAlignment="1" applyFont="1" applyNumberFormat="1">
      <alignment readingOrder="0" shrinkToFit="0" vertical="top" wrapText="1"/>
    </xf>
    <xf borderId="0" fillId="11" fontId="3" numFmtId="0" xfId="0" applyAlignment="1" applyFill="1" applyFont="1">
      <alignment horizontal="left" readingOrder="0" shrinkToFit="0" wrapText="1"/>
    </xf>
    <xf borderId="12" fillId="7" fontId="3" numFmtId="10" xfId="0" applyAlignment="1" applyBorder="1" applyFont="1" applyNumberFormat="1">
      <alignment readingOrder="0"/>
    </xf>
    <xf borderId="7" fillId="6" fontId="3" numFmtId="167" xfId="0" applyAlignment="1" applyBorder="1" applyFont="1" applyNumberFormat="1">
      <alignment horizontal="right" vertical="bottom"/>
    </xf>
    <xf borderId="0" fillId="6" fontId="3" numFmtId="10" xfId="0" applyAlignment="1" applyFont="1" applyNumberFormat="1">
      <alignment horizontal="right" vertical="bottom"/>
    </xf>
    <xf borderId="13" fillId="7" fontId="3" numFmtId="167" xfId="0" applyAlignment="1" applyBorder="1" applyFont="1" applyNumberFormat="1">
      <alignment readingOrder="0" shrinkToFit="0" vertical="top" wrapText="1"/>
    </xf>
    <xf borderId="0" fillId="0" fontId="3" numFmtId="0" xfId="0" applyAlignment="1" applyFont="1">
      <alignment readingOrder="0" vertical="bottom"/>
    </xf>
    <xf borderId="0" fillId="0" fontId="3" numFmtId="0" xfId="0" applyAlignment="1" applyFont="1">
      <alignment horizontal="left" vertical="bottom"/>
    </xf>
    <xf borderId="13" fillId="7" fontId="5" numFmtId="165" xfId="0" applyAlignment="1" applyBorder="1" applyFont="1" applyNumberFormat="1">
      <alignment horizontal="right" readingOrder="0"/>
    </xf>
    <xf borderId="14" fillId="7" fontId="2" numFmtId="10" xfId="0" applyAlignment="1" applyBorder="1" applyFont="1" applyNumberFormat="1">
      <alignment vertical="bottom"/>
    </xf>
    <xf borderId="0" fillId="11" fontId="3" numFmtId="10" xfId="0" applyAlignment="1" applyFont="1" applyNumberFormat="1">
      <alignment readingOrder="0" shrinkToFit="0" vertical="top" wrapText="1"/>
    </xf>
    <xf borderId="0" fillId="6" fontId="3" numFmtId="167" xfId="0" applyFont="1" applyNumberFormat="1"/>
    <xf borderId="8" fillId="6" fontId="3" numFmtId="167" xfId="0" applyBorder="1" applyFont="1" applyNumberFormat="1"/>
    <xf borderId="12" fillId="3" fontId="3" numFmtId="9" xfId="0" applyAlignment="1" applyBorder="1" applyFont="1" applyNumberFormat="1">
      <alignment readingOrder="0"/>
    </xf>
    <xf borderId="0" fillId="6" fontId="3" numFmtId="10" xfId="0" applyAlignment="1" applyFont="1" applyNumberFormat="1">
      <alignment vertical="bottom"/>
    </xf>
    <xf borderId="13" fillId="3" fontId="3" numFmtId="10" xfId="0" applyBorder="1" applyFont="1" applyNumberFormat="1"/>
    <xf borderId="0" fillId="0" fontId="3" numFmtId="0" xfId="0" applyAlignment="1" applyFont="1">
      <alignment horizontal="left" vertical="bottom"/>
    </xf>
    <xf borderId="13" fillId="3" fontId="3" numFmtId="10" xfId="0" applyAlignment="1" applyBorder="1" applyFont="1" applyNumberFormat="1">
      <alignment readingOrder="0"/>
    </xf>
    <xf borderId="13" fillId="3" fontId="3" numFmtId="167" xfId="0" applyBorder="1" applyFont="1" applyNumberFormat="1"/>
    <xf borderId="13" fillId="3" fontId="1" numFmtId="165" xfId="0" applyBorder="1" applyFont="1" applyNumberFormat="1"/>
    <xf borderId="14" fillId="3" fontId="2" numFmtId="10" xfId="0" applyBorder="1" applyFont="1" applyNumberFormat="1"/>
    <xf borderId="0" fillId="0" fontId="1" numFmtId="167" xfId="0" applyFont="1" applyNumberFormat="1"/>
    <xf borderId="9" fillId="6" fontId="3" numFmtId="167" xfId="0" applyAlignment="1" applyBorder="1" applyFont="1" applyNumberFormat="1">
      <alignment horizontal="right" readingOrder="0" vertical="bottom"/>
    </xf>
    <xf borderId="10" fillId="6" fontId="3" numFmtId="10" xfId="0" applyAlignment="1" applyBorder="1" applyFont="1" applyNumberFormat="1">
      <alignment horizontal="right" readingOrder="0" vertical="bottom"/>
    </xf>
    <xf borderId="10" fillId="6" fontId="3" numFmtId="167" xfId="0" applyAlignment="1" applyBorder="1" applyFont="1" applyNumberFormat="1">
      <alignment horizontal="right" vertical="bottom"/>
    </xf>
    <xf borderId="10" fillId="6" fontId="3" numFmtId="10" xfId="0" applyAlignment="1" applyBorder="1" applyFont="1" applyNumberFormat="1">
      <alignment vertical="bottom"/>
    </xf>
    <xf borderId="10" fillId="6" fontId="3" numFmtId="167" xfId="0" applyAlignment="1" applyBorder="1" applyFont="1" applyNumberFormat="1">
      <alignment readingOrder="0" shrinkToFit="0" vertical="top" wrapText="1"/>
    </xf>
    <xf borderId="11" fillId="6" fontId="3" numFmtId="167" xfId="0" applyBorder="1" applyFont="1" applyNumberFormat="1"/>
    <xf borderId="0" fillId="0" fontId="3" numFmtId="10" xfId="0" applyAlignment="1" applyFont="1" applyNumberFormat="1">
      <alignment horizontal="right" readingOrder="0" vertical="bottom"/>
    </xf>
    <xf borderId="0" fillId="0" fontId="1" numFmtId="165" xfId="0" applyFont="1" applyNumberFormat="1"/>
    <xf borderId="3" fillId="9" fontId="2" numFmtId="165" xfId="0" applyAlignment="1" applyBorder="1" applyFont="1" applyNumberFormat="1">
      <alignment horizontal="right" readingOrder="0" vertical="bottom"/>
    </xf>
    <xf borderId="0" fillId="0" fontId="1" numFmtId="9" xfId="0" applyFont="1" applyNumberFormat="1"/>
    <xf borderId="5" fillId="6" fontId="3" numFmtId="167" xfId="0" applyAlignment="1" applyBorder="1" applyFont="1" applyNumberFormat="1">
      <alignment horizontal="right" vertical="bottom"/>
    </xf>
    <xf borderId="5" fillId="6" fontId="3" numFmtId="167" xfId="0" applyAlignment="1" applyBorder="1" applyFont="1" applyNumberFormat="1">
      <alignment vertical="bottom"/>
    </xf>
    <xf borderId="6" fillId="6" fontId="3" numFmtId="4" xfId="0" applyAlignment="1" applyBorder="1" applyFont="1" applyNumberFormat="1">
      <alignment readingOrder="0" shrinkToFit="0" vertical="top" wrapText="1"/>
    </xf>
    <xf borderId="0" fillId="6" fontId="3" numFmtId="167" xfId="0" applyAlignment="1" applyFont="1" applyNumberFormat="1">
      <alignment vertical="bottom"/>
    </xf>
    <xf borderId="8" fillId="6" fontId="3" numFmtId="3" xfId="0" applyBorder="1" applyFont="1" applyNumberFormat="1"/>
    <xf borderId="8" fillId="6" fontId="3" numFmtId="3" xfId="0" applyAlignment="1" applyBorder="1" applyFont="1" applyNumberFormat="1">
      <alignment readingOrder="0" shrinkToFit="0" vertical="top" wrapText="1"/>
    </xf>
    <xf borderId="0" fillId="0" fontId="2" numFmtId="10" xfId="0" applyFont="1" applyNumberFormat="1"/>
    <xf borderId="10" fillId="6" fontId="3" numFmtId="167" xfId="0" applyAlignment="1" applyBorder="1" applyFont="1" applyNumberFormat="1">
      <alignment vertical="bottom"/>
    </xf>
    <xf borderId="10" fillId="6" fontId="3" numFmtId="167" xfId="0" applyBorder="1" applyFont="1" applyNumberFormat="1"/>
    <xf borderId="11" fillId="6" fontId="3" numFmtId="3" xfId="0" applyBorder="1" applyFont="1" applyNumberFormat="1"/>
    <xf borderId="1" fillId="5" fontId="4" numFmtId="0" xfId="0" applyAlignment="1" applyBorder="1" applyFont="1">
      <alignment readingOrder="0"/>
    </xf>
    <xf borderId="3" fillId="5" fontId="2" numFmtId="0" xfId="0" applyAlignment="1" applyBorder="1" applyFont="1">
      <alignment horizontal="right" readingOrder="0" vertical="bottom"/>
    </xf>
    <xf borderId="2" fillId="5" fontId="2" numFmtId="0" xfId="0" applyAlignment="1" applyBorder="1" applyFont="1">
      <alignment horizontal="right" readingOrder="0" vertical="bottom"/>
    </xf>
    <xf borderId="0" fillId="4" fontId="3" numFmtId="0" xfId="0" applyAlignment="1" applyFont="1">
      <alignment readingOrder="0"/>
    </xf>
    <xf borderId="12" fillId="5" fontId="2" numFmtId="165" xfId="0" applyAlignment="1" applyBorder="1" applyFont="1" applyNumberFormat="1">
      <alignment readingOrder="0" vertical="bottom"/>
    </xf>
    <xf borderId="6" fillId="7" fontId="3" numFmtId="3" xfId="0" applyAlignment="1" applyBorder="1" applyFont="1" applyNumberFormat="1">
      <alignment readingOrder="0"/>
    </xf>
    <xf borderId="0" fillId="0" fontId="2" numFmtId="0" xfId="0" applyAlignment="1" applyFont="1">
      <alignment shrinkToFit="0" vertical="bottom" wrapText="0"/>
    </xf>
    <xf borderId="13" fillId="5" fontId="3" numFmtId="3" xfId="0" applyAlignment="1" applyBorder="1" applyFont="1" applyNumberFormat="1">
      <alignment readingOrder="0" vertical="bottom"/>
    </xf>
    <xf borderId="8" fillId="7" fontId="3" numFmtId="3" xfId="0" applyAlignment="1" applyBorder="1" applyFont="1" applyNumberFormat="1">
      <alignment readingOrder="0"/>
    </xf>
    <xf borderId="13" fillId="5" fontId="3" numFmtId="167" xfId="0" applyAlignment="1" applyBorder="1" applyFont="1" applyNumberFormat="1">
      <alignment readingOrder="0" shrinkToFit="0" vertical="bottom" wrapText="0"/>
    </xf>
    <xf borderId="8" fillId="7" fontId="3" numFmtId="3" xfId="0" applyAlignment="1" applyBorder="1" applyFont="1" applyNumberFormat="1">
      <alignment horizontal="right" readingOrder="0" vertical="bottom"/>
    </xf>
    <xf borderId="14" fillId="5" fontId="3" numFmtId="165" xfId="0" applyAlignment="1" applyBorder="1" applyFont="1" applyNumberFormat="1">
      <alignment horizontal="right" readingOrder="0" vertical="bottom"/>
    </xf>
    <xf borderId="11" fillId="7" fontId="3" numFmtId="3" xfId="0" applyAlignment="1" applyBorder="1" applyFont="1" applyNumberFormat="1">
      <alignment readingOrder="0"/>
    </xf>
    <xf borderId="8" fillId="0" fontId="2" numFmtId="0" xfId="0" applyAlignment="1" applyBorder="1" applyFont="1">
      <alignment vertical="bottom"/>
    </xf>
    <xf borderId="6" fillId="6" fontId="3" numFmtId="167" xfId="0" applyAlignment="1" applyBorder="1" applyFont="1" applyNumberFormat="1">
      <alignment horizontal="right" readingOrder="0" vertical="bottom"/>
    </xf>
    <xf borderId="6" fillId="8" fontId="3" numFmtId="3" xfId="0" applyAlignment="1" applyBorder="1" applyFont="1" applyNumberFormat="1">
      <alignment readingOrder="0"/>
    </xf>
    <xf borderId="8" fillId="6" fontId="3" numFmtId="167" xfId="0" applyAlignment="1" applyBorder="1" applyFont="1" applyNumberFormat="1">
      <alignment horizontal="right" vertical="bottom"/>
    </xf>
    <xf borderId="8" fillId="8" fontId="3" numFmtId="3" xfId="0" applyAlignment="1" applyBorder="1" applyFont="1" applyNumberFormat="1">
      <alignment readingOrder="0"/>
    </xf>
    <xf borderId="8" fillId="6" fontId="3" numFmtId="4" xfId="0" applyAlignment="1" applyBorder="1" applyFont="1" applyNumberFormat="1">
      <alignment horizontal="right" vertical="bottom"/>
    </xf>
    <xf borderId="8" fillId="0" fontId="2" numFmtId="0" xfId="0" applyAlignment="1" applyBorder="1" applyFont="1">
      <alignment shrinkToFit="0" vertical="bottom" wrapText="1"/>
    </xf>
    <xf borderId="8" fillId="0" fontId="2" numFmtId="0" xfId="0" applyAlignment="1" applyBorder="1" applyFont="1">
      <alignment shrinkToFit="0" vertical="bottom" wrapText="1"/>
    </xf>
    <xf borderId="8" fillId="6" fontId="3" numFmtId="4" xfId="0" applyAlignment="1" applyBorder="1" applyFont="1" applyNumberFormat="1">
      <alignment horizontal="right" shrinkToFit="0" vertical="bottom" wrapText="1"/>
    </xf>
    <xf borderId="11" fillId="8" fontId="3" numFmtId="3" xfId="0" applyAlignment="1" applyBorder="1" applyFont="1" applyNumberFormat="1">
      <alignment readingOrder="0"/>
    </xf>
    <xf borderId="11" fillId="6" fontId="3" numFmtId="4" xfId="0" applyAlignment="1" applyBorder="1" applyFont="1" applyNumberFormat="1">
      <alignment horizontal="right" shrinkToFit="0" vertical="bottom" wrapText="1"/>
    </xf>
    <xf borderId="4" fillId="6" fontId="3" numFmtId="168" xfId="0" applyAlignment="1" applyBorder="1" applyFont="1" applyNumberFormat="1">
      <alignment horizontal="right" readingOrder="0" vertical="bottom"/>
    </xf>
    <xf borderId="5" fillId="6" fontId="3" numFmtId="0" xfId="0" applyAlignment="1" applyBorder="1" applyFont="1">
      <alignment horizontal="right" readingOrder="0" vertical="bottom"/>
    </xf>
    <xf borderId="0" fillId="6" fontId="3" numFmtId="0" xfId="0" applyAlignment="1" applyFont="1">
      <alignment horizontal="right" readingOrder="0" vertical="bottom"/>
    </xf>
    <xf borderId="14" fillId="4" fontId="2" numFmtId="167" xfId="0" applyAlignment="1" applyBorder="1" applyFont="1" applyNumberFormat="1">
      <alignment shrinkToFit="0" vertical="bottom" wrapText="1"/>
    </xf>
    <xf borderId="12" fillId="3" fontId="3" numFmtId="10" xfId="0" applyAlignment="1" applyBorder="1" applyFont="1" applyNumberFormat="1">
      <alignment shrinkToFit="0" vertical="bottom" wrapText="1"/>
    </xf>
    <xf borderId="14" fillId="3" fontId="3" numFmtId="10" xfId="0" applyAlignment="1" applyBorder="1" applyFont="1" applyNumberFormat="1">
      <alignment readingOrder="0" shrinkToFit="0" vertical="bottom" wrapText="1"/>
    </xf>
    <xf borderId="14" fillId="10" fontId="3" numFmtId="167" xfId="0" applyBorder="1" applyFont="1" applyNumberFormat="1"/>
    <xf borderId="13" fillId="7" fontId="5" numFmtId="167" xfId="0" applyAlignment="1" applyBorder="1" applyFont="1" applyNumberFormat="1">
      <alignment horizontal="right" readingOrder="0"/>
    </xf>
    <xf borderId="0" fillId="0" fontId="1" numFmtId="0" xfId="0" applyFont="1"/>
    <xf borderId="13" fillId="3" fontId="1" numFmtId="167" xfId="0" applyBorder="1" applyFont="1" applyNumberFormat="1"/>
    <xf borderId="0" fillId="0" fontId="1" numFmtId="0" xfId="0" applyAlignment="1" applyFont="1">
      <alignment readingOrder="0"/>
    </xf>
    <xf borderId="0" fillId="0" fontId="6" numFmtId="0" xfId="0" applyAlignment="1" applyFont="1">
      <alignment vertical="bottom"/>
    </xf>
    <xf borderId="0" fillId="2" fontId="6" numFmtId="0" xfId="0" applyAlignment="1" applyFont="1">
      <alignment vertical="bottom"/>
    </xf>
    <xf borderId="0" fillId="0" fontId="7" numFmtId="0" xfId="0" applyAlignment="1" applyFont="1">
      <alignment vertical="bottom"/>
    </xf>
    <xf borderId="0" fillId="0" fontId="7" numFmtId="10" xfId="0" applyAlignment="1" applyFont="1" applyNumberFormat="1">
      <alignment shrinkToFit="0" vertical="bottom" wrapText="1"/>
    </xf>
    <xf borderId="0" fillId="12" fontId="8" numFmtId="0" xfId="0" applyAlignment="1" applyFill="1" applyFont="1">
      <alignment horizontal="left" readingOrder="0"/>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7"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2</xdr:row>
      <xdr:rowOff>180975</xdr:rowOff>
    </xdr:from>
    <xdr:ext cx="3009900" cy="3409950"/>
    <xdr:sp>
      <xdr:nvSpPr>
        <xdr:cNvPr id="3" name="Shape 3"/>
        <xdr:cNvSpPr txBox="1"/>
      </xdr:nvSpPr>
      <xdr:spPr>
        <a:xfrm>
          <a:off x="673050" y="726025"/>
          <a:ext cx="2832600" cy="323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solidFill>
                <a:srgbClr val="202124"/>
              </a:solidFill>
              <a:latin typeface="Inter"/>
              <a:ea typeface="Inter"/>
              <a:cs typeface="Inter"/>
              <a:sym typeface="Inter"/>
            </a:rPr>
            <a:t>American Airlines as of December 2021, operates the largest fleet size of 1440, carrying nearly 200 million passengers annually. This is roughly 1.9 million flights with an 83% average load factor.</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The $15B, </a:t>
          </a:r>
          <a:r>
            <a:rPr lang="en-US" sz="1100">
              <a:solidFill>
                <a:srgbClr val="202124"/>
              </a:solidFill>
              <a:latin typeface="Inter"/>
              <a:ea typeface="Inter"/>
              <a:cs typeface="Inter"/>
              <a:sym typeface="Inter"/>
            </a:rPr>
            <a:t>2025</a:t>
          </a:r>
          <a:r>
            <a:rPr lang="en-US" sz="1100">
              <a:solidFill>
                <a:srgbClr val="202124"/>
              </a:solidFill>
              <a:latin typeface="Inter"/>
              <a:ea typeface="Inter"/>
              <a:cs typeface="Inter"/>
              <a:sym typeface="Inter"/>
            </a:rPr>
            <a:t> debt-reduction goal is </a:t>
          </a:r>
          <a:r>
            <a:rPr lang="en-US" sz="1100">
              <a:solidFill>
                <a:srgbClr val="202124"/>
              </a:solidFill>
              <a:latin typeface="Inter"/>
              <a:ea typeface="Inter"/>
              <a:cs typeface="Inter"/>
              <a:sym typeface="Inter"/>
            </a:rPr>
            <a:t>well on track, </a:t>
          </a:r>
          <a:r>
            <a:rPr lang="en-US" sz="1100">
              <a:solidFill>
                <a:srgbClr val="202124"/>
              </a:solidFill>
              <a:latin typeface="Inter"/>
              <a:ea typeface="Inter"/>
              <a:cs typeface="Inter"/>
              <a:sym typeface="Inter"/>
            </a:rPr>
            <a:t>nearly halfway complete.</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AAL shares trade at a low multiple while a larger fleet portfolio and robust air travel contribute to the bottom line. Potential macro headwinds including fuel costs and strained consumers can, and have, reigned in brighter expectations. With shares trading near all-time lows, it’s difficult not to see </a:t>
          </a:r>
          <a:r>
            <a:rPr lang="en-US" sz="1100">
              <a:solidFill>
                <a:srgbClr val="202124"/>
              </a:solidFill>
              <a:latin typeface="Inter"/>
              <a:ea typeface="Inter"/>
              <a:cs typeface="Inter"/>
              <a:sym typeface="Inter"/>
            </a:rPr>
            <a:t>upside from here.</a:t>
          </a:r>
          <a:endParaRPr sz="1100">
            <a:solidFill>
              <a:srgbClr val="202124"/>
            </a:solidFill>
            <a:latin typeface="Inter"/>
            <a:ea typeface="Inter"/>
            <a:cs typeface="Inter"/>
            <a:sym typeface="Inter"/>
          </a:endParaRPr>
        </a:p>
      </xdr:txBody>
    </xdr:sp>
    <xdr:clientData fLocksWithSheet="0"/>
  </xdr:oneCellAnchor>
  <xdr:oneCellAnchor>
    <xdr:from>
      <xdr:col>0</xdr:col>
      <xdr:colOff>285750</xdr:colOff>
      <xdr:row>58</xdr:row>
      <xdr:rowOff>19050</xdr:rowOff>
    </xdr:from>
    <xdr:ext cx="3009900" cy="1219200"/>
    <xdr:sp>
      <xdr:nvSpPr>
        <xdr:cNvPr id="4" name="Shape 4"/>
        <xdr:cNvSpPr txBox="1"/>
      </xdr:nvSpPr>
      <xdr:spPr>
        <a:xfrm>
          <a:off x="4458125" y="3104750"/>
          <a:ext cx="2885700" cy="1200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latin typeface="Helvetica Neue"/>
              <a:ea typeface="Helvetica Neue"/>
              <a:cs typeface="Helvetica Neue"/>
              <a:sym typeface="Helvetica Neue"/>
            </a:rPr>
            <a:t>In the above cash flow regression (coined CFR), revenue is projected out T+20, and the NPV is taken for year T+10 using a discounted net income margin. We </a:t>
          </a:r>
          <a:r>
            <a:rPr lang="en-US" sz="1100">
              <a:latin typeface="Helvetica Neue"/>
              <a:ea typeface="Helvetica Neue"/>
              <a:cs typeface="Helvetica Neue"/>
              <a:sym typeface="Helvetica Neue"/>
            </a:rPr>
            <a:t>then</a:t>
          </a:r>
          <a:r>
            <a:rPr lang="en-US" sz="1100">
              <a:latin typeface="Helvetica Neue"/>
              <a:ea typeface="Helvetica Neue"/>
              <a:cs typeface="Helvetica Neue"/>
              <a:sym typeface="Helvetica Neue"/>
            </a:rPr>
            <a:t> calculate the compounded rate of return using the current NPV and NPV at T+10.</a:t>
          </a:r>
          <a:endParaRPr sz="1100">
            <a:latin typeface="Helvetica Neue"/>
            <a:ea typeface="Helvetica Neue"/>
            <a:cs typeface="Helvetica Neue"/>
            <a:sym typeface="Helvetica Neu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2</xdr:row>
      <xdr:rowOff>171450</xdr:rowOff>
    </xdr:from>
    <xdr:ext cx="3009900" cy="3429000"/>
    <xdr:sp>
      <xdr:nvSpPr>
        <xdr:cNvPr id="3" name="Shape 3"/>
        <xdr:cNvSpPr txBox="1"/>
      </xdr:nvSpPr>
      <xdr:spPr>
        <a:xfrm>
          <a:off x="673050" y="726025"/>
          <a:ext cx="2832600" cy="323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solidFill>
                <a:srgbClr val="202124"/>
              </a:solidFill>
              <a:latin typeface="Inter"/>
              <a:ea typeface="Inter"/>
              <a:cs typeface="Inter"/>
              <a:sym typeface="Inter"/>
            </a:rPr>
            <a:t>Square or Block Inc is a financial services platform offering a point of sale system as well as mobile payments application CashApp.</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The company has been singing the tune of improving operating efficiencies, to little avail. Though, Block provides a strong underlying proxy on the crypto industry and those coattails can produce significant multiple expansion.</a:t>
          </a:r>
          <a:endParaRPr sz="1100">
            <a:solidFill>
              <a:srgbClr val="202124"/>
            </a:solidFill>
            <a:latin typeface="Inter"/>
            <a:ea typeface="Inter"/>
            <a:cs typeface="Inter"/>
            <a:sym typeface="Inter"/>
          </a:endParaRPr>
        </a:p>
        <a:p>
          <a:pPr indent="0" lvl="0" marL="0" rtl="0" algn="l">
            <a:spcBef>
              <a:spcPts val="0"/>
            </a:spcBef>
            <a:spcAft>
              <a:spcPts val="0"/>
            </a:spcAft>
            <a:buNone/>
          </a:pPr>
          <a:r>
            <a:t/>
          </a:r>
          <a:endParaRPr sz="1100">
            <a:solidFill>
              <a:srgbClr val="202124"/>
            </a:solidFill>
            <a:latin typeface="Inter"/>
            <a:ea typeface="Inter"/>
            <a:cs typeface="Inter"/>
            <a:sym typeface="Inter"/>
          </a:endParaRPr>
        </a:p>
        <a:p>
          <a:pPr indent="0" lvl="0" marL="0" rtl="0" algn="l">
            <a:spcBef>
              <a:spcPts val="0"/>
            </a:spcBef>
            <a:spcAft>
              <a:spcPts val="0"/>
            </a:spcAft>
            <a:buNone/>
          </a:pPr>
          <a:r>
            <a:rPr lang="en-US" sz="1100">
              <a:solidFill>
                <a:srgbClr val="202124"/>
              </a:solidFill>
              <a:latin typeface="Inter"/>
              <a:ea typeface="Inter"/>
              <a:cs typeface="Inter"/>
              <a:sym typeface="Inter"/>
            </a:rPr>
            <a:t>Currently, the numbers do not </a:t>
          </a:r>
          <a:r>
            <a:rPr lang="en-US" sz="1100">
              <a:solidFill>
                <a:srgbClr val="202124"/>
              </a:solidFill>
              <a:latin typeface="Inter"/>
              <a:ea typeface="Inter"/>
              <a:cs typeface="Inter"/>
              <a:sym typeface="Inter"/>
            </a:rPr>
            <a:t>indicate</a:t>
          </a:r>
          <a:r>
            <a:rPr lang="en-US" sz="1100">
              <a:solidFill>
                <a:srgbClr val="202124"/>
              </a:solidFill>
              <a:latin typeface="Inter"/>
              <a:ea typeface="Inter"/>
              <a:cs typeface="Inter"/>
              <a:sym typeface="Inter"/>
            </a:rPr>
            <a:t> efficient capital reinvestments, while profits are expected to remain high. Until expectations are reigned in, growth is fully priced in for the foreseeable future.</a:t>
          </a:r>
          <a:endParaRPr sz="1100">
            <a:solidFill>
              <a:srgbClr val="202124"/>
            </a:solidFill>
            <a:latin typeface="Inter"/>
            <a:ea typeface="Inter"/>
            <a:cs typeface="Inter"/>
            <a:sym typeface="Inter"/>
          </a:endParaRPr>
        </a:p>
      </xdr:txBody>
    </xdr:sp>
    <xdr:clientData fLocksWithSheet="0"/>
  </xdr:oneCellAnchor>
  <xdr:oneCellAnchor>
    <xdr:from>
      <xdr:col>0</xdr:col>
      <xdr:colOff>285750</xdr:colOff>
      <xdr:row>62</xdr:row>
      <xdr:rowOff>180975</xdr:rowOff>
    </xdr:from>
    <xdr:ext cx="3009900" cy="1219200"/>
    <xdr:sp>
      <xdr:nvSpPr>
        <xdr:cNvPr id="4" name="Shape 4"/>
        <xdr:cNvSpPr txBox="1"/>
      </xdr:nvSpPr>
      <xdr:spPr>
        <a:xfrm>
          <a:off x="4458125" y="3104750"/>
          <a:ext cx="2885700" cy="1200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latin typeface="Helvetica Neue"/>
              <a:ea typeface="Helvetica Neue"/>
              <a:cs typeface="Helvetica Neue"/>
              <a:sym typeface="Helvetica Neue"/>
            </a:rPr>
            <a:t>In the above cash flow regression (coined CFR), revenue is projected out T+20, and the NPV is taken for year T+10 using a discounted net income margin. We </a:t>
          </a:r>
          <a:r>
            <a:rPr lang="en-US" sz="1100">
              <a:latin typeface="Helvetica Neue"/>
              <a:ea typeface="Helvetica Neue"/>
              <a:cs typeface="Helvetica Neue"/>
              <a:sym typeface="Helvetica Neue"/>
            </a:rPr>
            <a:t>then</a:t>
          </a:r>
          <a:r>
            <a:rPr lang="en-US" sz="1100">
              <a:latin typeface="Helvetica Neue"/>
              <a:ea typeface="Helvetica Neue"/>
              <a:cs typeface="Helvetica Neue"/>
              <a:sym typeface="Helvetica Neue"/>
            </a:rPr>
            <a:t> calculate the compounded rate of return using the current NPV and NPV at T+10.</a:t>
          </a:r>
          <a:endParaRPr sz="1100">
            <a:latin typeface="Helvetica Neue"/>
            <a:ea typeface="Helvetica Neue"/>
            <a:cs typeface="Helvetica Neue"/>
            <a:sym typeface="Helvetica Neue"/>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13"/>
    <col customWidth="1" min="7" max="7" width="11.13"/>
    <col customWidth="1" min="8" max="8" width="11.25"/>
    <col customWidth="1" min="9" max="9" width="10.5"/>
    <col customWidth="1" min="10" max="10" width="10.0"/>
  </cols>
  <sheetData>
    <row r="1">
      <c r="A1" s="1"/>
      <c r="B1" s="1"/>
      <c r="C1" s="2"/>
      <c r="E1" s="1"/>
    </row>
    <row r="2">
      <c r="A2" s="1"/>
      <c r="B2" s="3" t="s">
        <v>0</v>
      </c>
      <c r="C2" s="4">
        <v>45189.0</v>
      </c>
      <c r="D2" s="5"/>
      <c r="E2" s="6" t="s">
        <v>1</v>
      </c>
      <c r="F2" s="7" t="s">
        <v>2</v>
      </c>
      <c r="G2" s="7" t="s">
        <v>3</v>
      </c>
      <c r="H2" s="7" t="s">
        <v>4</v>
      </c>
      <c r="I2" s="7" t="s">
        <v>5</v>
      </c>
      <c r="J2" s="7" t="s">
        <v>6</v>
      </c>
      <c r="K2" s="8" t="s">
        <v>7</v>
      </c>
      <c r="L2" s="5"/>
      <c r="M2" s="5"/>
      <c r="N2" s="5"/>
    </row>
    <row r="3">
      <c r="A3" s="1"/>
      <c r="B3" s="9"/>
      <c r="C3" s="10"/>
      <c r="D3" s="11"/>
      <c r="E3" s="12"/>
      <c r="F3" s="5"/>
      <c r="G3" s="5"/>
      <c r="H3" s="5"/>
      <c r="I3" s="5"/>
      <c r="J3" s="5"/>
      <c r="K3" s="13"/>
      <c r="L3" s="13"/>
      <c r="M3" s="5"/>
      <c r="N3" s="5"/>
    </row>
    <row r="4">
      <c r="B4" s="5"/>
      <c r="C4" s="14"/>
      <c r="D4" s="15"/>
      <c r="E4" s="10" t="s">
        <v>8</v>
      </c>
      <c r="F4" s="16">
        <v>44540.0</v>
      </c>
      <c r="G4" s="17">
        <v>45770.0</v>
      </c>
      <c r="H4" s="17">
        <v>17340.0</v>
      </c>
      <c r="I4" s="17">
        <v>29880.0</v>
      </c>
      <c r="J4" s="17">
        <v>48970.0</v>
      </c>
      <c r="K4" s="18">
        <v>52894.0</v>
      </c>
      <c r="L4" s="13"/>
      <c r="M4" s="5"/>
      <c r="N4" s="5"/>
    </row>
    <row r="5">
      <c r="B5" s="5"/>
      <c r="C5" s="19"/>
      <c r="D5" s="15"/>
      <c r="E5" s="20" t="s">
        <v>9</v>
      </c>
      <c r="F5" s="21">
        <v>0.0</v>
      </c>
      <c r="G5" s="22">
        <f t="shared" ref="G5:K5" si="1">(G4-F4)/F4</f>
        <v>0.0276156264</v>
      </c>
      <c r="H5" s="22">
        <f t="shared" si="1"/>
        <v>-0.6211492244</v>
      </c>
      <c r="I5" s="22">
        <f t="shared" si="1"/>
        <v>0.723183391</v>
      </c>
      <c r="J5" s="22">
        <f t="shared" si="1"/>
        <v>0.6388888889</v>
      </c>
      <c r="K5" s="23">
        <f t="shared" si="1"/>
        <v>0.08013069226</v>
      </c>
      <c r="L5" s="13"/>
      <c r="M5" s="5"/>
      <c r="N5" s="5"/>
    </row>
    <row r="6">
      <c r="B6" s="5"/>
      <c r="C6" s="19"/>
      <c r="D6" s="5"/>
      <c r="E6" s="10" t="s">
        <v>10</v>
      </c>
      <c r="F6" s="24">
        <v>33520.0</v>
      </c>
      <c r="G6" s="25">
        <v>34350.0</v>
      </c>
      <c r="H6" s="25">
        <v>24660.0</v>
      </c>
      <c r="I6" s="25">
        <v>29860.0</v>
      </c>
      <c r="J6" s="25">
        <v>39930.0</v>
      </c>
      <c r="K6" s="26">
        <v>40391.0</v>
      </c>
      <c r="L6" s="13"/>
      <c r="M6" s="5"/>
      <c r="N6" s="5"/>
    </row>
    <row r="7">
      <c r="B7" s="5"/>
      <c r="C7" s="19"/>
      <c r="D7" s="27"/>
      <c r="E7" s="10" t="s">
        <v>11</v>
      </c>
      <c r="F7" s="28">
        <f t="shared" ref="F7:K7" si="2">(F4-F6)/F4</f>
        <v>0.2474180512</v>
      </c>
      <c r="G7" s="29">
        <f t="shared" si="2"/>
        <v>0.2495084116</v>
      </c>
      <c r="H7" s="29">
        <f t="shared" si="2"/>
        <v>-0.4221453287</v>
      </c>
      <c r="I7" s="29">
        <f t="shared" si="2"/>
        <v>0.0006693440428</v>
      </c>
      <c r="J7" s="29">
        <f t="shared" si="2"/>
        <v>0.1846028181</v>
      </c>
      <c r="K7" s="30">
        <f t="shared" si="2"/>
        <v>0.2363784172</v>
      </c>
      <c r="L7" s="31"/>
      <c r="M7" s="31"/>
      <c r="N7" s="31"/>
    </row>
    <row r="8">
      <c r="A8" s="1"/>
      <c r="B8" s="19"/>
      <c r="C8" s="14"/>
      <c r="D8" s="5"/>
      <c r="E8" s="10" t="s">
        <v>12</v>
      </c>
      <c r="F8" s="32">
        <f t="shared" ref="F8:K8" si="3">F4-F6</f>
        <v>11020</v>
      </c>
      <c r="G8" s="33">
        <f t="shared" si="3"/>
        <v>11420</v>
      </c>
      <c r="H8" s="33">
        <f t="shared" si="3"/>
        <v>-7320</v>
      </c>
      <c r="I8" s="33">
        <f t="shared" si="3"/>
        <v>20</v>
      </c>
      <c r="J8" s="33">
        <f t="shared" si="3"/>
        <v>9040</v>
      </c>
      <c r="K8" s="34">
        <f t="shared" si="3"/>
        <v>12503</v>
      </c>
      <c r="L8" s="5"/>
      <c r="M8" s="5"/>
      <c r="N8" s="5"/>
    </row>
    <row r="9">
      <c r="A9" s="1"/>
      <c r="B9" s="19"/>
      <c r="C9" s="14"/>
      <c r="D9" s="5"/>
      <c r="E9" s="10" t="s">
        <v>13</v>
      </c>
      <c r="F9" s="35">
        <v>0.0</v>
      </c>
      <c r="G9" s="36">
        <f t="shared" ref="G9:K9" si="4">(G8-F8)/F8</f>
        <v>0.03629764065</v>
      </c>
      <c r="H9" s="29">
        <f t="shared" si="4"/>
        <v>-1.640980736</v>
      </c>
      <c r="I9" s="29">
        <f t="shared" si="4"/>
        <v>-1.00273224</v>
      </c>
      <c r="J9" s="29">
        <f t="shared" si="4"/>
        <v>451</v>
      </c>
      <c r="K9" s="30">
        <f t="shared" si="4"/>
        <v>0.3830752212</v>
      </c>
      <c r="L9" s="5"/>
      <c r="M9" s="5"/>
      <c r="N9" s="5"/>
    </row>
    <row r="10">
      <c r="B10" s="5"/>
      <c r="C10" s="5"/>
      <c r="D10" s="5"/>
      <c r="E10" s="37" t="s">
        <v>14</v>
      </c>
      <c r="F10" s="38">
        <v>1890.0</v>
      </c>
      <c r="G10" s="25">
        <v>2000.0</v>
      </c>
      <c r="H10" s="39">
        <v>666.0</v>
      </c>
      <c r="I10" s="39">
        <v>1100.0</v>
      </c>
      <c r="J10" s="40">
        <v>1820.0</v>
      </c>
      <c r="K10" s="41">
        <v>1906.0</v>
      </c>
      <c r="L10" s="5"/>
      <c r="M10" s="5"/>
      <c r="N10" s="5"/>
    </row>
    <row r="11">
      <c r="A11" s="1"/>
      <c r="B11" s="19"/>
      <c r="C11" s="5"/>
      <c r="D11" s="42"/>
      <c r="E11" s="37" t="s">
        <v>15</v>
      </c>
      <c r="F11" s="24">
        <v>0.0</v>
      </c>
      <c r="G11" s="25">
        <v>0.0</v>
      </c>
      <c r="H11" s="25">
        <v>0.0</v>
      </c>
      <c r="I11" s="25">
        <v>0.0</v>
      </c>
      <c r="J11" s="40">
        <v>0.0</v>
      </c>
      <c r="K11" s="41">
        <v>0.0</v>
      </c>
      <c r="L11" s="5"/>
      <c r="M11" s="5"/>
      <c r="N11" s="5"/>
    </row>
    <row r="12">
      <c r="A12" s="1"/>
      <c r="B12" s="19"/>
      <c r="C12" s="5"/>
      <c r="D12" s="42"/>
      <c r="E12" s="37" t="s">
        <v>16</v>
      </c>
      <c r="F12" s="24">
        <v>5680.0</v>
      </c>
      <c r="G12" s="25">
        <v>5710.0</v>
      </c>
      <c r="H12" s="25">
        <v>3400.0</v>
      </c>
      <c r="I12" s="25">
        <v>3990.0</v>
      </c>
      <c r="J12" s="40">
        <v>5420.0</v>
      </c>
      <c r="K12" s="41">
        <v>5739.0</v>
      </c>
      <c r="L12" s="5"/>
      <c r="M12" s="5"/>
      <c r="N12" s="5"/>
    </row>
    <row r="13">
      <c r="A13" s="1"/>
      <c r="B13" s="19"/>
      <c r="C13" s="42"/>
      <c r="D13" s="43"/>
      <c r="E13" s="44" t="s">
        <v>17</v>
      </c>
      <c r="F13" s="38">
        <f t="shared" ref="F13:K13" si="5">F6+F10+F11+F12</f>
        <v>41090</v>
      </c>
      <c r="G13" s="39">
        <f t="shared" si="5"/>
        <v>42060</v>
      </c>
      <c r="H13" s="39">
        <f t="shared" si="5"/>
        <v>28726</v>
      </c>
      <c r="I13" s="39">
        <f t="shared" si="5"/>
        <v>34950</v>
      </c>
      <c r="J13" s="39">
        <f t="shared" si="5"/>
        <v>47170</v>
      </c>
      <c r="K13" s="45">
        <f t="shared" si="5"/>
        <v>48036</v>
      </c>
      <c r="L13" s="5"/>
      <c r="M13" s="5"/>
      <c r="N13" s="5"/>
    </row>
    <row r="14">
      <c r="A14" s="1"/>
      <c r="B14" s="19"/>
      <c r="C14" s="42"/>
      <c r="D14" s="46"/>
      <c r="E14" s="44" t="s">
        <v>18</v>
      </c>
      <c r="F14" s="32">
        <f t="shared" ref="F14:K14" si="6">F4-F13</f>
        <v>3450</v>
      </c>
      <c r="G14" s="33">
        <f t="shared" si="6"/>
        <v>3710</v>
      </c>
      <c r="H14" s="33">
        <f t="shared" si="6"/>
        <v>-11386</v>
      </c>
      <c r="I14" s="33">
        <f t="shared" si="6"/>
        <v>-5070</v>
      </c>
      <c r="J14" s="40">
        <f t="shared" si="6"/>
        <v>1800</v>
      </c>
      <c r="K14" s="41">
        <f t="shared" si="6"/>
        <v>4858</v>
      </c>
      <c r="L14" s="5"/>
      <c r="M14" s="5"/>
      <c r="N14" s="5"/>
    </row>
    <row r="15">
      <c r="A15" s="1"/>
      <c r="B15" s="19"/>
      <c r="C15" s="42"/>
      <c r="D15" s="47"/>
      <c r="E15" s="37" t="s">
        <v>19</v>
      </c>
      <c r="F15" s="28">
        <f t="shared" ref="F15:K15" si="7">F14/F4</f>
        <v>0.0774584643</v>
      </c>
      <c r="G15" s="29">
        <f t="shared" si="7"/>
        <v>0.08105746122</v>
      </c>
      <c r="H15" s="29">
        <f t="shared" si="7"/>
        <v>-0.6566320646</v>
      </c>
      <c r="I15" s="29">
        <f t="shared" si="7"/>
        <v>-0.1696787149</v>
      </c>
      <c r="J15" s="29">
        <f t="shared" si="7"/>
        <v>0.03675719828</v>
      </c>
      <c r="K15" s="30">
        <f t="shared" si="7"/>
        <v>0.09184406549</v>
      </c>
      <c r="L15" s="5"/>
      <c r="M15" s="5"/>
      <c r="N15" s="5"/>
    </row>
    <row r="16">
      <c r="A16" s="1"/>
      <c r="B16" s="19"/>
      <c r="C16" s="42"/>
      <c r="D16" s="47"/>
      <c r="E16" s="44" t="s">
        <v>20</v>
      </c>
      <c r="F16" s="24" t="s">
        <v>21</v>
      </c>
      <c r="G16" s="25" t="s">
        <v>21</v>
      </c>
      <c r="H16" s="25" t="s">
        <v>21</v>
      </c>
      <c r="I16" s="25" t="s">
        <v>21</v>
      </c>
      <c r="J16" s="25" t="s">
        <v>21</v>
      </c>
      <c r="K16" s="26" t="s">
        <v>21</v>
      </c>
      <c r="L16" s="5"/>
      <c r="M16" s="5"/>
      <c r="N16" s="5"/>
    </row>
    <row r="17">
      <c r="A17" s="1"/>
      <c r="B17" s="19"/>
      <c r="C17" s="42"/>
      <c r="D17" s="47"/>
      <c r="E17" s="37" t="s">
        <v>22</v>
      </c>
      <c r="F17" s="24" t="s">
        <v>21</v>
      </c>
      <c r="G17" s="25" t="s">
        <v>21</v>
      </c>
      <c r="H17" s="25" t="s">
        <v>21</v>
      </c>
      <c r="I17" s="25" t="s">
        <v>21</v>
      </c>
      <c r="J17" s="25" t="s">
        <v>21</v>
      </c>
      <c r="K17" s="26" t="s">
        <v>21</v>
      </c>
      <c r="L17" s="5"/>
      <c r="M17" s="5"/>
      <c r="N17" s="5"/>
    </row>
    <row r="18">
      <c r="A18" s="1"/>
      <c r="B18" s="19"/>
      <c r="C18" s="19"/>
      <c r="D18" s="48"/>
      <c r="E18" s="44" t="s">
        <v>23</v>
      </c>
      <c r="F18" s="24">
        <v>1880.0</v>
      </c>
      <c r="G18" s="25">
        <v>2260.0</v>
      </c>
      <c r="H18" s="25">
        <v>-11450.0</v>
      </c>
      <c r="I18" s="25">
        <v>-2550.0</v>
      </c>
      <c r="J18" s="40">
        <v>186.0</v>
      </c>
      <c r="K18" s="41">
        <v>3448.0</v>
      </c>
      <c r="L18" s="49"/>
      <c r="M18" s="49"/>
      <c r="N18" s="49"/>
      <c r="O18" s="50"/>
    </row>
    <row r="19">
      <c r="A19" s="1"/>
      <c r="B19" s="19"/>
      <c r="C19" s="31"/>
      <c r="D19" s="51"/>
      <c r="E19" s="44" t="s">
        <v>24</v>
      </c>
      <c r="F19" s="24">
        <v>472.0</v>
      </c>
      <c r="G19" s="25">
        <v>570.0</v>
      </c>
      <c r="H19" s="25">
        <v>-2570.0</v>
      </c>
      <c r="I19" s="25">
        <v>-555.0</v>
      </c>
      <c r="J19" s="25">
        <v>59.0</v>
      </c>
      <c r="K19" s="26">
        <v>814.0</v>
      </c>
      <c r="L19" s="49"/>
      <c r="M19" s="49" t="s">
        <v>25</v>
      </c>
      <c r="N19" s="49"/>
      <c r="O19" s="50"/>
    </row>
    <row r="20">
      <c r="A20" s="1"/>
      <c r="B20" s="19"/>
      <c r="C20" s="19"/>
      <c r="D20" s="51"/>
      <c r="E20" s="44" t="s">
        <v>26</v>
      </c>
      <c r="F20" s="32">
        <f t="shared" ref="F20:K20" si="8">F18-F19</f>
        <v>1408</v>
      </c>
      <c r="G20" s="33">
        <f t="shared" si="8"/>
        <v>1690</v>
      </c>
      <c r="H20" s="33">
        <f t="shared" si="8"/>
        <v>-8880</v>
      </c>
      <c r="I20" s="33">
        <f t="shared" si="8"/>
        <v>-1995</v>
      </c>
      <c r="J20" s="40">
        <f t="shared" si="8"/>
        <v>127</v>
      </c>
      <c r="K20" s="41">
        <f t="shared" si="8"/>
        <v>2634</v>
      </c>
      <c r="L20" s="49"/>
      <c r="M20" s="52">
        <f>C26/G20</f>
        <v>2.350295858</v>
      </c>
      <c r="N20" s="49"/>
      <c r="O20" s="50"/>
    </row>
    <row r="21">
      <c r="B21" s="5"/>
      <c r="C21" s="5"/>
      <c r="D21" s="5"/>
      <c r="E21" s="37" t="s">
        <v>27</v>
      </c>
      <c r="F21" s="53">
        <v>0.0</v>
      </c>
      <c r="G21" s="22">
        <f>(G20-F20)/ABS(F20)</f>
        <v>0.2002840909</v>
      </c>
      <c r="H21" s="54">
        <f>(H20-G20)/G20</f>
        <v>-6.25443787</v>
      </c>
      <c r="I21" s="54">
        <f t="shared" ref="I21:K21" si="9">(I20-H20)/ABS(H20)</f>
        <v>0.7753378378</v>
      </c>
      <c r="J21" s="54">
        <f t="shared" si="9"/>
        <v>1.063659148</v>
      </c>
      <c r="K21" s="55">
        <f t="shared" si="9"/>
        <v>19.74015748</v>
      </c>
      <c r="L21" s="49"/>
      <c r="M21" s="49"/>
      <c r="N21" s="49"/>
      <c r="O21" s="50"/>
    </row>
    <row r="22">
      <c r="B22" s="5"/>
      <c r="C22" s="19"/>
      <c r="D22" s="48"/>
      <c r="E22" s="44" t="s">
        <v>28</v>
      </c>
      <c r="F22" s="56">
        <f t="shared" ref="F22:K22" si="10">F20/F23</f>
        <v>3.034482759</v>
      </c>
      <c r="G22" s="57">
        <f t="shared" si="10"/>
        <v>3.81489842</v>
      </c>
      <c r="H22" s="57">
        <f t="shared" si="10"/>
        <v>-18.34710744</v>
      </c>
      <c r="I22" s="57">
        <f t="shared" si="10"/>
        <v>-3.097826087</v>
      </c>
      <c r="J22" s="58">
        <f t="shared" si="10"/>
        <v>0.1953846154</v>
      </c>
      <c r="K22" s="59">
        <f t="shared" si="10"/>
        <v>4.052307692</v>
      </c>
      <c r="L22" s="49"/>
      <c r="M22" s="49"/>
      <c r="N22" s="49"/>
      <c r="O22" s="50"/>
    </row>
    <row r="23">
      <c r="A23" s="1"/>
      <c r="B23" s="3" t="s">
        <v>29</v>
      </c>
      <c r="C23" s="60" t="s">
        <v>30</v>
      </c>
      <c r="D23" s="5"/>
      <c r="E23" s="44" t="s">
        <v>31</v>
      </c>
      <c r="F23" s="61">
        <v>464.0</v>
      </c>
      <c r="G23" s="62">
        <v>443.0</v>
      </c>
      <c r="H23" s="62">
        <v>484.0</v>
      </c>
      <c r="I23" s="62">
        <v>644.0</v>
      </c>
      <c r="J23" s="62">
        <v>650.0</v>
      </c>
      <c r="K23" s="63">
        <v>650.0</v>
      </c>
      <c r="L23" s="49"/>
      <c r="M23" s="49"/>
      <c r="N23" s="49"/>
      <c r="O23" s="50"/>
    </row>
    <row r="24">
      <c r="A24" s="1"/>
      <c r="B24" s="20"/>
      <c r="C24" s="5"/>
      <c r="D24" s="5"/>
      <c r="E24" s="20"/>
      <c r="F24" s="64"/>
      <c r="G24" s="64"/>
      <c r="H24" s="31"/>
      <c r="I24" s="31"/>
      <c r="J24" s="31"/>
      <c r="K24" s="5"/>
      <c r="L24" s="49"/>
      <c r="M24" s="49"/>
      <c r="N24" s="49"/>
      <c r="O24" s="50"/>
    </row>
    <row r="25">
      <c r="A25" s="1"/>
      <c r="B25" s="20" t="s">
        <v>32</v>
      </c>
      <c r="C25" s="65">
        <f>C26/K23</f>
        <v>6.110769231</v>
      </c>
      <c r="D25" s="5"/>
      <c r="E25" s="20" t="s">
        <v>33</v>
      </c>
      <c r="F25" s="66">
        <f>29080+1650</f>
        <v>30730</v>
      </c>
      <c r="G25" s="67">
        <f>28880+1710</f>
        <v>30590</v>
      </c>
      <c r="H25" s="68">
        <f>36570+1650</f>
        <v>38220</v>
      </c>
      <c r="I25" s="68">
        <f>42180+1510</f>
        <v>43690</v>
      </c>
      <c r="J25" s="68">
        <f>38950+1470</f>
        <v>40420</v>
      </c>
      <c r="K25" s="69">
        <v>43687.0</v>
      </c>
      <c r="L25" s="49"/>
      <c r="M25" s="49"/>
      <c r="N25" s="49"/>
      <c r="O25" s="50"/>
    </row>
    <row r="26">
      <c r="A26" s="1"/>
      <c r="B26" s="10" t="s">
        <v>34</v>
      </c>
      <c r="C26" s="70">
        <v>3972.0</v>
      </c>
      <c r="D26" s="5"/>
      <c r="E26" s="20" t="s">
        <v>35</v>
      </c>
      <c r="F26" s="71">
        <v>-169.0</v>
      </c>
      <c r="G26" s="72">
        <v>-118.0</v>
      </c>
      <c r="H26" s="73">
        <v>-6870.0</v>
      </c>
      <c r="I26" s="73">
        <v>-7340.0</v>
      </c>
      <c r="J26" s="73">
        <v>-5800.0</v>
      </c>
      <c r="K26" s="74">
        <v>-5800.0</v>
      </c>
      <c r="L26" s="49"/>
      <c r="M26" s="49"/>
      <c r="N26" s="49"/>
      <c r="O26" s="50"/>
    </row>
    <row r="27">
      <c r="A27" s="1"/>
      <c r="B27" s="10" t="s">
        <v>36</v>
      </c>
      <c r="C27" s="70">
        <f>C38</f>
        <v>3938.421812</v>
      </c>
      <c r="D27" s="5"/>
      <c r="E27" s="20" t="s">
        <v>37</v>
      </c>
      <c r="F27" s="71">
        <v>0.0</v>
      </c>
      <c r="G27" s="72">
        <v>0.0</v>
      </c>
      <c r="H27" s="73">
        <v>0.0</v>
      </c>
      <c r="I27" s="73">
        <v>0.0</v>
      </c>
      <c r="J27" s="73">
        <v>0.0</v>
      </c>
      <c r="K27" s="74">
        <v>0.0</v>
      </c>
      <c r="L27" s="49"/>
      <c r="M27" s="49"/>
      <c r="N27" s="49"/>
      <c r="O27" s="50"/>
    </row>
    <row r="28">
      <c r="A28" s="1"/>
      <c r="B28" s="10" t="s">
        <v>38</v>
      </c>
      <c r="C28" s="75">
        <f>K20/K29</f>
        <v>0.09431732732</v>
      </c>
      <c r="D28" s="5"/>
      <c r="E28" s="20" t="s">
        <v>39</v>
      </c>
      <c r="F28" s="71">
        <v>4910.0</v>
      </c>
      <c r="G28" s="72">
        <v>3980.0</v>
      </c>
      <c r="H28" s="73">
        <v>7470.0</v>
      </c>
      <c r="I28" s="73">
        <v>13420.0</v>
      </c>
      <c r="J28" s="73">
        <v>9960.0</v>
      </c>
      <c r="K28" s="74">
        <v>9960.0</v>
      </c>
      <c r="L28" s="49"/>
      <c r="M28" s="49"/>
      <c r="N28" s="49"/>
      <c r="O28" s="50"/>
    </row>
    <row r="29">
      <c r="A29" s="1"/>
      <c r="B29" s="20" t="s">
        <v>40</v>
      </c>
      <c r="C29" s="70">
        <f>C26+K25-K28</f>
        <v>37699</v>
      </c>
      <c r="D29" s="5"/>
      <c r="E29" s="20" t="s">
        <v>41</v>
      </c>
      <c r="F29" s="76">
        <f t="shared" ref="F29:K29" si="11">F25+F26+F27-F28</f>
        <v>25651</v>
      </c>
      <c r="G29" s="77">
        <f t="shared" si="11"/>
        <v>26492</v>
      </c>
      <c r="H29" s="77">
        <f t="shared" si="11"/>
        <v>23880</v>
      </c>
      <c r="I29" s="77">
        <f t="shared" si="11"/>
        <v>22930</v>
      </c>
      <c r="J29" s="77">
        <f t="shared" si="11"/>
        <v>24660</v>
      </c>
      <c r="K29" s="78">
        <f t="shared" si="11"/>
        <v>27927</v>
      </c>
      <c r="L29" s="49"/>
      <c r="M29" s="49"/>
      <c r="N29" s="49"/>
      <c r="O29" s="50"/>
    </row>
    <row r="30">
      <c r="A30" s="1"/>
      <c r="B30" s="79" t="s">
        <v>42</v>
      </c>
      <c r="C30" s="80">
        <f>C26/K20</f>
        <v>1.507972665</v>
      </c>
      <c r="D30" s="5"/>
      <c r="E30" s="20"/>
      <c r="F30" s="64"/>
      <c r="G30" s="64"/>
      <c r="H30" s="31"/>
      <c r="I30" s="31"/>
      <c r="J30" s="31"/>
      <c r="K30" s="5"/>
      <c r="L30" s="49"/>
      <c r="M30" s="49"/>
      <c r="N30" s="49"/>
      <c r="O30" s="50"/>
    </row>
    <row r="31">
      <c r="B31" s="44" t="s">
        <v>43</v>
      </c>
      <c r="C31" s="80">
        <f>C26/K4</f>
        <v>0.07509358339</v>
      </c>
      <c r="D31" s="5"/>
      <c r="E31" s="10" t="s">
        <v>44</v>
      </c>
      <c r="F31" s="81">
        <v>-837.0</v>
      </c>
      <c r="G31" s="82">
        <v>-1100.0</v>
      </c>
      <c r="H31" s="83">
        <v>-173.0</v>
      </c>
      <c r="I31" s="83">
        <v>-18.0</v>
      </c>
      <c r="J31" s="84">
        <v>-21.0</v>
      </c>
      <c r="K31" s="85">
        <v>0.0</v>
      </c>
      <c r="L31" s="49"/>
      <c r="M31" s="49"/>
      <c r="N31" s="49"/>
      <c r="O31" s="50"/>
    </row>
    <row r="32">
      <c r="B32" s="86" t="s">
        <v>45</v>
      </c>
      <c r="C32" s="87">
        <f>C26/K26</f>
        <v>-0.6848275862</v>
      </c>
      <c r="D32" s="5"/>
      <c r="E32" s="88" t="s">
        <v>46</v>
      </c>
      <c r="F32" s="89">
        <v>0.0</v>
      </c>
      <c r="G32" s="90">
        <v>0.0</v>
      </c>
      <c r="H32" s="90">
        <v>2970.0</v>
      </c>
      <c r="I32" s="90">
        <v>460.0</v>
      </c>
      <c r="J32" s="91">
        <v>0.0</v>
      </c>
      <c r="K32" s="92">
        <v>0.0</v>
      </c>
      <c r="L32" s="5"/>
      <c r="M32" s="5"/>
      <c r="N32" s="5"/>
    </row>
    <row r="33">
      <c r="B33" s="86" t="s">
        <v>47</v>
      </c>
      <c r="C33" s="80">
        <f>C29/K4</f>
        <v>0.7127273415</v>
      </c>
      <c r="D33" s="5"/>
      <c r="E33" s="20" t="s">
        <v>48</v>
      </c>
      <c r="F33" s="89">
        <v>94.0</v>
      </c>
      <c r="G33" s="93">
        <v>94.0</v>
      </c>
      <c r="H33" s="93">
        <v>91.0</v>
      </c>
      <c r="I33" s="93">
        <v>98.0</v>
      </c>
      <c r="J33" s="93">
        <v>78.0</v>
      </c>
      <c r="K33" s="92">
        <v>0.0</v>
      </c>
      <c r="L33" s="49"/>
      <c r="M33" s="49"/>
      <c r="N33" s="49"/>
      <c r="O33" s="50"/>
    </row>
    <row r="34">
      <c r="B34" s="44" t="s">
        <v>49</v>
      </c>
      <c r="C34" s="94">
        <f>C29/K18</f>
        <v>10.93358469</v>
      </c>
      <c r="D34" s="9"/>
      <c r="E34" s="88" t="s">
        <v>50</v>
      </c>
      <c r="F34" s="89">
        <v>2300.0</v>
      </c>
      <c r="G34" s="90">
        <v>3900.0</v>
      </c>
      <c r="H34" s="90">
        <v>11690.0</v>
      </c>
      <c r="I34" s="90">
        <v>11980.0</v>
      </c>
      <c r="J34" s="91">
        <v>1070.0</v>
      </c>
      <c r="K34" s="92">
        <v>2638.0</v>
      </c>
      <c r="L34" s="49"/>
      <c r="M34" s="49"/>
      <c r="N34" s="49"/>
      <c r="O34" s="50"/>
    </row>
    <row r="35">
      <c r="A35" s="1"/>
      <c r="B35" s="9"/>
      <c r="C35" s="95"/>
      <c r="D35" s="96"/>
      <c r="E35" s="88" t="s">
        <v>51</v>
      </c>
      <c r="F35" s="97">
        <v>-2940.0</v>
      </c>
      <c r="G35" s="98">
        <v>-4190.0</v>
      </c>
      <c r="H35" s="98">
        <v>-3540.0</v>
      </c>
      <c r="I35" s="98">
        <v>-7340.0</v>
      </c>
      <c r="J35" s="99">
        <v>-3750.0</v>
      </c>
      <c r="K35" s="100">
        <v>-5339.0</v>
      </c>
      <c r="L35" s="49"/>
      <c r="M35" s="49"/>
      <c r="N35" s="49"/>
      <c r="O35" s="50"/>
    </row>
    <row r="36">
      <c r="A36" s="1"/>
      <c r="B36" s="37" t="s">
        <v>52</v>
      </c>
      <c r="C36" s="101">
        <v>0.11</v>
      </c>
      <c r="D36" s="102"/>
      <c r="E36" s="88"/>
      <c r="F36" s="103"/>
      <c r="G36" s="103"/>
      <c r="H36" s="103"/>
      <c r="I36" s="64"/>
      <c r="J36" s="5"/>
      <c r="K36" s="5"/>
      <c r="L36" s="5"/>
      <c r="M36" s="5"/>
      <c r="N36" s="5"/>
    </row>
    <row r="37">
      <c r="B37" s="37" t="s">
        <v>53</v>
      </c>
      <c r="C37" s="104">
        <v>0.05</v>
      </c>
      <c r="D37" s="9"/>
      <c r="E37" s="10" t="s">
        <v>54</v>
      </c>
      <c r="F37" s="105">
        <v>3530.0</v>
      </c>
      <c r="G37" s="106">
        <v>3820.0</v>
      </c>
      <c r="H37" s="107">
        <v>-6540.0</v>
      </c>
      <c r="I37" s="107">
        <v>704.0</v>
      </c>
      <c r="J37" s="108">
        <v>2170.0</v>
      </c>
      <c r="K37" s="109">
        <v>4345.0</v>
      </c>
      <c r="L37" s="5"/>
      <c r="M37" s="5"/>
      <c r="N37" s="5"/>
    </row>
    <row r="38">
      <c r="B38" s="44" t="s">
        <v>55</v>
      </c>
      <c r="C38" s="110">
        <f t="array" ref="C38">NPV(C36, J50:J60)</f>
        <v>3938.421812</v>
      </c>
      <c r="D38" s="9"/>
      <c r="E38" s="88" t="s">
        <v>56</v>
      </c>
      <c r="F38" s="111">
        <v>-1970.0</v>
      </c>
      <c r="G38" s="112">
        <v>-2240.0</v>
      </c>
      <c r="H38" s="112">
        <v>-4340.0</v>
      </c>
      <c r="I38" s="112">
        <v>-5980.0</v>
      </c>
      <c r="J38" s="113">
        <v>636.0</v>
      </c>
      <c r="K38" s="114">
        <v>-1409.0</v>
      </c>
      <c r="L38" s="5"/>
      <c r="M38" s="5"/>
      <c r="N38" s="5"/>
    </row>
    <row r="39">
      <c r="B39" s="44" t="s">
        <v>57</v>
      </c>
      <c r="C39" s="110">
        <f>C38+K28-K25</f>
        <v>-29788.57819</v>
      </c>
      <c r="D39" s="9"/>
      <c r="E39" s="88" t="s">
        <v>58</v>
      </c>
      <c r="F39" s="111">
        <v>-1670.0</v>
      </c>
      <c r="G39" s="112">
        <v>-1570.0</v>
      </c>
      <c r="H39" s="112">
        <v>10990.0</v>
      </c>
      <c r="I39" s="112">
        <v>5290.0</v>
      </c>
      <c r="J39" s="113">
        <v>-2630.0</v>
      </c>
      <c r="K39" s="114">
        <v>-2694.0</v>
      </c>
      <c r="L39" s="5"/>
      <c r="M39" s="5"/>
      <c r="N39" s="5"/>
    </row>
    <row r="40">
      <c r="B40" s="44" t="s">
        <v>31</v>
      </c>
      <c r="C40" s="115">
        <f>K23</f>
        <v>650</v>
      </c>
      <c r="D40" s="9"/>
      <c r="E40" s="88" t="s">
        <v>59</v>
      </c>
      <c r="F40" s="111">
        <v>-112.0</v>
      </c>
      <c r="G40" s="112">
        <v>4.0</v>
      </c>
      <c r="H40" s="112">
        <v>109.0</v>
      </c>
      <c r="I40" s="112">
        <v>9.0</v>
      </c>
      <c r="J40" s="113">
        <v>178.0</v>
      </c>
      <c r="K40" s="114">
        <v>242.0</v>
      </c>
      <c r="L40" s="5"/>
      <c r="M40" s="5"/>
      <c r="N40" s="5"/>
    </row>
    <row r="41">
      <c r="A41" s="1"/>
      <c r="B41" s="37" t="s">
        <v>60</v>
      </c>
      <c r="C41" s="116">
        <f>C38/C40</f>
        <v>6.05911048</v>
      </c>
      <c r="D41" s="117"/>
      <c r="E41" s="88" t="s">
        <v>61</v>
      </c>
      <c r="F41" s="118">
        <v>-212.0</v>
      </c>
      <c r="G41" s="119">
        <v>-453.0</v>
      </c>
      <c r="H41" s="119">
        <v>-8500.0</v>
      </c>
      <c r="I41" s="119">
        <v>292.0</v>
      </c>
      <c r="J41" s="120">
        <v>-733.0</v>
      </c>
      <c r="K41" s="121">
        <v>1600.0</v>
      </c>
      <c r="L41" s="5"/>
      <c r="M41" s="5"/>
      <c r="N41" s="5"/>
    </row>
    <row r="42">
      <c r="A42" s="1"/>
      <c r="B42" s="20" t="s">
        <v>62</v>
      </c>
      <c r="C42" s="122">
        <f>(C41-C25)/C41</f>
        <v>-0.008525797714</v>
      </c>
      <c r="D42" s="102"/>
      <c r="E42" s="123"/>
      <c r="F42" s="48"/>
      <c r="G42" s="48"/>
      <c r="H42" s="124"/>
      <c r="I42" s="5"/>
      <c r="J42" s="5"/>
      <c r="K42" s="5"/>
      <c r="L42" s="5"/>
      <c r="M42" s="5"/>
      <c r="N42" s="5"/>
    </row>
    <row r="43">
      <c r="B43" s="20"/>
      <c r="C43" s="125"/>
      <c r="D43" s="48"/>
      <c r="E43" s="126" t="s">
        <v>63</v>
      </c>
      <c r="F43" s="127" t="s">
        <v>8</v>
      </c>
      <c r="G43" s="128" t="s">
        <v>64</v>
      </c>
      <c r="H43" s="129" t="s">
        <v>26</v>
      </c>
      <c r="I43" s="127" t="s">
        <v>65</v>
      </c>
      <c r="J43" s="130" t="s">
        <v>66</v>
      </c>
      <c r="K43" s="131" t="s">
        <v>67</v>
      </c>
      <c r="L43" s="49"/>
      <c r="M43" s="5"/>
      <c r="N43" s="5"/>
    </row>
    <row r="44">
      <c r="A44" s="1"/>
      <c r="B44" s="10" t="s">
        <v>68</v>
      </c>
      <c r="C44" s="132">
        <f>C38+K28-K60</f>
        <v>-3278.81165</v>
      </c>
      <c r="D44" s="48"/>
      <c r="E44" s="133"/>
      <c r="F44" s="134"/>
      <c r="G44" s="134"/>
      <c r="H44" s="135"/>
      <c r="I44" s="136"/>
      <c r="J44" s="49"/>
      <c r="K44" s="49"/>
      <c r="L44" s="49"/>
      <c r="M44" s="5"/>
      <c r="N44" s="5"/>
    </row>
    <row r="45">
      <c r="A45" s="1"/>
      <c r="B45" s="10" t="s">
        <v>69</v>
      </c>
      <c r="C45" s="137">
        <f>C44/K23</f>
        <v>-5.044325615</v>
      </c>
      <c r="D45" s="48"/>
      <c r="E45" s="138">
        <v>2018.0</v>
      </c>
      <c r="F45" s="139">
        <f>F4</f>
        <v>44540</v>
      </c>
      <c r="G45" s="140">
        <f>F5</f>
        <v>0</v>
      </c>
      <c r="H45" s="141">
        <f>F20</f>
        <v>1408</v>
      </c>
      <c r="I45" s="142">
        <v>0.0</v>
      </c>
      <c r="J45" s="143">
        <f>F41</f>
        <v>-212</v>
      </c>
      <c r="K45" s="144">
        <f>F25</f>
        <v>30730</v>
      </c>
      <c r="L45" s="49"/>
      <c r="M45" s="5"/>
      <c r="N45" s="5"/>
    </row>
    <row r="46">
      <c r="A46" s="1"/>
      <c r="B46" s="1"/>
      <c r="C46" s="125"/>
      <c r="D46" s="48"/>
      <c r="E46" s="138">
        <v>2019.0</v>
      </c>
      <c r="F46" s="145">
        <f>G4</f>
        <v>45770</v>
      </c>
      <c r="G46" s="146">
        <f>G5</f>
        <v>0.0276156264</v>
      </c>
      <c r="H46" s="147">
        <f>G20</f>
        <v>1690</v>
      </c>
      <c r="I46" s="148">
        <v>0.0</v>
      </c>
      <c r="J46" s="149">
        <f>G41</f>
        <v>-453</v>
      </c>
      <c r="K46" s="150">
        <f>G25</f>
        <v>30590</v>
      </c>
      <c r="L46" s="151">
        <v>1.0</v>
      </c>
      <c r="M46" s="152" t="s">
        <v>70</v>
      </c>
    </row>
    <row r="47">
      <c r="A47" s="1"/>
      <c r="B47" s="37" t="s">
        <v>71</v>
      </c>
      <c r="C47" s="153">
        <f>C37</f>
        <v>0.05</v>
      </c>
      <c r="D47" s="79"/>
      <c r="E47" s="138">
        <v>2020.0</v>
      </c>
      <c r="F47" s="154">
        <f>H4</f>
        <v>17340</v>
      </c>
      <c r="G47" s="155">
        <f>H5</f>
        <v>-0.6211492244</v>
      </c>
      <c r="H47" s="147">
        <f>H20</f>
        <v>-8880</v>
      </c>
      <c r="I47" s="148">
        <v>0.0</v>
      </c>
      <c r="J47" s="149">
        <f>H41</f>
        <v>-8500</v>
      </c>
      <c r="K47" s="150">
        <f>H25</f>
        <v>38220</v>
      </c>
      <c r="L47" s="151">
        <f>(K47/K46)</f>
        <v>1.249427918</v>
      </c>
    </row>
    <row r="48">
      <c r="B48" s="20" t="s">
        <v>72</v>
      </c>
      <c r="C48" s="156">
        <f t="array" ref="C48">NPV(C36, I64:I74)</f>
        <v>4642.930327</v>
      </c>
      <c r="D48" s="157"/>
      <c r="E48" s="158">
        <v>2021.0</v>
      </c>
      <c r="F48" s="154">
        <f>I4</f>
        <v>29880</v>
      </c>
      <c r="G48" s="155">
        <f>I5</f>
        <v>0.723183391</v>
      </c>
      <c r="H48" s="147">
        <f>I20</f>
        <v>-1995</v>
      </c>
      <c r="I48" s="148">
        <v>0.0</v>
      </c>
      <c r="J48" s="149">
        <f>I41</f>
        <v>292</v>
      </c>
      <c r="K48" s="150">
        <f>I25</f>
        <v>43690</v>
      </c>
      <c r="L48" s="151">
        <f t="shared" ref="L48:L49" si="12">K48/K47</f>
        <v>1.143118786</v>
      </c>
    </row>
    <row r="49">
      <c r="B49" s="10" t="s">
        <v>73</v>
      </c>
      <c r="C49" s="159">
        <f>C48/K64</f>
        <v>5.318765155</v>
      </c>
      <c r="D49" s="157"/>
      <c r="E49" s="158">
        <v>2022.0</v>
      </c>
      <c r="F49" s="154">
        <f>J4</f>
        <v>48970</v>
      </c>
      <c r="G49" s="155">
        <f>J5</f>
        <v>0.6388888889</v>
      </c>
      <c r="H49" s="147">
        <f>J20</f>
        <v>127</v>
      </c>
      <c r="I49" s="148">
        <v>0.0</v>
      </c>
      <c r="J49" s="149">
        <f>J41</f>
        <v>-733</v>
      </c>
      <c r="K49" s="150">
        <f>J25</f>
        <v>40420</v>
      </c>
      <c r="L49" s="151">
        <f t="shared" si="12"/>
        <v>0.9251544976</v>
      </c>
    </row>
    <row r="50">
      <c r="B50" s="10" t="s">
        <v>74</v>
      </c>
      <c r="C50" s="160">
        <f>(C49/C25)^(1/10)-1</f>
        <v>-0.01378525103</v>
      </c>
      <c r="D50" s="157"/>
      <c r="E50" s="158">
        <v>2023.0</v>
      </c>
      <c r="F50" s="145">
        <f>K4</f>
        <v>52894</v>
      </c>
      <c r="G50" s="146">
        <f>K5</f>
        <v>0.08013069226</v>
      </c>
      <c r="H50" s="147">
        <f>K20</f>
        <v>2634</v>
      </c>
      <c r="I50" s="148">
        <v>0.0</v>
      </c>
      <c r="J50" s="149">
        <f>K41</f>
        <v>1600</v>
      </c>
      <c r="K50" s="150">
        <f>K49*L49</f>
        <v>37394.74479</v>
      </c>
      <c r="L50" s="161">
        <f>L49</f>
        <v>0.9251544976</v>
      </c>
    </row>
    <row r="51">
      <c r="A51" s="1"/>
      <c r="B51" s="37"/>
      <c r="D51" s="157"/>
      <c r="E51" s="158">
        <v>2024.0</v>
      </c>
      <c r="F51" s="145">
        <f t="shared" ref="F51:F60" si="13">F50*(1+G51)</f>
        <v>55743.56689</v>
      </c>
      <c r="G51" s="146">
        <f>AVERAGE(G46,G50)</f>
        <v>0.05387315933</v>
      </c>
      <c r="H51" s="147">
        <f t="shared" ref="H51:H60" si="14">H50*(1+G51)</f>
        <v>2775.901902</v>
      </c>
      <c r="I51" s="148">
        <v>0.0</v>
      </c>
      <c r="J51" s="162">
        <f>AVERAGE(J48:J50)</f>
        <v>386.3333333</v>
      </c>
      <c r="K51" s="163">
        <f>L50*K50</f>
        <v>34595.91633</v>
      </c>
      <c r="L51" s="5"/>
      <c r="M51" s="5"/>
      <c r="N51" s="5"/>
    </row>
    <row r="52">
      <c r="A52" s="1"/>
      <c r="B52" s="10" t="s">
        <v>75</v>
      </c>
      <c r="C52" s="164">
        <f>I52</f>
        <v>-0.0003873159332</v>
      </c>
      <c r="D52" s="49"/>
      <c r="E52" s="158">
        <v>2025.0</v>
      </c>
      <c r="F52" s="145">
        <f t="shared" si="13"/>
        <v>58725.05858</v>
      </c>
      <c r="G52" s="146">
        <f>G51-(G51-G60) / 10</f>
        <v>0.0534858434</v>
      </c>
      <c r="H52" s="147">
        <f t="shared" si="14"/>
        <v>2924.373356</v>
      </c>
      <c r="I52" s="165">
        <f>G52-G51</f>
        <v>-0.0003873159332</v>
      </c>
      <c r="J52" s="149">
        <f t="shared" ref="J52:J60" si="15">J51*(1+G52)</f>
        <v>406.9966975</v>
      </c>
      <c r="K52" s="150">
        <f>L50*K51</f>
        <v>32006.56759</v>
      </c>
      <c r="L52" s="49"/>
      <c r="M52" s="5"/>
      <c r="N52" s="5"/>
    </row>
    <row r="53">
      <c r="A53" s="1"/>
      <c r="B53" s="10" t="s">
        <v>76</v>
      </c>
      <c r="C53" s="166">
        <f>J60/H60</f>
        <v>0.1391739863</v>
      </c>
      <c r="D53" s="49"/>
      <c r="E53" s="167">
        <v>2026.0</v>
      </c>
      <c r="F53" s="145">
        <f t="shared" si="13"/>
        <v>61843.27271</v>
      </c>
      <c r="G53" s="146">
        <f>G52-(G51-G60) / 10</f>
        <v>0.05309852747</v>
      </c>
      <c r="H53" s="147">
        <f t="shared" si="14"/>
        <v>3079.653275</v>
      </c>
      <c r="I53" s="165">
        <f t="shared" ref="I53:I60" si="16">I52 * (1+G52)</f>
        <v>-0.0004080318525</v>
      </c>
      <c r="J53" s="149">
        <f t="shared" si="15"/>
        <v>428.6076228</v>
      </c>
      <c r="K53" s="150">
        <f>L50*K52</f>
        <v>29611.01996</v>
      </c>
      <c r="L53" s="49"/>
      <c r="M53" s="5"/>
      <c r="N53" s="5"/>
    </row>
    <row r="54">
      <c r="A54" s="1"/>
      <c r="B54" s="10" t="s">
        <v>77</v>
      </c>
      <c r="C54" s="168">
        <f>C53*(1+C52)^10</f>
        <v>0.1386358819</v>
      </c>
      <c r="D54" s="49"/>
      <c r="E54" s="167">
        <v>2027.0</v>
      </c>
      <c r="F54" s="145">
        <f t="shared" si="13"/>
        <v>65103.10654</v>
      </c>
      <c r="G54" s="146">
        <f>G53-(G51-G60) / 10</f>
        <v>0.05271121153</v>
      </c>
      <c r="H54" s="147">
        <f t="shared" si="14"/>
        <v>3241.98553</v>
      </c>
      <c r="I54" s="165">
        <f t="shared" si="16"/>
        <v>-0.0004296977431</v>
      </c>
      <c r="J54" s="149">
        <f t="shared" si="15"/>
        <v>451.2000499</v>
      </c>
      <c r="K54" s="150">
        <f>L50*K53</f>
        <v>27394.7683</v>
      </c>
      <c r="L54" s="49"/>
      <c r="M54" s="5"/>
      <c r="N54" s="5"/>
    </row>
    <row r="55">
      <c r="B55" s="10" t="s">
        <v>78</v>
      </c>
      <c r="C55" s="169">
        <f t="array" ref="C55">NPV(C36, J64:J74)</f>
        <v>4624.978828</v>
      </c>
      <c r="D55" s="19"/>
      <c r="E55" s="167">
        <v>2028.0</v>
      </c>
      <c r="F55" s="145">
        <f t="shared" si="13"/>
        <v>68509.55469</v>
      </c>
      <c r="G55" s="146">
        <f>G54-(G51-G60) / 10</f>
        <v>0.0523238956</v>
      </c>
      <c r="H55" s="147">
        <f t="shared" si="14"/>
        <v>3411.618843</v>
      </c>
      <c r="I55" s="165">
        <f t="shared" si="16"/>
        <v>-0.0004523476317</v>
      </c>
      <c r="J55" s="149">
        <f t="shared" si="15"/>
        <v>474.8085942</v>
      </c>
      <c r="K55" s="150">
        <f>L50*K54</f>
        <v>25344.3931</v>
      </c>
      <c r="L55" s="49"/>
      <c r="M55" s="5"/>
      <c r="N55" s="5"/>
    </row>
    <row r="56">
      <c r="B56" s="10" t="s">
        <v>73</v>
      </c>
      <c r="C56" s="170">
        <f>C55/K64</f>
        <v>5.298200598</v>
      </c>
      <c r="D56" s="49"/>
      <c r="E56" s="167">
        <v>2029.0</v>
      </c>
      <c r="F56" s="145">
        <f t="shared" si="13"/>
        <v>72067.70664</v>
      </c>
      <c r="G56" s="146">
        <f>G55-(G51-G60) / 10</f>
        <v>0.05193657967</v>
      </c>
      <c r="H56" s="147">
        <f t="shared" si="14"/>
        <v>3588.806657</v>
      </c>
      <c r="I56" s="165">
        <f t="shared" si="16"/>
        <v>-0.000476016222</v>
      </c>
      <c r="J56" s="149">
        <f t="shared" si="15"/>
        <v>499.4685286</v>
      </c>
      <c r="K56" s="150">
        <f>L50*K55</f>
        <v>23447.47926</v>
      </c>
      <c r="L56" s="49"/>
      <c r="M56" s="5"/>
      <c r="N56" s="5"/>
    </row>
    <row r="57">
      <c r="A57" s="1"/>
      <c r="B57" s="10" t="s">
        <v>74</v>
      </c>
      <c r="C57" s="171">
        <f>(C56/C25)^(1/10)-1</f>
        <v>-0.01416722772</v>
      </c>
      <c r="D57" s="49"/>
      <c r="E57" s="167">
        <v>2030.0</v>
      </c>
      <c r="F57" s="145">
        <f t="shared" si="13"/>
        <v>75782.74386</v>
      </c>
      <c r="G57" s="146">
        <f>G56-(G51-G60) / 10</f>
        <v>0.05154926373</v>
      </c>
      <c r="H57" s="147">
        <f t="shared" si="14"/>
        <v>3773.806997</v>
      </c>
      <c r="I57" s="165">
        <f t="shared" si="16"/>
        <v>-0.0005007388764</v>
      </c>
      <c r="J57" s="149">
        <f t="shared" si="15"/>
        <v>525.2157635</v>
      </c>
      <c r="K57" s="163">
        <f>L50*K56</f>
        <v>21692.5409</v>
      </c>
      <c r="L57" s="5"/>
      <c r="M57" s="5"/>
      <c r="N57" s="5"/>
    </row>
    <row r="58">
      <c r="A58" s="1"/>
      <c r="B58" s="37"/>
      <c r="C58" s="125"/>
      <c r="D58" s="49"/>
      <c r="E58" s="123">
        <v>2031.0</v>
      </c>
      <c r="F58" s="145">
        <f t="shared" si="13"/>
        <v>79659.93664</v>
      </c>
      <c r="G58" s="146">
        <f>G57-(G51-G60) / 10</f>
        <v>0.0511619478</v>
      </c>
      <c r="H58" s="147">
        <f t="shared" si="14"/>
        <v>3966.882314</v>
      </c>
      <c r="I58" s="165">
        <f t="shared" si="16"/>
        <v>-0.0005265515968</v>
      </c>
      <c r="J58" s="149">
        <f t="shared" si="15"/>
        <v>552.086825</v>
      </c>
      <c r="K58" s="163">
        <f>L50*K57</f>
        <v>20068.95178</v>
      </c>
      <c r="L58" s="5"/>
      <c r="M58" s="5"/>
      <c r="N58" s="5"/>
    </row>
    <row r="59">
      <c r="A59" s="1"/>
      <c r="B59" s="20"/>
      <c r="C59" s="172"/>
      <c r="D59" s="19"/>
      <c r="E59" s="123">
        <v>2032.0</v>
      </c>
      <c r="F59" s="145">
        <f t="shared" si="13"/>
        <v>83704.6406</v>
      </c>
      <c r="G59" s="146">
        <f>G58-(G51-G60) / 10</f>
        <v>0.05077463187</v>
      </c>
      <c r="H59" s="147">
        <f t="shared" si="14"/>
        <v>4168.299303</v>
      </c>
      <c r="I59" s="165">
        <f t="shared" si="16"/>
        <v>-0.0005534910021</v>
      </c>
      <c r="J59" s="149">
        <f t="shared" si="15"/>
        <v>580.1188303</v>
      </c>
      <c r="K59" s="163">
        <f>L50*K58</f>
        <v>18566.881</v>
      </c>
      <c r="L59" s="5"/>
      <c r="M59" s="5"/>
      <c r="N59" s="5"/>
    </row>
    <row r="60">
      <c r="A60" s="1"/>
      <c r="B60" s="10"/>
      <c r="C60" s="172"/>
      <c r="D60" s="19"/>
      <c r="E60" s="123">
        <v>2033.0</v>
      </c>
      <c r="F60" s="173">
        <f t="shared" si="13"/>
        <v>87889.87263</v>
      </c>
      <c r="G60" s="174">
        <f>C37</f>
        <v>0.05</v>
      </c>
      <c r="H60" s="175">
        <f t="shared" si="14"/>
        <v>4376.714268</v>
      </c>
      <c r="I60" s="176">
        <f t="shared" si="16"/>
        <v>-0.000581594304</v>
      </c>
      <c r="J60" s="177">
        <f t="shared" si="15"/>
        <v>609.1247718</v>
      </c>
      <c r="K60" s="178">
        <f>L50*K59</f>
        <v>17177.23346</v>
      </c>
      <c r="L60" s="5"/>
      <c r="M60" s="5"/>
      <c r="N60" s="5"/>
    </row>
    <row r="61">
      <c r="A61" s="1"/>
      <c r="B61" s="10"/>
      <c r="C61" s="125"/>
      <c r="D61" s="157"/>
      <c r="E61" s="5"/>
      <c r="F61" s="179"/>
      <c r="G61" s="179"/>
      <c r="H61" s="5"/>
      <c r="I61" s="5"/>
      <c r="J61" s="5"/>
      <c r="K61" s="5"/>
      <c r="L61" s="5"/>
      <c r="M61" s="5"/>
      <c r="N61" s="5"/>
    </row>
    <row r="62">
      <c r="A62" s="1"/>
      <c r="B62" s="1"/>
      <c r="C62" s="180"/>
      <c r="D62" s="157"/>
      <c r="E62" s="126" t="s">
        <v>63</v>
      </c>
      <c r="F62" s="127" t="s">
        <v>79</v>
      </c>
      <c r="G62" s="127" t="s">
        <v>64</v>
      </c>
      <c r="H62" s="181" t="s">
        <v>26</v>
      </c>
      <c r="I62" s="130" t="s">
        <v>66</v>
      </c>
      <c r="J62" s="130" t="s">
        <v>80</v>
      </c>
      <c r="K62" s="131" t="s">
        <v>31</v>
      </c>
      <c r="L62" s="5"/>
      <c r="M62" s="5"/>
      <c r="N62" s="5"/>
    </row>
    <row r="63">
      <c r="A63" s="1"/>
      <c r="B63" s="1"/>
      <c r="C63" s="182"/>
      <c r="D63" s="157"/>
      <c r="E63" s="133"/>
      <c r="F63" s="134"/>
      <c r="G63" s="134"/>
      <c r="H63" s="135"/>
      <c r="I63" s="136"/>
      <c r="J63" s="49"/>
      <c r="L63" s="5"/>
      <c r="M63" s="5"/>
      <c r="N63" s="5"/>
    </row>
    <row r="64">
      <c r="A64" s="125"/>
      <c r="B64" s="1"/>
      <c r="C64" s="125"/>
      <c r="D64" s="31"/>
      <c r="E64" s="123">
        <v>2033.0</v>
      </c>
      <c r="F64" s="139">
        <f>F60*C54</f>
        <v>12184.69</v>
      </c>
      <c r="G64" s="140">
        <f t="shared" ref="G64:H64" si="17">G60</f>
        <v>0.05</v>
      </c>
      <c r="H64" s="183">
        <f t="shared" si="17"/>
        <v>4376.714268</v>
      </c>
      <c r="I64" s="184">
        <f>J60</f>
        <v>609.1247718</v>
      </c>
      <c r="J64" s="143">
        <f>H64*C54</f>
        <v>606.7696422</v>
      </c>
      <c r="K64" s="185">
        <f>L64*K23</f>
        <v>872.9338843</v>
      </c>
      <c r="L64" s="5">
        <f>((K23-H23)/H23 + 1)</f>
        <v>1.342975207</v>
      </c>
      <c r="M64" s="5"/>
      <c r="N64" s="5"/>
    </row>
    <row r="65">
      <c r="A65" s="125"/>
      <c r="B65" s="1"/>
      <c r="C65" s="125"/>
      <c r="D65" s="31"/>
      <c r="E65" s="123">
        <v>2034.0</v>
      </c>
      <c r="F65" s="145">
        <f t="shared" ref="F65:F74" si="18">F64*(1+G65)</f>
        <v>12793.9245</v>
      </c>
      <c r="G65" s="146">
        <f>G64-(G64-G74) / 10</f>
        <v>0.05</v>
      </c>
      <c r="H65" s="147">
        <f t="shared" ref="H65:H74" si="19">H64*(1+G65)</f>
        <v>4595.549982</v>
      </c>
      <c r="I65" s="186">
        <f t="shared" ref="I65:I74" si="20">I64*(1+G65)</f>
        <v>639.5810104</v>
      </c>
      <c r="J65" s="162">
        <f>H65*C54</f>
        <v>637.1081243</v>
      </c>
      <c r="K65" s="187">
        <f t="shared" ref="K65:K68" si="21">L65*K64</f>
        <v>1113.712135</v>
      </c>
      <c r="L65" s="5">
        <f t="shared" ref="L65:L68" si="22">L64*0.95</f>
        <v>1.275826446</v>
      </c>
      <c r="M65" s="5"/>
      <c r="N65" s="5"/>
    </row>
    <row r="66">
      <c r="A66" s="125"/>
      <c r="B66" s="1"/>
      <c r="C66" s="172"/>
      <c r="D66" s="31"/>
      <c r="E66" s="123">
        <v>2035.0</v>
      </c>
      <c r="F66" s="145">
        <f t="shared" si="18"/>
        <v>13433.62072</v>
      </c>
      <c r="G66" s="146">
        <f>G65-(G64-G74) / 10</f>
        <v>0.05</v>
      </c>
      <c r="H66" s="147">
        <f t="shared" si="19"/>
        <v>4825.327481</v>
      </c>
      <c r="I66" s="186">
        <f t="shared" si="20"/>
        <v>671.5600609</v>
      </c>
      <c r="J66" s="149">
        <f>H66*C54</f>
        <v>668.9635305</v>
      </c>
      <c r="K66" s="188">
        <f t="shared" si="21"/>
        <v>1349.858226</v>
      </c>
      <c r="L66" s="5">
        <f t="shared" si="22"/>
        <v>1.212035124</v>
      </c>
      <c r="M66" s="5"/>
      <c r="N66" s="5"/>
    </row>
    <row r="67">
      <c r="A67" s="125"/>
      <c r="B67" s="1"/>
      <c r="C67" s="172"/>
      <c r="D67" s="31"/>
      <c r="E67" s="123">
        <v>2036.0</v>
      </c>
      <c r="F67" s="145">
        <f t="shared" si="18"/>
        <v>14105.30176</v>
      </c>
      <c r="G67" s="146">
        <f>G66-(G64-G74) / 10</f>
        <v>0.05</v>
      </c>
      <c r="H67" s="147">
        <f t="shared" si="19"/>
        <v>5066.593855</v>
      </c>
      <c r="I67" s="186">
        <f t="shared" si="20"/>
        <v>705.1380639</v>
      </c>
      <c r="J67" s="162">
        <f>H67*C54</f>
        <v>702.411707</v>
      </c>
      <c r="K67" s="187">
        <f t="shared" si="21"/>
        <v>1554.271803</v>
      </c>
      <c r="L67" s="5">
        <f t="shared" si="22"/>
        <v>1.151433368</v>
      </c>
      <c r="M67" s="5"/>
      <c r="N67" s="5"/>
    </row>
    <row r="68">
      <c r="A68" s="1"/>
      <c r="B68" s="1"/>
      <c r="C68" s="125"/>
      <c r="D68" s="19"/>
      <c r="E68" s="123">
        <v>2037.0</v>
      </c>
      <c r="F68" s="145">
        <f t="shared" si="18"/>
        <v>14810.56685</v>
      </c>
      <c r="G68" s="146">
        <f>G67-(G64-G74) / 10</f>
        <v>0.05</v>
      </c>
      <c r="H68" s="147">
        <f t="shared" si="19"/>
        <v>5319.923548</v>
      </c>
      <c r="I68" s="186">
        <f t="shared" si="20"/>
        <v>740.3949671</v>
      </c>
      <c r="J68" s="149">
        <f>H68*C54</f>
        <v>737.5322924</v>
      </c>
      <c r="K68" s="188">
        <f t="shared" si="21"/>
        <v>1700.158396</v>
      </c>
      <c r="L68" s="5">
        <f t="shared" si="22"/>
        <v>1.093861699</v>
      </c>
      <c r="M68" s="5"/>
      <c r="N68" s="5"/>
    </row>
    <row r="69">
      <c r="A69" s="1"/>
      <c r="B69" s="10"/>
      <c r="C69" s="19"/>
      <c r="D69" s="19"/>
      <c r="E69" s="123">
        <v>2038.0</v>
      </c>
      <c r="F69" s="145">
        <f t="shared" si="18"/>
        <v>15551.09519</v>
      </c>
      <c r="G69" s="146">
        <f>G68-(G64-G74) / 10</f>
        <v>0.05</v>
      </c>
      <c r="H69" s="147">
        <f t="shared" si="19"/>
        <v>5585.919725</v>
      </c>
      <c r="I69" s="186">
        <f t="shared" si="20"/>
        <v>777.4147155</v>
      </c>
      <c r="J69" s="162">
        <f>H69*C54</f>
        <v>774.408907</v>
      </c>
      <c r="K69" s="187">
        <f>L68*K68</f>
        <v>1859.738152</v>
      </c>
      <c r="L69" s="5"/>
      <c r="M69" s="5"/>
      <c r="N69" s="5"/>
    </row>
    <row r="70">
      <c r="A70" s="1"/>
      <c r="B70" s="10"/>
      <c r="C70" s="189"/>
      <c r="D70" s="19"/>
      <c r="E70" s="123">
        <v>2039.0</v>
      </c>
      <c r="F70" s="145">
        <f t="shared" si="18"/>
        <v>16328.64995</v>
      </c>
      <c r="G70" s="146">
        <f>G69-(G64-G74) / 10</f>
        <v>0.05</v>
      </c>
      <c r="H70" s="147">
        <f t="shared" si="19"/>
        <v>5865.215711</v>
      </c>
      <c r="I70" s="186">
        <f t="shared" si="20"/>
        <v>816.2854512</v>
      </c>
      <c r="J70" s="162">
        <f>H70*C54</f>
        <v>813.1293524</v>
      </c>
      <c r="K70" s="187">
        <f>L68*K69</f>
        <v>2034.296336</v>
      </c>
      <c r="L70" s="5"/>
      <c r="M70" s="5"/>
      <c r="N70" s="5"/>
    </row>
    <row r="71">
      <c r="A71" s="1"/>
      <c r="B71" s="19"/>
      <c r="C71" s="19"/>
      <c r="D71" s="19"/>
      <c r="E71" s="123">
        <v>2040.0</v>
      </c>
      <c r="F71" s="145">
        <f t="shared" si="18"/>
        <v>17145.08245</v>
      </c>
      <c r="G71" s="146">
        <f>G70-(G64-G74) / 10</f>
        <v>0.05</v>
      </c>
      <c r="H71" s="147">
        <f t="shared" si="19"/>
        <v>6158.476497</v>
      </c>
      <c r="I71" s="186">
        <f t="shared" si="20"/>
        <v>857.0997238</v>
      </c>
      <c r="J71" s="162">
        <f>H71*C54</f>
        <v>853.78582</v>
      </c>
      <c r="K71" s="187">
        <f>L68*K70</f>
        <v>2225.238847</v>
      </c>
      <c r="L71" s="5"/>
      <c r="M71" s="5"/>
      <c r="N71" s="5"/>
    </row>
    <row r="72">
      <c r="A72" s="1"/>
      <c r="B72" s="19"/>
      <c r="C72" s="19"/>
      <c r="D72" s="19"/>
      <c r="E72" s="123">
        <v>2041.0</v>
      </c>
      <c r="F72" s="145">
        <f t="shared" si="18"/>
        <v>18002.33657</v>
      </c>
      <c r="G72" s="146">
        <f>G71-(G64-G74) / 10</f>
        <v>0.05</v>
      </c>
      <c r="H72" s="147">
        <f t="shared" si="19"/>
        <v>6466.400322</v>
      </c>
      <c r="I72" s="186">
        <f t="shared" si="20"/>
        <v>899.95471</v>
      </c>
      <c r="J72" s="162">
        <f>H72*C54</f>
        <v>896.475111</v>
      </c>
      <c r="K72" s="187">
        <f>L68*K71</f>
        <v>2434.103547</v>
      </c>
      <c r="L72" s="5"/>
      <c r="M72" s="5"/>
      <c r="N72" s="5"/>
    </row>
    <row r="73">
      <c r="A73" s="1"/>
      <c r="B73" s="19"/>
      <c r="C73" s="19"/>
      <c r="D73" s="19"/>
      <c r="E73" s="123">
        <v>2042.0</v>
      </c>
      <c r="F73" s="145">
        <f t="shared" si="18"/>
        <v>18902.4534</v>
      </c>
      <c r="G73" s="146">
        <f>G72-(G64-G74) / 10</f>
        <v>0.05</v>
      </c>
      <c r="H73" s="147">
        <f t="shared" si="19"/>
        <v>6789.720338</v>
      </c>
      <c r="I73" s="186">
        <f t="shared" si="20"/>
        <v>944.9524455</v>
      </c>
      <c r="J73" s="162">
        <f>H73*C54</f>
        <v>941.2988665</v>
      </c>
      <c r="K73" s="187">
        <f>L68*K72</f>
        <v>2662.572642</v>
      </c>
      <c r="L73" s="5"/>
      <c r="M73" s="5"/>
      <c r="N73" s="5"/>
    </row>
    <row r="74">
      <c r="A74" s="125"/>
      <c r="B74" s="31"/>
      <c r="C74" s="31"/>
      <c r="D74" s="19"/>
      <c r="E74" s="123">
        <v>2043.0</v>
      </c>
      <c r="F74" s="173">
        <f t="shared" si="18"/>
        <v>19847.57607</v>
      </c>
      <c r="G74" s="174">
        <f>C47</f>
        <v>0.05</v>
      </c>
      <c r="H74" s="175">
        <f t="shared" si="19"/>
        <v>7129.206354</v>
      </c>
      <c r="I74" s="190">
        <f t="shared" si="20"/>
        <v>992.2000678</v>
      </c>
      <c r="J74" s="191">
        <f>H74*C54</f>
        <v>988.3638099</v>
      </c>
      <c r="K74" s="192">
        <f>L68*K73</f>
        <v>2912.486235</v>
      </c>
      <c r="L74" s="5"/>
      <c r="M74" s="5"/>
      <c r="N74" s="5"/>
    </row>
    <row r="75">
      <c r="A75" s="125"/>
      <c r="B75" s="31"/>
      <c r="C75" s="31"/>
      <c r="D75" s="19"/>
      <c r="E75" s="5"/>
      <c r="F75" s="5"/>
      <c r="G75" s="5"/>
      <c r="H75" s="5"/>
      <c r="I75" s="5"/>
      <c r="J75" s="5"/>
      <c r="K75" s="5"/>
      <c r="L75" s="5"/>
      <c r="M75" s="5"/>
      <c r="N75" s="5"/>
    </row>
    <row r="76">
      <c r="B76" s="5"/>
      <c r="C76" s="19"/>
      <c r="D76" s="19"/>
      <c r="E76" s="5"/>
      <c r="F76" s="5"/>
      <c r="G76" s="5"/>
      <c r="H76" s="5"/>
      <c r="I76" s="5"/>
      <c r="J76" s="5"/>
      <c r="K76" s="5"/>
      <c r="L76" s="5"/>
      <c r="M76" s="5"/>
      <c r="N76" s="5"/>
    </row>
    <row r="77">
      <c r="B77" s="5"/>
      <c r="C77" s="19"/>
      <c r="D77" s="19"/>
      <c r="E77" s="5"/>
      <c r="F77" s="5"/>
      <c r="G77" s="5"/>
      <c r="H77" s="5"/>
      <c r="I77" s="5"/>
      <c r="J77" s="5"/>
      <c r="K77" s="5"/>
      <c r="L77" s="5"/>
      <c r="M77" s="5"/>
      <c r="N77" s="5"/>
    </row>
    <row r="78">
      <c r="B78" s="5"/>
      <c r="C78" s="5"/>
      <c r="D78" s="5"/>
      <c r="E78" s="5"/>
      <c r="F78" s="5"/>
      <c r="G78" s="5"/>
      <c r="H78" s="5"/>
      <c r="I78" s="5"/>
      <c r="J78" s="5"/>
      <c r="K78" s="5"/>
      <c r="L78" s="5"/>
      <c r="M78" s="5"/>
      <c r="N78" s="5"/>
    </row>
    <row r="79">
      <c r="B79" s="5"/>
      <c r="C79" s="5"/>
      <c r="D79" s="5"/>
      <c r="E79" s="5"/>
      <c r="F79" s="5"/>
      <c r="G79" s="5"/>
      <c r="H79" s="5"/>
      <c r="I79" s="5"/>
      <c r="J79" s="5"/>
      <c r="K79" s="5"/>
      <c r="L79" s="5"/>
      <c r="M79" s="5"/>
      <c r="N79" s="5"/>
    </row>
    <row r="80">
      <c r="B80" s="5"/>
      <c r="C80" s="5"/>
      <c r="D80" s="5"/>
      <c r="E80" s="5"/>
      <c r="F80" s="5"/>
      <c r="G80" s="5"/>
      <c r="H80" s="5"/>
      <c r="I80" s="5"/>
      <c r="J80" s="5"/>
      <c r="K80" s="5"/>
      <c r="L80" s="5"/>
      <c r="M80" s="5"/>
      <c r="N80" s="5"/>
    </row>
    <row r="81">
      <c r="B81" s="5"/>
      <c r="C81" s="5"/>
      <c r="D81" s="5"/>
      <c r="E81" s="5"/>
      <c r="F81" s="5"/>
      <c r="G81" s="5"/>
      <c r="H81" s="5"/>
      <c r="I81" s="5"/>
      <c r="J81" s="5"/>
      <c r="K81" s="5"/>
      <c r="L81" s="5"/>
      <c r="M81" s="5"/>
      <c r="N81" s="5"/>
    </row>
    <row r="82">
      <c r="B82" s="5"/>
      <c r="C82" s="5"/>
      <c r="D82" s="5"/>
      <c r="E82" s="5"/>
      <c r="F82" s="5"/>
      <c r="G82" s="5"/>
      <c r="H82" s="5"/>
      <c r="I82" s="5"/>
      <c r="J82" s="5"/>
      <c r="K82" s="5"/>
      <c r="L82" s="5"/>
      <c r="M82" s="5"/>
      <c r="N82" s="5"/>
    </row>
    <row r="83">
      <c r="B83" s="5"/>
      <c r="C83" s="5"/>
      <c r="D83" s="5"/>
      <c r="E83" s="5"/>
      <c r="F83" s="5"/>
      <c r="G83" s="5"/>
      <c r="H83" s="5"/>
      <c r="I83" s="5"/>
      <c r="J83" s="5"/>
      <c r="K83" s="5"/>
      <c r="L83" s="5"/>
      <c r="M83" s="5"/>
      <c r="N83" s="5"/>
    </row>
    <row r="84">
      <c r="B84" s="5"/>
      <c r="C84" s="5"/>
      <c r="D84" s="5"/>
      <c r="E84" s="5"/>
      <c r="F84" s="5"/>
      <c r="G84" s="5"/>
      <c r="H84" s="5"/>
      <c r="I84" s="5"/>
      <c r="J84" s="5"/>
      <c r="K84" s="5"/>
      <c r="L84" s="5"/>
      <c r="M84" s="5"/>
      <c r="N84" s="5"/>
    </row>
    <row r="85">
      <c r="B85" s="5"/>
      <c r="C85" s="5"/>
      <c r="D85" s="5"/>
      <c r="E85" s="5"/>
      <c r="F85" s="5"/>
      <c r="G85" s="5"/>
      <c r="H85" s="5"/>
      <c r="I85" s="5"/>
      <c r="J85" s="5"/>
      <c r="K85" s="5"/>
      <c r="L85" s="5"/>
      <c r="M85" s="5"/>
      <c r="N85" s="5"/>
    </row>
    <row r="86">
      <c r="B86" s="5"/>
      <c r="C86" s="5"/>
      <c r="D86" s="5"/>
      <c r="E86" s="5"/>
      <c r="F86" s="5"/>
      <c r="G86" s="5"/>
      <c r="H86" s="5"/>
      <c r="I86" s="5"/>
      <c r="J86" s="5"/>
      <c r="K86" s="5"/>
      <c r="L86" s="5"/>
      <c r="M86" s="5"/>
      <c r="N86" s="5"/>
    </row>
    <row r="87">
      <c r="B87" s="5"/>
      <c r="C87" s="5"/>
      <c r="D87" s="5"/>
      <c r="E87" s="5"/>
      <c r="F87" s="5"/>
      <c r="G87" s="5"/>
      <c r="H87" s="5"/>
      <c r="I87" s="5"/>
      <c r="J87" s="5"/>
      <c r="K87" s="5"/>
      <c r="L87" s="5"/>
      <c r="M87" s="5"/>
      <c r="N87" s="5"/>
    </row>
    <row r="88">
      <c r="B88" s="5"/>
      <c r="C88" s="5"/>
      <c r="D88" s="5"/>
      <c r="E88" s="5"/>
      <c r="F88" s="5"/>
      <c r="G88" s="5"/>
      <c r="H88" s="5"/>
      <c r="I88" s="5"/>
      <c r="J88" s="5"/>
      <c r="K88" s="5"/>
      <c r="L88" s="5"/>
      <c r="M88" s="5"/>
      <c r="N88" s="5"/>
    </row>
    <row r="89">
      <c r="B89" s="5"/>
      <c r="C89" s="5"/>
      <c r="D89" s="5"/>
      <c r="E89" s="5"/>
      <c r="F89" s="5"/>
      <c r="G89" s="5"/>
      <c r="H89" s="5"/>
      <c r="I89" s="5"/>
      <c r="J89" s="5"/>
      <c r="K89" s="5"/>
      <c r="L89" s="5"/>
      <c r="M89" s="5"/>
      <c r="N89" s="5"/>
    </row>
    <row r="90">
      <c r="B90" s="5"/>
      <c r="C90" s="5"/>
      <c r="D90" s="5"/>
      <c r="E90" s="5"/>
      <c r="F90" s="5"/>
      <c r="G90" s="5"/>
      <c r="H90" s="5"/>
      <c r="I90" s="5"/>
      <c r="J90" s="5"/>
      <c r="K90" s="5"/>
      <c r="L90" s="5"/>
      <c r="M90" s="5"/>
      <c r="N90" s="5"/>
    </row>
    <row r="91">
      <c r="B91" s="5"/>
      <c r="C91" s="5"/>
      <c r="D91" s="5"/>
      <c r="E91" s="5"/>
      <c r="F91" s="5"/>
      <c r="G91" s="5"/>
      <c r="H91" s="5"/>
      <c r="I91" s="5"/>
      <c r="J91" s="5"/>
      <c r="K91" s="5"/>
      <c r="L91" s="5"/>
      <c r="M91" s="5"/>
      <c r="N91" s="5"/>
    </row>
    <row r="92">
      <c r="B92" s="5"/>
      <c r="C92" s="5"/>
      <c r="D92" s="5"/>
      <c r="E92" s="5"/>
      <c r="F92" s="5"/>
      <c r="G92" s="5"/>
      <c r="H92" s="5"/>
      <c r="I92" s="5"/>
      <c r="J92" s="5"/>
      <c r="K92" s="5"/>
      <c r="L92" s="5"/>
      <c r="M92" s="5"/>
      <c r="N92" s="5"/>
    </row>
    <row r="93">
      <c r="B93" s="5"/>
      <c r="C93" s="5"/>
      <c r="D93" s="5"/>
      <c r="E93" s="5"/>
      <c r="F93" s="5"/>
      <c r="G93" s="5"/>
      <c r="H93" s="5"/>
      <c r="I93" s="5"/>
      <c r="J93" s="5"/>
      <c r="K93" s="5"/>
      <c r="L93" s="5"/>
      <c r="M93" s="5"/>
      <c r="N93" s="5"/>
    </row>
    <row r="94">
      <c r="B94" s="5"/>
      <c r="C94" s="5"/>
      <c r="D94" s="5"/>
      <c r="E94" s="5"/>
      <c r="F94" s="5"/>
      <c r="G94" s="5"/>
      <c r="H94" s="5"/>
      <c r="I94" s="5"/>
      <c r="J94" s="5"/>
      <c r="K94" s="5"/>
      <c r="L94" s="5"/>
      <c r="M94" s="5"/>
      <c r="N94" s="5"/>
    </row>
    <row r="95">
      <c r="B95" s="5"/>
      <c r="C95" s="5"/>
      <c r="D95" s="5"/>
      <c r="E95" s="5"/>
      <c r="F95" s="5"/>
      <c r="G95" s="5"/>
      <c r="H95" s="5"/>
      <c r="I95" s="5"/>
      <c r="J95" s="5"/>
      <c r="K95" s="5"/>
      <c r="L95" s="5"/>
      <c r="M95" s="5"/>
      <c r="N95" s="5"/>
    </row>
    <row r="96">
      <c r="B96" s="5"/>
      <c r="C96" s="5"/>
      <c r="D96" s="5"/>
      <c r="E96" s="5"/>
      <c r="F96" s="5"/>
      <c r="G96" s="5"/>
      <c r="H96" s="5"/>
      <c r="I96" s="5"/>
      <c r="J96" s="5"/>
      <c r="K96" s="5"/>
      <c r="L96" s="5"/>
      <c r="M96" s="5"/>
      <c r="N96" s="5"/>
    </row>
    <row r="97">
      <c r="B97" s="5"/>
      <c r="C97" s="5"/>
      <c r="D97" s="5"/>
      <c r="E97" s="5"/>
      <c r="F97" s="5"/>
      <c r="G97" s="5"/>
      <c r="H97" s="5"/>
      <c r="I97" s="5"/>
      <c r="J97" s="5"/>
      <c r="K97" s="5"/>
      <c r="L97" s="5"/>
      <c r="M97" s="5"/>
      <c r="N97" s="5"/>
    </row>
    <row r="98">
      <c r="B98" s="5"/>
      <c r="C98" s="5"/>
      <c r="D98" s="5"/>
      <c r="E98" s="5"/>
      <c r="F98" s="5"/>
      <c r="G98" s="5"/>
      <c r="H98" s="5"/>
      <c r="I98" s="5"/>
      <c r="J98" s="5"/>
      <c r="K98" s="5"/>
      <c r="L98" s="5"/>
      <c r="M98" s="5"/>
      <c r="N98" s="5"/>
    </row>
    <row r="99">
      <c r="B99" s="5"/>
      <c r="C99" s="5"/>
      <c r="D99" s="5"/>
      <c r="E99" s="5"/>
      <c r="F99" s="5"/>
      <c r="G99" s="5"/>
      <c r="H99" s="5"/>
      <c r="I99" s="5"/>
      <c r="J99" s="5"/>
      <c r="K99" s="5"/>
      <c r="L99" s="5"/>
      <c r="M99" s="5"/>
      <c r="N99" s="5"/>
    </row>
    <row r="100">
      <c r="B100" s="5"/>
      <c r="C100" s="5"/>
      <c r="D100" s="5"/>
      <c r="E100" s="5"/>
      <c r="F100" s="5"/>
      <c r="G100" s="5"/>
      <c r="H100" s="5"/>
      <c r="I100" s="5"/>
      <c r="J100" s="5"/>
      <c r="K100" s="5"/>
      <c r="L100" s="5"/>
      <c r="M100" s="5"/>
      <c r="N100" s="5"/>
    </row>
    <row r="101">
      <c r="B101" s="5"/>
      <c r="C101" s="5"/>
      <c r="D101" s="5"/>
      <c r="E101" s="5"/>
      <c r="F101" s="5"/>
      <c r="G101" s="5"/>
      <c r="H101" s="5"/>
      <c r="I101" s="5"/>
      <c r="J101" s="5"/>
      <c r="K101" s="5"/>
      <c r="L101" s="5"/>
      <c r="M101" s="5"/>
      <c r="N101" s="5"/>
    </row>
    <row r="102">
      <c r="B102" s="5"/>
      <c r="C102" s="5"/>
      <c r="D102" s="5"/>
      <c r="E102" s="5"/>
      <c r="F102" s="5"/>
      <c r="G102" s="5"/>
      <c r="H102" s="5"/>
      <c r="I102" s="5"/>
      <c r="J102" s="5"/>
      <c r="K102" s="5"/>
      <c r="L102" s="5"/>
      <c r="M102" s="5"/>
      <c r="N102" s="5"/>
    </row>
    <row r="103">
      <c r="B103" s="5"/>
      <c r="C103" s="5"/>
      <c r="D103" s="5"/>
      <c r="E103" s="5"/>
      <c r="F103" s="5"/>
      <c r="G103" s="5"/>
      <c r="H103" s="5"/>
      <c r="I103" s="5"/>
      <c r="J103" s="5"/>
      <c r="K103" s="5"/>
      <c r="L103" s="5"/>
      <c r="M103" s="5"/>
      <c r="N103" s="5"/>
    </row>
    <row r="104">
      <c r="B104" s="5"/>
      <c r="C104" s="5"/>
      <c r="D104" s="5"/>
      <c r="E104" s="5"/>
      <c r="F104" s="5"/>
      <c r="G104" s="5"/>
      <c r="H104" s="5"/>
      <c r="I104" s="5"/>
      <c r="J104" s="5"/>
      <c r="K104" s="5"/>
      <c r="L104" s="5"/>
      <c r="M104" s="5"/>
      <c r="N104" s="5"/>
    </row>
    <row r="105">
      <c r="B105" s="5"/>
      <c r="C105" s="5"/>
      <c r="D105" s="5"/>
      <c r="E105" s="5"/>
      <c r="F105" s="5"/>
      <c r="G105" s="5"/>
      <c r="H105" s="5"/>
      <c r="I105" s="5"/>
      <c r="J105" s="5"/>
      <c r="K105" s="5"/>
      <c r="L105" s="5"/>
      <c r="M105" s="5"/>
      <c r="N105" s="5"/>
    </row>
    <row r="106">
      <c r="B106" s="5"/>
      <c r="C106" s="5"/>
      <c r="D106" s="5"/>
      <c r="E106" s="5"/>
      <c r="F106" s="5"/>
      <c r="G106" s="5"/>
      <c r="H106" s="5"/>
      <c r="I106" s="5"/>
      <c r="J106" s="5"/>
      <c r="K106" s="5"/>
      <c r="L106" s="5"/>
      <c r="M106" s="5"/>
      <c r="N106" s="5"/>
    </row>
    <row r="107">
      <c r="B107" s="5"/>
      <c r="C107" s="5"/>
      <c r="D107" s="5"/>
      <c r="E107" s="5"/>
      <c r="F107" s="5"/>
      <c r="G107" s="5"/>
      <c r="H107" s="5"/>
      <c r="I107" s="5"/>
      <c r="J107" s="5"/>
      <c r="K107" s="5"/>
      <c r="L107" s="5"/>
      <c r="M107" s="5"/>
      <c r="N107" s="5"/>
    </row>
    <row r="108">
      <c r="B108" s="5"/>
      <c r="C108" s="5"/>
      <c r="D108" s="5"/>
      <c r="E108" s="5"/>
      <c r="F108" s="5"/>
      <c r="G108" s="5"/>
      <c r="H108" s="5"/>
      <c r="I108" s="5"/>
      <c r="J108" s="5"/>
      <c r="K108" s="5"/>
      <c r="L108" s="5"/>
      <c r="M108" s="5"/>
      <c r="N108" s="5"/>
    </row>
    <row r="109">
      <c r="B109" s="5"/>
      <c r="C109" s="5"/>
      <c r="D109" s="5"/>
      <c r="E109" s="5"/>
      <c r="F109" s="5"/>
      <c r="G109" s="5"/>
      <c r="H109" s="5"/>
      <c r="I109" s="5"/>
      <c r="J109" s="5"/>
      <c r="K109" s="5"/>
      <c r="L109" s="5"/>
      <c r="M109" s="5"/>
      <c r="N109" s="5"/>
    </row>
    <row r="110">
      <c r="B110" s="5"/>
      <c r="C110" s="5"/>
      <c r="D110" s="5"/>
      <c r="E110" s="5"/>
      <c r="F110" s="5"/>
      <c r="G110" s="5"/>
      <c r="H110" s="5"/>
      <c r="I110" s="5"/>
      <c r="J110" s="5"/>
      <c r="K110" s="5"/>
      <c r="L110" s="5"/>
      <c r="M110" s="5"/>
      <c r="N110" s="5"/>
    </row>
    <row r="111">
      <c r="B111" s="5"/>
      <c r="C111" s="5"/>
      <c r="D111" s="5"/>
      <c r="E111" s="5"/>
      <c r="F111" s="5"/>
      <c r="G111" s="5"/>
      <c r="H111" s="5"/>
      <c r="I111" s="5"/>
      <c r="J111" s="5"/>
      <c r="K111" s="5"/>
      <c r="L111" s="5"/>
      <c r="M111" s="5"/>
      <c r="N111" s="5"/>
    </row>
    <row r="112">
      <c r="B112" s="5"/>
      <c r="C112" s="5"/>
      <c r="D112" s="5"/>
      <c r="E112" s="5"/>
      <c r="F112" s="5"/>
      <c r="G112" s="5"/>
      <c r="H112" s="5"/>
      <c r="I112" s="5"/>
      <c r="J112" s="5"/>
      <c r="K112" s="5"/>
      <c r="L112" s="5"/>
      <c r="M112" s="5"/>
      <c r="N112" s="5"/>
    </row>
    <row r="113">
      <c r="B113" s="5"/>
      <c r="C113" s="5"/>
      <c r="D113" s="5"/>
      <c r="E113" s="5"/>
      <c r="F113" s="5"/>
      <c r="G113" s="5"/>
      <c r="H113" s="5"/>
      <c r="I113" s="5"/>
      <c r="J113" s="5"/>
      <c r="K113" s="5"/>
      <c r="L113" s="5"/>
      <c r="M113" s="5"/>
      <c r="N113" s="5"/>
    </row>
    <row r="114">
      <c r="B114" s="5"/>
      <c r="C114" s="5"/>
      <c r="D114" s="5"/>
      <c r="E114" s="5"/>
      <c r="F114" s="5"/>
      <c r="G114" s="5"/>
      <c r="H114" s="5"/>
      <c r="I114" s="5"/>
      <c r="J114" s="5"/>
      <c r="K114" s="5"/>
      <c r="L114" s="5"/>
      <c r="M114" s="5"/>
      <c r="N114" s="5"/>
    </row>
    <row r="115">
      <c r="B115" s="5"/>
      <c r="C115" s="5"/>
      <c r="D115" s="5"/>
      <c r="E115" s="5"/>
      <c r="F115" s="5"/>
      <c r="G115" s="5"/>
      <c r="H115" s="5"/>
      <c r="I115" s="5"/>
      <c r="J115" s="5"/>
      <c r="K115" s="5"/>
      <c r="L115" s="5"/>
      <c r="M115" s="5"/>
      <c r="N115" s="5"/>
    </row>
    <row r="116">
      <c r="B116" s="5"/>
      <c r="C116" s="5"/>
      <c r="D116" s="5"/>
      <c r="E116" s="5"/>
      <c r="F116" s="5"/>
      <c r="G116" s="5"/>
      <c r="H116" s="5"/>
      <c r="I116" s="5"/>
      <c r="J116" s="5"/>
      <c r="K116" s="5"/>
      <c r="L116" s="5"/>
      <c r="M116" s="5"/>
      <c r="N116" s="5"/>
    </row>
    <row r="117">
      <c r="B117" s="5"/>
      <c r="C117" s="5"/>
      <c r="D117" s="5"/>
      <c r="E117" s="5"/>
      <c r="F117" s="5"/>
      <c r="G117" s="5"/>
      <c r="H117" s="5"/>
      <c r="I117" s="5"/>
      <c r="J117" s="5"/>
      <c r="K117" s="5"/>
      <c r="L117" s="5"/>
      <c r="M117" s="5"/>
      <c r="N117" s="5"/>
    </row>
    <row r="118">
      <c r="B118" s="5"/>
      <c r="C118" s="5"/>
      <c r="D118" s="5"/>
      <c r="E118" s="5"/>
      <c r="F118" s="5"/>
      <c r="G118" s="5"/>
      <c r="H118" s="5"/>
      <c r="I118" s="5"/>
      <c r="J118" s="5"/>
      <c r="K118" s="5"/>
      <c r="L118" s="5"/>
      <c r="M118" s="5"/>
      <c r="N118" s="5"/>
    </row>
    <row r="119">
      <c r="B119" s="5"/>
      <c r="C119" s="5"/>
      <c r="D119" s="5"/>
      <c r="E119" s="5"/>
      <c r="F119" s="5"/>
      <c r="G119" s="5"/>
      <c r="H119" s="5"/>
      <c r="I119" s="5"/>
      <c r="J119" s="5"/>
      <c r="K119" s="5"/>
      <c r="L119" s="5"/>
      <c r="M119" s="5"/>
      <c r="N119" s="5"/>
    </row>
    <row r="120">
      <c r="B120" s="5"/>
      <c r="C120" s="5"/>
      <c r="D120" s="5"/>
      <c r="E120" s="5"/>
      <c r="F120" s="5"/>
      <c r="G120" s="5"/>
      <c r="H120" s="5"/>
      <c r="I120" s="5"/>
      <c r="J120" s="5"/>
      <c r="K120" s="5"/>
      <c r="L120" s="5"/>
      <c r="M120" s="5"/>
      <c r="N120" s="5"/>
    </row>
    <row r="121">
      <c r="B121" s="5"/>
      <c r="C121" s="5"/>
      <c r="D121" s="5"/>
      <c r="E121" s="5"/>
      <c r="F121" s="5"/>
      <c r="G121" s="5"/>
      <c r="H121" s="5"/>
      <c r="I121" s="5"/>
      <c r="J121" s="5"/>
      <c r="K121" s="5"/>
      <c r="L121" s="5"/>
      <c r="M121" s="5"/>
      <c r="N121" s="5"/>
    </row>
    <row r="122">
      <c r="B122" s="5"/>
      <c r="C122" s="5"/>
      <c r="D122" s="5"/>
      <c r="E122" s="5"/>
      <c r="F122" s="5"/>
      <c r="G122" s="5"/>
      <c r="H122" s="5"/>
      <c r="I122" s="5"/>
      <c r="J122" s="5"/>
      <c r="K122" s="5"/>
      <c r="L122" s="5"/>
      <c r="M122" s="5"/>
      <c r="N122" s="5"/>
    </row>
    <row r="123">
      <c r="B123" s="5"/>
      <c r="C123" s="5"/>
      <c r="D123" s="5"/>
      <c r="E123" s="5"/>
      <c r="F123" s="5"/>
      <c r="G123" s="5"/>
      <c r="H123" s="5"/>
      <c r="I123" s="5"/>
      <c r="J123" s="5"/>
      <c r="K123" s="5"/>
      <c r="L123" s="5"/>
      <c r="M123" s="5"/>
      <c r="N123" s="5"/>
    </row>
    <row r="124">
      <c r="B124" s="5"/>
      <c r="C124" s="5"/>
      <c r="D124" s="5"/>
      <c r="E124" s="5"/>
      <c r="F124" s="5"/>
      <c r="G124" s="5"/>
      <c r="H124" s="5"/>
      <c r="I124" s="5"/>
      <c r="J124" s="5"/>
      <c r="K124" s="5"/>
      <c r="L124" s="5"/>
      <c r="M124" s="5"/>
      <c r="N124" s="5"/>
    </row>
    <row r="125">
      <c r="B125" s="5"/>
      <c r="C125" s="5"/>
      <c r="D125" s="5"/>
      <c r="E125" s="5"/>
      <c r="F125" s="5"/>
      <c r="G125" s="5"/>
      <c r="H125" s="5"/>
      <c r="I125" s="5"/>
      <c r="J125" s="5"/>
      <c r="K125" s="5"/>
      <c r="L125" s="5"/>
      <c r="M125" s="5"/>
      <c r="N125" s="5"/>
    </row>
    <row r="126">
      <c r="B126" s="5"/>
      <c r="C126" s="5"/>
      <c r="D126" s="5"/>
      <c r="E126" s="5"/>
      <c r="F126" s="5"/>
      <c r="G126" s="5"/>
      <c r="H126" s="5"/>
      <c r="I126" s="5"/>
      <c r="J126" s="5"/>
      <c r="K126" s="5"/>
      <c r="L126" s="5"/>
      <c r="M126" s="5"/>
      <c r="N126" s="5"/>
    </row>
    <row r="127">
      <c r="B127" s="5"/>
      <c r="C127" s="5"/>
      <c r="D127" s="5"/>
      <c r="E127" s="5"/>
      <c r="F127" s="5"/>
      <c r="G127" s="5"/>
      <c r="H127" s="5"/>
      <c r="I127" s="5"/>
      <c r="J127" s="5"/>
      <c r="K127" s="5"/>
      <c r="L127" s="5"/>
      <c r="M127" s="5"/>
      <c r="N127" s="5"/>
    </row>
    <row r="128">
      <c r="B128" s="5"/>
      <c r="C128" s="5"/>
      <c r="D128" s="5"/>
      <c r="E128" s="5"/>
      <c r="F128" s="5"/>
      <c r="G128" s="5"/>
      <c r="H128" s="5"/>
      <c r="I128" s="5"/>
      <c r="J128" s="5"/>
      <c r="K128" s="5"/>
      <c r="L128" s="5"/>
      <c r="M128" s="5"/>
      <c r="N128" s="5"/>
    </row>
    <row r="129">
      <c r="B129" s="5"/>
      <c r="C129" s="5"/>
      <c r="D129" s="5"/>
      <c r="E129" s="5"/>
      <c r="F129" s="5"/>
      <c r="G129" s="5"/>
      <c r="H129" s="5"/>
      <c r="I129" s="5"/>
      <c r="J129" s="5"/>
      <c r="K129" s="5"/>
      <c r="L129" s="5"/>
      <c r="M129" s="5"/>
      <c r="N129" s="5"/>
    </row>
    <row r="130">
      <c r="B130" s="5"/>
      <c r="C130" s="5"/>
      <c r="D130" s="5"/>
      <c r="E130" s="5"/>
      <c r="F130" s="5"/>
      <c r="G130" s="5"/>
      <c r="H130" s="5"/>
      <c r="I130" s="5"/>
      <c r="J130" s="5"/>
      <c r="K130" s="5"/>
      <c r="L130" s="5"/>
      <c r="M130" s="5"/>
      <c r="N130" s="5"/>
    </row>
    <row r="131">
      <c r="B131" s="5"/>
      <c r="C131" s="5"/>
      <c r="D131" s="5"/>
      <c r="E131" s="5"/>
      <c r="F131" s="5"/>
      <c r="G131" s="5"/>
      <c r="H131" s="5"/>
      <c r="I131" s="5"/>
      <c r="J131" s="5"/>
      <c r="K131" s="5"/>
      <c r="L131" s="5"/>
      <c r="M131" s="5"/>
      <c r="N131" s="5"/>
    </row>
    <row r="132">
      <c r="B132" s="5"/>
      <c r="C132" s="5"/>
      <c r="D132" s="5"/>
      <c r="E132" s="5"/>
      <c r="F132" s="5"/>
      <c r="G132" s="5"/>
      <c r="H132" s="5"/>
      <c r="I132" s="5"/>
      <c r="J132" s="5"/>
      <c r="K132" s="5"/>
      <c r="L132" s="5"/>
      <c r="M132" s="5"/>
      <c r="N132" s="5"/>
    </row>
    <row r="133">
      <c r="B133" s="5"/>
      <c r="C133" s="5"/>
      <c r="D133" s="5"/>
      <c r="E133" s="5"/>
      <c r="F133" s="5"/>
      <c r="G133" s="5"/>
      <c r="H133" s="5"/>
      <c r="I133" s="5"/>
      <c r="J133" s="5"/>
      <c r="K133" s="5"/>
      <c r="L133" s="5"/>
      <c r="M133" s="5"/>
      <c r="N133" s="5"/>
    </row>
    <row r="134">
      <c r="B134" s="5"/>
      <c r="C134" s="5"/>
      <c r="D134" s="5"/>
      <c r="E134" s="5"/>
      <c r="F134" s="5"/>
      <c r="G134" s="5"/>
      <c r="H134" s="5"/>
      <c r="I134" s="5"/>
      <c r="J134" s="5"/>
      <c r="K134" s="5"/>
      <c r="L134" s="5"/>
      <c r="M134" s="5"/>
      <c r="N134" s="5"/>
    </row>
    <row r="135">
      <c r="B135" s="5"/>
      <c r="C135" s="5"/>
      <c r="D135" s="5"/>
      <c r="E135" s="5"/>
      <c r="F135" s="5"/>
      <c r="G135" s="5"/>
      <c r="H135" s="5"/>
      <c r="I135" s="5"/>
      <c r="J135" s="5"/>
      <c r="K135" s="5"/>
      <c r="L135" s="5"/>
      <c r="M135" s="5"/>
      <c r="N135" s="5"/>
    </row>
    <row r="136">
      <c r="B136" s="5"/>
      <c r="C136" s="5"/>
      <c r="D136" s="5"/>
      <c r="E136" s="5"/>
      <c r="F136" s="5"/>
      <c r="G136" s="5"/>
      <c r="H136" s="5"/>
      <c r="I136" s="5"/>
      <c r="J136" s="5"/>
      <c r="K136" s="5"/>
      <c r="L136" s="5"/>
      <c r="M136" s="5"/>
      <c r="N136" s="5"/>
    </row>
    <row r="137">
      <c r="B137" s="5"/>
      <c r="C137" s="5"/>
      <c r="D137" s="5"/>
      <c r="E137" s="5"/>
      <c r="F137" s="5"/>
      <c r="G137" s="5"/>
      <c r="H137" s="5"/>
      <c r="I137" s="5"/>
      <c r="J137" s="5"/>
      <c r="K137" s="5"/>
      <c r="L137" s="5"/>
      <c r="M137" s="5"/>
      <c r="N137" s="5"/>
    </row>
    <row r="138">
      <c r="B138" s="5"/>
      <c r="C138" s="5"/>
      <c r="D138" s="5"/>
      <c r="E138" s="5"/>
      <c r="F138" s="5"/>
      <c r="G138" s="5"/>
      <c r="H138" s="5"/>
      <c r="I138" s="5"/>
      <c r="J138" s="5"/>
      <c r="K138" s="5"/>
      <c r="L138" s="5"/>
      <c r="M138" s="5"/>
      <c r="N138" s="5"/>
    </row>
  </sheetData>
  <mergeCells count="1">
    <mergeCell ref="M46:N50"/>
  </mergeCells>
  <printOptions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13"/>
    <col customWidth="1" min="7" max="7" width="11.13"/>
    <col customWidth="1" min="8" max="8" width="11.25"/>
    <col customWidth="1" min="9" max="9" width="10.5"/>
    <col customWidth="1" min="10" max="10" width="10.0"/>
  </cols>
  <sheetData>
    <row r="1">
      <c r="A1" s="1"/>
      <c r="B1" s="1"/>
      <c r="C1" s="2"/>
      <c r="E1" s="1"/>
    </row>
    <row r="2">
      <c r="A2" s="1"/>
      <c r="B2" s="3" t="s">
        <v>81</v>
      </c>
      <c r="C2" s="4">
        <v>45188.0</v>
      </c>
      <c r="D2" s="5"/>
      <c r="E2" s="193" t="s">
        <v>82</v>
      </c>
      <c r="F2" s="194" t="s">
        <v>3</v>
      </c>
      <c r="G2" s="194" t="s">
        <v>4</v>
      </c>
      <c r="H2" s="194" t="s">
        <v>5</v>
      </c>
      <c r="I2" s="194" t="s">
        <v>6</v>
      </c>
      <c r="J2" s="195" t="s">
        <v>83</v>
      </c>
      <c r="K2" s="5"/>
      <c r="L2" s="5"/>
      <c r="M2" s="5"/>
      <c r="N2" s="5"/>
    </row>
    <row r="3">
      <c r="A3" s="1"/>
      <c r="B3" s="9"/>
      <c r="C3" s="10"/>
      <c r="D3" s="11"/>
      <c r="E3" s="12"/>
      <c r="F3" s="5"/>
      <c r="G3" s="5"/>
      <c r="H3" s="5"/>
      <c r="I3" s="5"/>
      <c r="J3" s="5"/>
      <c r="K3" s="13"/>
      <c r="L3" s="13"/>
      <c r="M3" s="5"/>
      <c r="N3" s="5"/>
    </row>
    <row r="4">
      <c r="B4" s="5"/>
      <c r="C4" s="14"/>
      <c r="D4" s="15"/>
      <c r="E4" s="10" t="s">
        <v>8</v>
      </c>
      <c r="F4" s="16">
        <v>4714.0</v>
      </c>
      <c r="G4" s="17">
        <v>9498.0</v>
      </c>
      <c r="H4" s="17">
        <v>17661.0</v>
      </c>
      <c r="I4" s="17">
        <v>17532.0</v>
      </c>
      <c r="J4" s="18">
        <v>19692.0</v>
      </c>
      <c r="K4" s="13"/>
      <c r="L4" s="13"/>
      <c r="M4" s="5"/>
      <c r="N4" s="5"/>
    </row>
    <row r="5">
      <c r="B5" s="5"/>
      <c r="C5" s="19"/>
      <c r="D5" s="15"/>
      <c r="E5" s="20" t="s">
        <v>9</v>
      </c>
      <c r="F5" s="21">
        <v>0.0</v>
      </c>
      <c r="G5" s="22">
        <f t="shared" ref="G5:J5" si="1">(G4-F4)/F4</f>
        <v>1.014849385</v>
      </c>
      <c r="H5" s="22">
        <f t="shared" si="1"/>
        <v>0.8594440935</v>
      </c>
      <c r="I5" s="22">
        <f t="shared" si="1"/>
        <v>-0.007304229659</v>
      </c>
      <c r="J5" s="23">
        <f t="shared" si="1"/>
        <v>0.1232032854</v>
      </c>
      <c r="K5" s="13"/>
      <c r="L5" s="13"/>
      <c r="M5" s="5"/>
      <c r="N5" s="5"/>
    </row>
    <row r="6">
      <c r="B6" s="5"/>
      <c r="C6" s="19"/>
      <c r="D6" s="5"/>
      <c r="E6" s="10" t="s">
        <v>10</v>
      </c>
      <c r="F6" s="24">
        <v>2823.0</v>
      </c>
      <c r="G6" s="25">
        <v>6764.0</v>
      </c>
      <c r="H6" s="25">
        <v>13241.0</v>
      </c>
      <c r="I6" s="25">
        <v>11540.0</v>
      </c>
      <c r="J6" s="26">
        <v>12884.0</v>
      </c>
      <c r="K6" s="13"/>
      <c r="L6" s="13"/>
      <c r="M6" s="5"/>
      <c r="N6" s="5"/>
    </row>
    <row r="7">
      <c r="B7" s="5"/>
      <c r="C7" s="19"/>
      <c r="D7" s="27"/>
      <c r="E7" s="10" t="s">
        <v>11</v>
      </c>
      <c r="F7" s="28">
        <f t="shared" ref="F7:J7" si="2">(F4-F6)/F4</f>
        <v>0.401145524</v>
      </c>
      <c r="G7" s="29">
        <f t="shared" si="2"/>
        <v>0.2878500737</v>
      </c>
      <c r="H7" s="29">
        <f t="shared" si="2"/>
        <v>0.2502689542</v>
      </c>
      <c r="I7" s="29">
        <f t="shared" si="2"/>
        <v>0.3417750399</v>
      </c>
      <c r="J7" s="30">
        <f t="shared" si="2"/>
        <v>0.3457241519</v>
      </c>
      <c r="K7" s="31"/>
      <c r="L7" s="31"/>
      <c r="M7" s="31"/>
      <c r="N7" s="31"/>
    </row>
    <row r="8">
      <c r="A8" s="1"/>
      <c r="B8" s="19"/>
      <c r="C8" s="14"/>
      <c r="D8" s="5"/>
      <c r="E8" s="10" t="s">
        <v>12</v>
      </c>
      <c r="F8" s="32">
        <f t="shared" ref="F8:J8" si="3">F4-F6</f>
        <v>1891</v>
      </c>
      <c r="G8" s="33">
        <f t="shared" si="3"/>
        <v>2734</v>
      </c>
      <c r="H8" s="33">
        <f t="shared" si="3"/>
        <v>4420</v>
      </c>
      <c r="I8" s="33">
        <f t="shared" si="3"/>
        <v>5992</v>
      </c>
      <c r="J8" s="34">
        <f t="shared" si="3"/>
        <v>6808</v>
      </c>
      <c r="K8" s="5"/>
      <c r="L8" s="5"/>
      <c r="M8" s="5"/>
      <c r="N8" s="5"/>
    </row>
    <row r="9">
      <c r="A9" s="1"/>
      <c r="B9" s="19"/>
      <c r="C9" s="14"/>
      <c r="D9" s="5"/>
      <c r="E9" s="10" t="s">
        <v>13</v>
      </c>
      <c r="F9" s="35">
        <v>0.0</v>
      </c>
      <c r="G9" s="36">
        <f t="shared" ref="G9:H9" si="4">(G8-F8)/F8</f>
        <v>0.4457958752</v>
      </c>
      <c r="H9" s="29">
        <f t="shared" si="4"/>
        <v>0.6166788588</v>
      </c>
      <c r="I9" s="29">
        <f>(I8-G8)/G8</f>
        <v>1.191660571</v>
      </c>
      <c r="J9" s="30">
        <f>(J8-I8)/I8</f>
        <v>0.1361815754</v>
      </c>
      <c r="K9" s="5"/>
      <c r="L9" s="5"/>
      <c r="M9" s="5"/>
      <c r="N9" s="5"/>
    </row>
    <row r="10">
      <c r="B10" s="5"/>
      <c r="C10" s="5"/>
      <c r="D10" s="5"/>
      <c r="E10" s="37" t="s">
        <v>14</v>
      </c>
      <c r="F10" s="38">
        <v>1061.0</v>
      </c>
      <c r="G10" s="25">
        <v>1689.0</v>
      </c>
      <c r="H10" s="39">
        <v>2601.0</v>
      </c>
      <c r="I10" s="39">
        <v>3745.0</v>
      </c>
      <c r="J10" s="41">
        <v>3888.0</v>
      </c>
      <c r="K10" s="49"/>
      <c r="L10" s="5"/>
      <c r="M10" s="5"/>
      <c r="N10" s="5"/>
    </row>
    <row r="11">
      <c r="A11" s="1"/>
      <c r="B11" s="19"/>
      <c r="C11" s="5"/>
      <c r="D11" s="42"/>
      <c r="E11" s="37" t="s">
        <v>15</v>
      </c>
      <c r="F11" s="24">
        <v>671.0</v>
      </c>
      <c r="G11" s="25">
        <v>882.0</v>
      </c>
      <c r="H11" s="25">
        <v>1399.0</v>
      </c>
      <c r="I11" s="25">
        <v>2136.0</v>
      </c>
      <c r="J11" s="41">
        <v>2474.0</v>
      </c>
      <c r="K11" s="49"/>
      <c r="L11" s="5"/>
      <c r="M11" s="5"/>
      <c r="N11" s="5"/>
    </row>
    <row r="12">
      <c r="A12" s="1"/>
      <c r="B12" s="19"/>
      <c r="C12" s="5"/>
      <c r="D12" s="42"/>
      <c r="E12" s="37" t="s">
        <v>16</v>
      </c>
      <c r="F12" s="24">
        <v>127.0</v>
      </c>
      <c r="G12" s="25">
        <v>178.0</v>
      </c>
      <c r="H12" s="25">
        <v>188.0</v>
      </c>
      <c r="I12" s="25">
        <v>551.0</v>
      </c>
      <c r="J12" s="41">
        <v>611.0</v>
      </c>
      <c r="K12" s="49"/>
      <c r="L12" s="5"/>
      <c r="M12" s="5"/>
      <c r="N12" s="5"/>
    </row>
    <row r="13">
      <c r="A13" s="1"/>
      <c r="B13" s="19"/>
      <c r="C13" s="42"/>
      <c r="D13" s="43"/>
      <c r="E13" s="44" t="s">
        <v>17</v>
      </c>
      <c r="F13" s="38">
        <f t="shared" ref="F13:J13" si="5">F6+F10+F11+F12</f>
        <v>4682</v>
      </c>
      <c r="G13" s="39">
        <f t="shared" si="5"/>
        <v>9513</v>
      </c>
      <c r="H13" s="39">
        <f t="shared" si="5"/>
        <v>17429</v>
      </c>
      <c r="I13" s="39">
        <f t="shared" si="5"/>
        <v>17972</v>
      </c>
      <c r="J13" s="45">
        <f t="shared" si="5"/>
        <v>19857</v>
      </c>
      <c r="K13" s="49"/>
      <c r="L13" s="5"/>
      <c r="M13" s="5"/>
      <c r="N13" s="5"/>
    </row>
    <row r="14">
      <c r="A14" s="1"/>
      <c r="B14" s="19"/>
      <c r="C14" s="42"/>
      <c r="D14" s="46"/>
      <c r="E14" s="44" t="s">
        <v>18</v>
      </c>
      <c r="F14" s="32">
        <f t="shared" ref="F14:J14" si="6">F4-F13</f>
        <v>32</v>
      </c>
      <c r="G14" s="33">
        <f t="shared" si="6"/>
        <v>-15</v>
      </c>
      <c r="H14" s="33">
        <f t="shared" si="6"/>
        <v>232</v>
      </c>
      <c r="I14" s="33">
        <f t="shared" si="6"/>
        <v>-440</v>
      </c>
      <c r="J14" s="41">
        <f t="shared" si="6"/>
        <v>-165</v>
      </c>
      <c r="K14" s="49"/>
      <c r="L14" s="5"/>
      <c r="M14" s="5"/>
      <c r="N14" s="5"/>
    </row>
    <row r="15">
      <c r="A15" s="1"/>
      <c r="B15" s="19"/>
      <c r="C15" s="42"/>
      <c r="D15" s="47"/>
      <c r="E15" s="37" t="s">
        <v>19</v>
      </c>
      <c r="F15" s="28">
        <f t="shared" ref="F15:J15" si="7">F14/F4</f>
        <v>0.006788290199</v>
      </c>
      <c r="G15" s="29">
        <f t="shared" si="7"/>
        <v>-0.001579279848</v>
      </c>
      <c r="H15" s="29">
        <f t="shared" si="7"/>
        <v>0.013136289</v>
      </c>
      <c r="I15" s="29">
        <f t="shared" si="7"/>
        <v>-0.02509696555</v>
      </c>
      <c r="J15" s="30">
        <f t="shared" si="7"/>
        <v>-0.008379037172</v>
      </c>
      <c r="K15" s="49"/>
      <c r="L15" s="5"/>
      <c r="M15" s="5"/>
      <c r="N15" s="5"/>
    </row>
    <row r="16">
      <c r="A16" s="1"/>
      <c r="B16" s="19"/>
      <c r="C16" s="42"/>
      <c r="D16" s="47"/>
      <c r="E16" s="44" t="s">
        <v>20</v>
      </c>
      <c r="F16" s="24">
        <v>-22.0</v>
      </c>
      <c r="G16" s="25">
        <v>-57.0</v>
      </c>
      <c r="H16" s="25">
        <v>-33.0</v>
      </c>
      <c r="I16" s="25">
        <v>-36.0</v>
      </c>
      <c r="J16" s="26">
        <v>0.0</v>
      </c>
      <c r="K16" s="5"/>
      <c r="L16" s="5"/>
      <c r="M16" s="5"/>
      <c r="N16" s="5"/>
    </row>
    <row r="17">
      <c r="A17" s="1"/>
      <c r="B17" s="19"/>
      <c r="C17" s="42"/>
      <c r="D17" s="47"/>
      <c r="E17" s="37" t="s">
        <v>22</v>
      </c>
      <c r="F17" s="24">
        <v>373.0</v>
      </c>
      <c r="G17" s="25">
        <v>292.0</v>
      </c>
      <c r="H17" s="25">
        <v>-42.0</v>
      </c>
      <c r="I17" s="25">
        <v>49.0</v>
      </c>
      <c r="J17" s="26">
        <v>13.0</v>
      </c>
      <c r="K17" s="5"/>
      <c r="L17" s="5"/>
      <c r="M17" s="5"/>
      <c r="N17" s="5"/>
    </row>
    <row r="18">
      <c r="A18" s="1"/>
      <c r="B18" s="19"/>
      <c r="C18" s="19"/>
      <c r="D18" s="48"/>
      <c r="E18" s="44" t="s">
        <v>23</v>
      </c>
      <c r="F18" s="24">
        <v>378.0</v>
      </c>
      <c r="G18" s="25">
        <v>216.0</v>
      </c>
      <c r="H18" s="25">
        <v>157.0</v>
      </c>
      <c r="I18" s="25">
        <v>-565.0</v>
      </c>
      <c r="J18" s="41">
        <v>-299.0</v>
      </c>
      <c r="K18" s="49"/>
      <c r="L18" s="49"/>
      <c r="M18" s="49"/>
      <c r="N18" s="49"/>
      <c r="O18" s="50"/>
    </row>
    <row r="19">
      <c r="A19" s="1"/>
      <c r="B19" s="19"/>
      <c r="C19" s="31"/>
      <c r="D19" s="51"/>
      <c r="E19" s="44" t="s">
        <v>24</v>
      </c>
      <c r="F19" s="24">
        <v>3.0</v>
      </c>
      <c r="G19" s="25">
        <v>3.0</v>
      </c>
      <c r="H19" s="25">
        <v>-1.0</v>
      </c>
      <c r="I19" s="25">
        <v>-12.0</v>
      </c>
      <c r="J19" s="26">
        <v>-18.0</v>
      </c>
      <c r="K19" s="49"/>
      <c r="L19" s="49"/>
      <c r="M19" s="49"/>
      <c r="N19" s="49"/>
      <c r="O19" s="50"/>
    </row>
    <row r="20">
      <c r="A20" s="1"/>
      <c r="B20" s="19"/>
      <c r="C20" s="19"/>
      <c r="D20" s="51"/>
      <c r="E20" s="44" t="s">
        <v>26</v>
      </c>
      <c r="F20" s="32">
        <f t="shared" ref="F20:J20" si="8">F18-F19</f>
        <v>375</v>
      </c>
      <c r="G20" s="33">
        <f t="shared" si="8"/>
        <v>213</v>
      </c>
      <c r="H20" s="33">
        <f t="shared" si="8"/>
        <v>158</v>
      </c>
      <c r="I20" s="33">
        <f t="shared" si="8"/>
        <v>-553</v>
      </c>
      <c r="J20" s="41">
        <f t="shared" si="8"/>
        <v>-281</v>
      </c>
      <c r="K20" s="49"/>
      <c r="L20" s="49"/>
      <c r="M20" s="49"/>
      <c r="N20" s="49"/>
      <c r="O20" s="50"/>
    </row>
    <row r="21">
      <c r="B21" s="5"/>
      <c r="C21" s="5"/>
      <c r="D21" s="5"/>
      <c r="E21" s="37" t="s">
        <v>27</v>
      </c>
      <c r="F21" s="53">
        <v>0.0</v>
      </c>
      <c r="G21" s="196">
        <v>0.0</v>
      </c>
      <c r="H21" s="54">
        <f>(H20-G20)/G20</f>
        <v>-0.2582159624</v>
      </c>
      <c r="I21" s="54">
        <f>(I20-G20)/ABS(G20)</f>
        <v>-3.596244131</v>
      </c>
      <c r="J21" s="55">
        <f>(J20-I20)/ABS(I20)</f>
        <v>0.4918625678</v>
      </c>
      <c r="K21" s="49"/>
      <c r="L21" s="49"/>
      <c r="M21" s="49"/>
      <c r="N21" s="49"/>
      <c r="O21" s="50"/>
    </row>
    <row r="22">
      <c r="B22" s="5"/>
      <c r="C22" s="19"/>
      <c r="D22" s="48"/>
      <c r="E22" s="44" t="s">
        <v>28</v>
      </c>
      <c r="F22" s="56">
        <f t="shared" ref="F22:J22" si="9">F20/F23</f>
        <v>0.8823529412</v>
      </c>
      <c r="G22" s="57">
        <f t="shared" si="9"/>
        <v>0.4808126411</v>
      </c>
      <c r="H22" s="57">
        <f t="shared" si="9"/>
        <v>0.3449781659</v>
      </c>
      <c r="I22" s="57">
        <f t="shared" si="9"/>
        <v>-0.9567474048</v>
      </c>
      <c r="J22" s="59">
        <f t="shared" si="9"/>
        <v>-0.4606557377</v>
      </c>
      <c r="K22" s="5"/>
      <c r="L22" s="49"/>
      <c r="M22" s="49"/>
      <c r="N22" s="49"/>
      <c r="O22" s="50"/>
    </row>
    <row r="23">
      <c r="A23" s="1"/>
      <c r="B23" s="3" t="s">
        <v>84</v>
      </c>
      <c r="C23" s="60" t="s">
        <v>30</v>
      </c>
      <c r="D23" s="5"/>
      <c r="E23" s="44" t="s">
        <v>31</v>
      </c>
      <c r="F23" s="61">
        <v>425.0</v>
      </c>
      <c r="G23" s="62">
        <v>443.0</v>
      </c>
      <c r="H23" s="62">
        <v>458.0</v>
      </c>
      <c r="I23" s="62">
        <v>578.0</v>
      </c>
      <c r="J23" s="63">
        <v>610.0</v>
      </c>
      <c r="K23" s="5"/>
      <c r="L23" s="49"/>
      <c r="M23" s="49"/>
      <c r="N23" s="49"/>
      <c r="O23" s="50"/>
    </row>
    <row r="24">
      <c r="A24" s="1"/>
      <c r="B24" s="19"/>
      <c r="C24" s="5"/>
      <c r="D24" s="5"/>
      <c r="E24" s="20"/>
      <c r="F24" s="64"/>
      <c r="G24" s="64"/>
      <c r="H24" s="31"/>
      <c r="I24" s="31"/>
      <c r="J24" s="31"/>
      <c r="K24" s="5"/>
      <c r="L24" s="49"/>
      <c r="M24" s="49"/>
      <c r="N24" s="49"/>
      <c r="O24" s="50"/>
    </row>
    <row r="25">
      <c r="B25" s="79" t="s">
        <v>85</v>
      </c>
      <c r="C25" s="197">
        <v>51.25</v>
      </c>
      <c r="D25" s="5"/>
      <c r="E25" s="10" t="s">
        <v>44</v>
      </c>
      <c r="F25" s="81">
        <v>0.0</v>
      </c>
      <c r="G25" s="82">
        <v>0.0</v>
      </c>
      <c r="H25" s="83">
        <v>0.0</v>
      </c>
      <c r="I25" s="83">
        <v>0.0</v>
      </c>
      <c r="J25" s="198">
        <v>0.0</v>
      </c>
      <c r="K25" s="5"/>
      <c r="L25" s="49"/>
      <c r="M25" s="49"/>
      <c r="N25" s="49"/>
      <c r="O25" s="50"/>
    </row>
    <row r="26">
      <c r="B26" s="199" t="s">
        <v>86</v>
      </c>
      <c r="C26" s="200">
        <v>610.0</v>
      </c>
      <c r="D26" s="5"/>
      <c r="E26" s="88" t="s">
        <v>46</v>
      </c>
      <c r="F26" s="89">
        <v>0.0</v>
      </c>
      <c r="G26" s="90">
        <v>0.0</v>
      </c>
      <c r="H26" s="90">
        <v>793.0</v>
      </c>
      <c r="I26" s="90">
        <v>0.0</v>
      </c>
      <c r="J26" s="201">
        <v>0.0</v>
      </c>
      <c r="K26" s="5"/>
      <c r="L26" s="5"/>
      <c r="M26" s="5"/>
      <c r="N26" s="5"/>
    </row>
    <row r="27">
      <c r="B27" s="79" t="s">
        <v>87</v>
      </c>
      <c r="C27" s="202">
        <v>5870.0</v>
      </c>
      <c r="D27" s="5"/>
      <c r="E27" s="20" t="s">
        <v>48</v>
      </c>
      <c r="F27" s="89">
        <v>1138.0</v>
      </c>
      <c r="G27" s="93">
        <v>1071.0</v>
      </c>
      <c r="H27" s="93">
        <v>608.0</v>
      </c>
      <c r="I27" s="93">
        <v>398.0</v>
      </c>
      <c r="J27" s="203">
        <v>298.0</v>
      </c>
      <c r="K27" s="5"/>
      <c r="L27" s="49"/>
      <c r="M27" s="49"/>
      <c r="N27" s="49"/>
      <c r="O27" s="50"/>
    </row>
    <row r="28">
      <c r="B28" s="79" t="s">
        <v>67</v>
      </c>
      <c r="C28" s="70">
        <v>5310.0</v>
      </c>
      <c r="D28" s="9"/>
      <c r="E28" s="88" t="s">
        <v>50</v>
      </c>
      <c r="F28" s="89">
        <v>1534.0</v>
      </c>
      <c r="G28" s="90">
        <v>1621.0</v>
      </c>
      <c r="H28" s="90">
        <v>2653.0</v>
      </c>
      <c r="I28" s="90">
        <v>2580.0</v>
      </c>
      <c r="J28" s="201">
        <v>0.0</v>
      </c>
      <c r="K28" s="5"/>
      <c r="L28" s="49"/>
      <c r="M28" s="49"/>
      <c r="N28" s="49"/>
      <c r="O28" s="50"/>
    </row>
    <row r="29">
      <c r="A29" s="1"/>
      <c r="B29" s="9" t="s">
        <v>88</v>
      </c>
      <c r="C29" s="204" t="s">
        <v>89</v>
      </c>
      <c r="D29" s="96"/>
      <c r="E29" s="88" t="s">
        <v>51</v>
      </c>
      <c r="F29" s="97">
        <v>-1433.0</v>
      </c>
      <c r="G29" s="98">
        <v>-1944.0</v>
      </c>
      <c r="H29" s="98">
        <v>-648.0</v>
      </c>
      <c r="I29" s="98">
        <v>0.0</v>
      </c>
      <c r="J29" s="205">
        <v>0.0</v>
      </c>
      <c r="K29" s="5"/>
      <c r="L29" s="49"/>
      <c r="M29" s="49"/>
      <c r="N29" s="49"/>
      <c r="O29" s="50"/>
    </row>
    <row r="30">
      <c r="A30" s="1"/>
      <c r="B30" s="9"/>
      <c r="C30" s="20"/>
      <c r="D30" s="102"/>
      <c r="E30" s="88"/>
      <c r="F30" s="103"/>
      <c r="G30" s="103"/>
      <c r="H30" s="103"/>
      <c r="I30" s="64"/>
      <c r="J30" s="5"/>
      <c r="K30" s="5"/>
      <c r="L30" s="5"/>
      <c r="M30" s="5"/>
      <c r="N30" s="5"/>
    </row>
    <row r="31">
      <c r="B31" s="206" t="s">
        <v>90</v>
      </c>
      <c r="C31" s="207">
        <f>C25*C26</f>
        <v>31262.5</v>
      </c>
      <c r="D31" s="9"/>
      <c r="E31" s="10" t="s">
        <v>54</v>
      </c>
      <c r="F31" s="105">
        <v>466.0</v>
      </c>
      <c r="G31" s="106">
        <v>382.0</v>
      </c>
      <c r="H31" s="107">
        <v>847.0</v>
      </c>
      <c r="I31" s="107">
        <v>176.0</v>
      </c>
      <c r="J31" s="208">
        <v>468.0</v>
      </c>
      <c r="K31" s="5"/>
      <c r="L31" s="5"/>
      <c r="M31" s="5"/>
      <c r="N31" s="5"/>
    </row>
    <row r="32">
      <c r="B32" s="206" t="s">
        <v>40</v>
      </c>
      <c r="C32" s="209">
        <f>C31-C27+C28</f>
        <v>30702.5</v>
      </c>
      <c r="D32" s="9"/>
      <c r="E32" s="88" t="s">
        <v>56</v>
      </c>
      <c r="F32" s="111">
        <v>95.0</v>
      </c>
      <c r="G32" s="112">
        <v>-607.0</v>
      </c>
      <c r="H32" s="112">
        <v>-1311.0</v>
      </c>
      <c r="I32" s="112">
        <v>1226.0</v>
      </c>
      <c r="J32" s="210">
        <v>464.0</v>
      </c>
      <c r="K32" s="5"/>
      <c r="L32" s="5"/>
      <c r="M32" s="5"/>
      <c r="N32" s="5"/>
    </row>
    <row r="33">
      <c r="B33" s="206" t="s">
        <v>42</v>
      </c>
      <c r="C33" s="211">
        <f>C31/J20</f>
        <v>-111.2544484</v>
      </c>
      <c r="D33" s="9"/>
      <c r="E33" s="88" t="s">
        <v>58</v>
      </c>
      <c r="F33" s="111">
        <v>-99.0</v>
      </c>
      <c r="G33" s="112">
        <v>2315.0</v>
      </c>
      <c r="H33" s="112">
        <v>2652.0</v>
      </c>
      <c r="I33" s="112">
        <v>98.0</v>
      </c>
      <c r="J33" s="210">
        <v>617.0</v>
      </c>
      <c r="K33" s="5"/>
      <c r="L33" s="5"/>
      <c r="M33" s="5"/>
      <c r="N33" s="5"/>
    </row>
    <row r="34">
      <c r="B34" s="212" t="s">
        <v>43</v>
      </c>
      <c r="C34" s="211">
        <f>C31/J4</f>
        <v>1.587573634</v>
      </c>
      <c r="D34" s="9"/>
      <c r="E34" s="88" t="s">
        <v>59</v>
      </c>
      <c r="F34" s="111">
        <v>462.0</v>
      </c>
      <c r="G34" s="112">
        <v>2090.0</v>
      </c>
      <c r="H34" s="112">
        <v>2189.0</v>
      </c>
      <c r="I34" s="112">
        <v>1499.0</v>
      </c>
      <c r="J34" s="210">
        <v>1549.0</v>
      </c>
      <c r="K34" s="5"/>
      <c r="L34" s="5"/>
      <c r="M34" s="5"/>
      <c r="N34" s="5"/>
    </row>
    <row r="35">
      <c r="A35" s="1"/>
      <c r="B35" s="213" t="s">
        <v>45</v>
      </c>
      <c r="C35" s="214">
        <f>C31/C27</f>
        <v>5.325809199</v>
      </c>
      <c r="D35" s="117"/>
      <c r="E35" s="88" t="s">
        <v>33</v>
      </c>
      <c r="F35" s="118">
        <v>1074.0</v>
      </c>
      <c r="G35" s="119">
        <v>3493.0</v>
      </c>
      <c r="H35" s="119">
        <v>5515.0</v>
      </c>
      <c r="I35" s="119">
        <v>4944.0</v>
      </c>
      <c r="J35" s="215">
        <v>5310.0</v>
      </c>
      <c r="K35" s="5"/>
      <c r="L35" s="5"/>
      <c r="M35" s="5"/>
      <c r="N35" s="5"/>
    </row>
    <row r="36">
      <c r="A36" s="1"/>
      <c r="B36" s="213" t="s">
        <v>47</v>
      </c>
      <c r="C36" s="214">
        <f>C32/J4</f>
        <v>1.55913569</v>
      </c>
      <c r="D36" s="102"/>
      <c r="E36" s="123"/>
      <c r="F36" s="48"/>
      <c r="G36" s="48"/>
      <c r="H36" s="124"/>
      <c r="I36" s="5"/>
      <c r="J36" s="5"/>
      <c r="K36" s="5"/>
      <c r="L36" s="5"/>
      <c r="M36" s="5"/>
      <c r="N36" s="5"/>
    </row>
    <row r="37">
      <c r="B37" s="212" t="s">
        <v>49</v>
      </c>
      <c r="C37" s="216">
        <f>C32/J18</f>
        <v>-102.6839465</v>
      </c>
      <c r="D37" s="48"/>
      <c r="E37" s="126" t="s">
        <v>63</v>
      </c>
      <c r="F37" s="127" t="s">
        <v>8</v>
      </c>
      <c r="G37" s="128" t="s">
        <v>64</v>
      </c>
      <c r="H37" s="129" t="s">
        <v>26</v>
      </c>
      <c r="I37" s="127" t="s">
        <v>65</v>
      </c>
      <c r="J37" s="130" t="s">
        <v>66</v>
      </c>
      <c r="K37" s="131" t="s">
        <v>67</v>
      </c>
      <c r="L37" s="49"/>
      <c r="M37" s="5"/>
      <c r="N37" s="5"/>
    </row>
    <row r="38">
      <c r="A38" s="1"/>
      <c r="B38" s="19"/>
      <c r="C38" s="5"/>
      <c r="D38" s="48"/>
      <c r="E38" s="133"/>
      <c r="F38" s="134"/>
      <c r="G38" s="134"/>
      <c r="H38" s="135"/>
      <c r="I38" s="136"/>
      <c r="J38" s="49"/>
      <c r="K38" s="49"/>
      <c r="L38" s="49"/>
      <c r="M38" s="5"/>
      <c r="N38" s="5"/>
    </row>
    <row r="39">
      <c r="A39" s="1"/>
      <c r="B39" s="37" t="s">
        <v>52</v>
      </c>
      <c r="C39" s="101">
        <v>0.11</v>
      </c>
      <c r="D39" s="48"/>
      <c r="E39" s="138">
        <v>2018.0</v>
      </c>
      <c r="F39" s="217" t="s">
        <v>91</v>
      </c>
      <c r="G39" s="218" t="s">
        <v>91</v>
      </c>
      <c r="H39" s="141">
        <v>0.0</v>
      </c>
      <c r="I39" s="142">
        <v>0.0</v>
      </c>
      <c r="J39" s="143">
        <v>0.0</v>
      </c>
      <c r="K39" s="144">
        <v>0.0</v>
      </c>
      <c r="L39" s="49"/>
      <c r="M39" s="5"/>
      <c r="N39" s="5"/>
    </row>
    <row r="40">
      <c r="A40" s="1"/>
      <c r="B40" s="37" t="s">
        <v>53</v>
      </c>
      <c r="C40" s="104">
        <v>0.1</v>
      </c>
      <c r="D40" s="48"/>
      <c r="E40" s="138">
        <v>2019.0</v>
      </c>
      <c r="F40" s="145">
        <f>G4</f>
        <v>9498</v>
      </c>
      <c r="G40" s="219" t="s">
        <v>91</v>
      </c>
      <c r="H40" s="147">
        <f>G20</f>
        <v>213</v>
      </c>
      <c r="I40" s="148">
        <v>0.0</v>
      </c>
      <c r="J40" s="149">
        <v>403.0</v>
      </c>
      <c r="K40" s="150">
        <f>F35</f>
        <v>1074</v>
      </c>
      <c r="L40" s="151">
        <v>1.0</v>
      </c>
      <c r="M40" s="5"/>
      <c r="N40" s="5"/>
    </row>
    <row r="41">
      <c r="A41" s="1"/>
      <c r="B41" s="44" t="s">
        <v>55</v>
      </c>
      <c r="C41" s="110">
        <f t="array" ref="C41">NPV(C39, J45:J54)</f>
        <v>4029.787817</v>
      </c>
      <c r="D41" s="79"/>
      <c r="E41" s="138">
        <v>2020.0</v>
      </c>
      <c r="F41" s="154">
        <f>H4</f>
        <v>17661</v>
      </c>
      <c r="G41" s="155">
        <f>G5</f>
        <v>1.014849385</v>
      </c>
      <c r="H41" s="147">
        <f>H20</f>
        <v>158</v>
      </c>
      <c r="I41" s="148">
        <v>0.0</v>
      </c>
      <c r="J41" s="149">
        <v>243.0</v>
      </c>
      <c r="K41" s="150">
        <f>G35</f>
        <v>3493</v>
      </c>
      <c r="L41" s="151">
        <f>(K41/K40)</f>
        <v>3.252327747</v>
      </c>
      <c r="M41" s="5"/>
      <c r="N41" s="5"/>
    </row>
    <row r="42">
      <c r="B42" s="44" t="s">
        <v>57</v>
      </c>
      <c r="C42" s="110">
        <f>C41+C27-C28</f>
        <v>4589.787817</v>
      </c>
      <c r="D42" s="157"/>
      <c r="E42" s="158">
        <v>2021.0</v>
      </c>
      <c r="F42" s="154">
        <f>I4</f>
        <v>17532</v>
      </c>
      <c r="G42" s="155">
        <f>H5</f>
        <v>0.8594440935</v>
      </c>
      <c r="H42" s="147">
        <f>I20</f>
        <v>-553</v>
      </c>
      <c r="I42" s="148">
        <v>0.0</v>
      </c>
      <c r="J42" s="149">
        <v>543.0</v>
      </c>
      <c r="K42" s="150">
        <f>H35</f>
        <v>5515</v>
      </c>
      <c r="L42" s="151">
        <f t="shared" ref="L42:L43" si="10">K42/K41</f>
        <v>1.57887203</v>
      </c>
      <c r="M42" s="5"/>
      <c r="N42" s="5"/>
    </row>
    <row r="43">
      <c r="B43" s="44" t="s">
        <v>31</v>
      </c>
      <c r="C43" s="115">
        <f>C26</f>
        <v>610</v>
      </c>
      <c r="D43" s="157"/>
      <c r="E43" s="158">
        <v>2022.0</v>
      </c>
      <c r="F43" s="154">
        <f>J4</f>
        <v>19692</v>
      </c>
      <c r="G43" s="155">
        <f>I5</f>
        <v>-0.007304229659</v>
      </c>
      <c r="H43" s="147">
        <f>J20</f>
        <v>-281</v>
      </c>
      <c r="I43" s="148">
        <v>0.0</v>
      </c>
      <c r="J43" s="149">
        <v>5.0</v>
      </c>
      <c r="K43" s="150">
        <f>I35</f>
        <v>4944</v>
      </c>
      <c r="L43" s="151">
        <f t="shared" si="10"/>
        <v>0.8964641886</v>
      </c>
      <c r="M43" s="5"/>
      <c r="N43" s="5"/>
    </row>
    <row r="44">
      <c r="B44" s="37" t="s">
        <v>60</v>
      </c>
      <c r="C44" s="220">
        <f>C42/C43</f>
        <v>7.524242324</v>
      </c>
      <c r="D44" s="157"/>
      <c r="E44" s="158">
        <v>2023.0</v>
      </c>
      <c r="F44" s="145">
        <f t="shared" ref="F44:F54" si="11">F43*(1+G44)</f>
        <v>22118.1191</v>
      </c>
      <c r="G44" s="146">
        <f>J5</f>
        <v>0.1232032854</v>
      </c>
      <c r="H44" s="147">
        <f>H40*(1+G44)</f>
        <v>239.2422998</v>
      </c>
      <c r="I44" s="148">
        <v>0.0</v>
      </c>
      <c r="J44" s="149">
        <v>322.0</v>
      </c>
      <c r="K44" s="150">
        <f>J35</f>
        <v>5310</v>
      </c>
      <c r="L44" s="151">
        <v>1.1</v>
      </c>
      <c r="M44" s="5"/>
      <c r="N44" s="5"/>
    </row>
    <row r="45">
      <c r="A45" s="1"/>
      <c r="B45" s="37"/>
      <c r="D45" s="157"/>
      <c r="E45" s="158">
        <v>2024.0</v>
      </c>
      <c r="F45" s="145">
        <f t="shared" si="11"/>
        <v>26487.51224</v>
      </c>
      <c r="G45" s="146">
        <f>AVERAGE(G41:G44) -0.3</f>
        <v>0.1975481335</v>
      </c>
      <c r="H45" s="147">
        <f t="shared" ref="H45:H54" si="12">H44*(1+G45)</f>
        <v>286.5041696</v>
      </c>
      <c r="I45" s="165">
        <f>G45-G44</f>
        <v>0.0743448481</v>
      </c>
      <c r="J45" s="162">
        <f>AVERAGE(J40:J44)*(1+G45)</f>
        <v>363.0965941</v>
      </c>
      <c r="K45" s="163">
        <f>L44*K44</f>
        <v>5841</v>
      </c>
      <c r="L45" s="5"/>
      <c r="M45" s="5"/>
      <c r="N45" s="5"/>
    </row>
    <row r="46">
      <c r="A46" s="1"/>
      <c r="B46" s="20" t="s">
        <v>92</v>
      </c>
      <c r="C46" s="221">
        <f>(C44-C25)/C44</f>
        <v>-5.811317046</v>
      </c>
      <c r="D46" s="49"/>
      <c r="E46" s="158">
        <v>2025.0</v>
      </c>
      <c r="F46" s="145">
        <f t="shared" si="11"/>
        <v>31461.69011</v>
      </c>
      <c r="G46" s="146">
        <f>G45-(G45-G54) / 10</f>
        <v>0.1877933202</v>
      </c>
      <c r="H46" s="147">
        <f t="shared" si="12"/>
        <v>340.3077388</v>
      </c>
      <c r="I46" s="165">
        <f t="shared" ref="I46:I54" si="13">I45 * (1+G45)</f>
        <v>0.08903153407</v>
      </c>
      <c r="J46" s="149">
        <f t="shared" ref="J46:J54" si="14">J45*(1+G46)</f>
        <v>431.283709</v>
      </c>
      <c r="K46" s="150">
        <f>L44*K45</f>
        <v>6425.1</v>
      </c>
      <c r="L46" s="49"/>
      <c r="M46" s="5"/>
      <c r="N46" s="5"/>
    </row>
    <row r="47">
      <c r="A47" s="1"/>
      <c r="B47" s="20" t="s">
        <v>92</v>
      </c>
      <c r="C47" s="222">
        <f>I54</f>
        <v>0.2789257275</v>
      </c>
      <c r="D47" s="49"/>
      <c r="E47" s="167">
        <v>2026.0</v>
      </c>
      <c r="F47" s="145">
        <f t="shared" si="11"/>
        <v>37063.08244</v>
      </c>
      <c r="G47" s="146">
        <f>G46-(G45-G54) / 10</f>
        <v>0.1780385068</v>
      </c>
      <c r="H47" s="147">
        <f t="shared" si="12"/>
        <v>400.8956205</v>
      </c>
      <c r="I47" s="165">
        <f t="shared" si="13"/>
        <v>0.1057510615</v>
      </c>
      <c r="J47" s="149">
        <f t="shared" si="14"/>
        <v>508.0688166</v>
      </c>
      <c r="K47" s="150">
        <f>L44*K46</f>
        <v>7067.61</v>
      </c>
      <c r="L47" s="49"/>
      <c r="M47" s="5"/>
      <c r="N47" s="5"/>
    </row>
    <row r="48">
      <c r="A48" s="1"/>
      <c r="B48" s="20"/>
      <c r="C48" s="1"/>
      <c r="D48" s="49"/>
      <c r="E48" s="167">
        <v>2027.0</v>
      </c>
      <c r="F48" s="145">
        <f t="shared" si="11"/>
        <v>43300.19484</v>
      </c>
      <c r="G48" s="146">
        <f>G47-(G45-G54) / 10</f>
        <v>0.1682836935</v>
      </c>
      <c r="H48" s="147">
        <f t="shared" si="12"/>
        <v>468.3598162</v>
      </c>
      <c r="I48" s="165">
        <f t="shared" si="13"/>
        <v>0.1245788225</v>
      </c>
      <c r="J48" s="149">
        <f t="shared" si="14"/>
        <v>593.5685136</v>
      </c>
      <c r="K48" s="150">
        <f>L44*K47</f>
        <v>7774.371</v>
      </c>
      <c r="L48" s="49"/>
      <c r="M48" s="5"/>
      <c r="N48" s="5"/>
    </row>
    <row r="49">
      <c r="B49" s="10" t="s">
        <v>68</v>
      </c>
      <c r="C49" s="132">
        <f>C41+C27-J54</f>
        <v>8648.493195</v>
      </c>
      <c r="D49" s="19"/>
      <c r="E49" s="167">
        <v>2028.0</v>
      </c>
      <c r="F49" s="145">
        <f t="shared" si="11"/>
        <v>50164.52624</v>
      </c>
      <c r="G49" s="146">
        <f>G48-(G45-G54) / 10</f>
        <v>0.1585288801</v>
      </c>
      <c r="H49" s="147">
        <f t="shared" si="12"/>
        <v>542.6083734</v>
      </c>
      <c r="I49" s="165">
        <f t="shared" si="13"/>
        <v>0.1455434069</v>
      </c>
      <c r="J49" s="149">
        <f t="shared" si="14"/>
        <v>687.6662653</v>
      </c>
      <c r="K49" s="150">
        <f>L44*K48</f>
        <v>8551.8081</v>
      </c>
      <c r="L49" s="49"/>
      <c r="M49" s="5"/>
      <c r="N49" s="5"/>
    </row>
    <row r="50">
      <c r="B50" s="10" t="s">
        <v>69</v>
      </c>
      <c r="C50" s="223">
        <f>C49/J58</f>
        <v>10.29637862</v>
      </c>
      <c r="D50" s="49"/>
      <c r="E50" s="167">
        <v>2029.0</v>
      </c>
      <c r="F50" s="145">
        <f t="shared" si="11"/>
        <v>57627.70681</v>
      </c>
      <c r="G50" s="146">
        <f>G49-(G45-G54) / 10</f>
        <v>0.1487740668</v>
      </c>
      <c r="H50" s="147">
        <f t="shared" si="12"/>
        <v>623.3344277</v>
      </c>
      <c r="I50" s="165">
        <f t="shared" si="13"/>
        <v>0.1686162402</v>
      </c>
      <c r="J50" s="149">
        <f t="shared" si="14"/>
        <v>789.9731722</v>
      </c>
      <c r="K50" s="150">
        <f>L44*K49</f>
        <v>9406.98891</v>
      </c>
      <c r="L50" s="49"/>
      <c r="M50" s="5"/>
      <c r="N50" s="5"/>
    </row>
    <row r="51">
      <c r="A51" s="1"/>
      <c r="B51" s="10"/>
      <c r="C51" s="1"/>
      <c r="D51" s="49"/>
      <c r="E51" s="167">
        <v>2030.0</v>
      </c>
      <c r="F51" s="145">
        <f t="shared" si="11"/>
        <v>65639.06759</v>
      </c>
      <c r="G51" s="146">
        <f>G50-(G45-G54) / 10</f>
        <v>0.1390192534</v>
      </c>
      <c r="H51" s="147">
        <f t="shared" si="12"/>
        <v>709.9899145</v>
      </c>
      <c r="I51" s="165">
        <f t="shared" si="13"/>
        <v>0.193701964</v>
      </c>
      <c r="J51" s="149">
        <f t="shared" si="14"/>
        <v>899.7946528</v>
      </c>
      <c r="K51" s="163">
        <f>L44*K50</f>
        <v>10347.6878</v>
      </c>
      <c r="L51" s="5"/>
      <c r="M51" s="5"/>
      <c r="N51" s="5"/>
    </row>
    <row r="52">
      <c r="A52" s="1"/>
      <c r="B52" s="37" t="s">
        <v>71</v>
      </c>
      <c r="C52" s="153">
        <v>0.1</v>
      </c>
      <c r="D52" s="49"/>
      <c r="E52" s="123">
        <v>2031.0</v>
      </c>
      <c r="F52" s="145">
        <f t="shared" si="11"/>
        <v>74123.86491</v>
      </c>
      <c r="G52" s="146">
        <f>G51-(G45-G54) / 10</f>
        <v>0.1292644401</v>
      </c>
      <c r="H52" s="147">
        <f t="shared" si="12"/>
        <v>801.7663632</v>
      </c>
      <c r="I52" s="165">
        <f t="shared" si="13"/>
        <v>0.2206302664</v>
      </c>
      <c r="J52" s="149">
        <f t="shared" si="14"/>
        <v>1016.106105</v>
      </c>
      <c r="K52" s="163">
        <f>L44*K51</f>
        <v>11382.45658</v>
      </c>
      <c r="L52" s="5"/>
      <c r="M52" s="5"/>
      <c r="N52" s="5"/>
    </row>
    <row r="53">
      <c r="A53" s="1"/>
      <c r="B53" s="20" t="s">
        <v>72</v>
      </c>
      <c r="C53" s="156">
        <f t="array" ref="C53">NPV(C39, I59:I68)</f>
        <v>11909.39427</v>
      </c>
      <c r="D53" s="19"/>
      <c r="E53" s="123">
        <v>2032.0</v>
      </c>
      <c r="F53" s="145">
        <f t="shared" si="11"/>
        <v>82982.38033</v>
      </c>
      <c r="G53" s="146">
        <f>G52-(G45-G54) / 10</f>
        <v>0.1195096267</v>
      </c>
      <c r="H53" s="147">
        <f t="shared" si="12"/>
        <v>897.585162</v>
      </c>
      <c r="I53" s="165">
        <f t="shared" si="13"/>
        <v>0.2491499143</v>
      </c>
      <c r="J53" s="149">
        <f t="shared" si="14"/>
        <v>1137.540566</v>
      </c>
      <c r="K53" s="163">
        <f>L44*K52</f>
        <v>12520.70224</v>
      </c>
      <c r="L53" s="5"/>
      <c r="M53" s="5"/>
      <c r="N53" s="5"/>
    </row>
    <row r="54">
      <c r="A54" s="1"/>
      <c r="B54" s="10" t="s">
        <v>73</v>
      </c>
      <c r="C54" s="224">
        <f>C53/J68</f>
        <v>6.431504369</v>
      </c>
      <c r="D54" s="19"/>
      <c r="E54" s="123">
        <v>2033.0</v>
      </c>
      <c r="F54" s="173">
        <f t="shared" si="11"/>
        <v>91280.61836</v>
      </c>
      <c r="G54" s="174">
        <f>C40</f>
        <v>0.1</v>
      </c>
      <c r="H54" s="175">
        <f t="shared" si="12"/>
        <v>987.3436782</v>
      </c>
      <c r="I54" s="176">
        <f t="shared" si="13"/>
        <v>0.2789257275</v>
      </c>
      <c r="J54" s="177">
        <f t="shared" si="14"/>
        <v>1251.294623</v>
      </c>
      <c r="K54" s="178">
        <f>L44*K53</f>
        <v>13772.77246</v>
      </c>
      <c r="L54" s="5"/>
      <c r="M54" s="5"/>
      <c r="N54" s="5"/>
    </row>
    <row r="55">
      <c r="A55" s="1"/>
      <c r="B55" s="10" t="s">
        <v>74</v>
      </c>
      <c r="C55" s="160">
        <f>(C54/C25)^(1/10)-1</f>
        <v>-0.1874279685</v>
      </c>
      <c r="D55" s="157"/>
      <c r="E55" s="5"/>
      <c r="F55" s="179"/>
      <c r="G55" s="179"/>
      <c r="H55" s="5"/>
      <c r="I55" s="5"/>
      <c r="J55" s="5"/>
      <c r="K55" s="5"/>
      <c r="L55" s="5"/>
      <c r="M55" s="5"/>
      <c r="N55" s="5"/>
    </row>
    <row r="56">
      <c r="A56" s="1"/>
      <c r="B56" s="10"/>
      <c r="C56" s="180"/>
      <c r="D56" s="157"/>
      <c r="E56" s="126" t="s">
        <v>63</v>
      </c>
      <c r="F56" s="127" t="s">
        <v>79</v>
      </c>
      <c r="G56" s="127" t="s">
        <v>64</v>
      </c>
      <c r="H56" s="181" t="s">
        <v>26</v>
      </c>
      <c r="I56" s="130" t="s">
        <v>66</v>
      </c>
      <c r="J56" s="131" t="s">
        <v>31</v>
      </c>
      <c r="L56" s="5"/>
      <c r="M56" s="5"/>
      <c r="N56" s="5"/>
    </row>
    <row r="57">
      <c r="A57" s="1"/>
      <c r="B57" s="10" t="s">
        <v>75</v>
      </c>
      <c r="C57" s="164">
        <v>0.02</v>
      </c>
      <c r="D57" s="157"/>
      <c r="E57" s="133"/>
      <c r="F57" s="134"/>
      <c r="G57" s="134"/>
      <c r="H57" s="135"/>
      <c r="I57" s="136"/>
      <c r="J57" s="49"/>
      <c r="L57" s="5"/>
      <c r="M57" s="5"/>
      <c r="N57" s="5"/>
    </row>
    <row r="58">
      <c r="A58" s="125"/>
      <c r="B58" s="10" t="s">
        <v>93</v>
      </c>
      <c r="C58" s="166">
        <f>J44/F44</f>
        <v>0.01455819994</v>
      </c>
      <c r="D58" s="31"/>
      <c r="E58" s="123">
        <v>2033.0</v>
      </c>
      <c r="F58" s="139">
        <f>F54*C59</f>
        <v>1619.899124</v>
      </c>
      <c r="G58" s="140">
        <f t="shared" ref="G58:H58" si="15">G54</f>
        <v>0.1</v>
      </c>
      <c r="H58" s="183">
        <f t="shared" si="15"/>
        <v>987.3436782</v>
      </c>
      <c r="I58" s="184">
        <f>J54</f>
        <v>1251.294623</v>
      </c>
      <c r="J58" s="185">
        <f>K58*J23</f>
        <v>839.9548533</v>
      </c>
      <c r="K58" s="225">
        <f>((J23-G23)/G23 + 1)</f>
        <v>1.376975169</v>
      </c>
      <c r="L58" s="5"/>
      <c r="M58" s="5"/>
      <c r="N58" s="5"/>
    </row>
    <row r="59">
      <c r="A59" s="125"/>
      <c r="B59" s="10" t="s">
        <v>94</v>
      </c>
      <c r="C59" s="168">
        <f>C58*(1+C57)^10</f>
        <v>0.01774636449</v>
      </c>
      <c r="D59" s="31"/>
      <c r="E59" s="123">
        <v>2034.0</v>
      </c>
      <c r="F59" s="145">
        <f t="shared" ref="F59:F68" si="16">F58*(1+G59)</f>
        <v>1781.889036</v>
      </c>
      <c r="G59" s="146">
        <f>G58-(G58-G68) / 10</f>
        <v>0.1</v>
      </c>
      <c r="H59" s="147">
        <f t="shared" ref="H59:H68" si="17">H58*(1+G59)</f>
        <v>1086.078046</v>
      </c>
      <c r="I59" s="186">
        <f t="shared" ref="I59:I68" si="18">I58*(1+G59)</f>
        <v>1376.424085</v>
      </c>
      <c r="J59" s="187">
        <f t="shared" ref="J59:J62" si="19">K59*J58</f>
        <v>1098.767127</v>
      </c>
      <c r="K59" s="225">
        <f t="shared" ref="K59:K61" si="20">K58*0.95</f>
        <v>1.308126411</v>
      </c>
      <c r="L59" s="5"/>
      <c r="M59" s="5"/>
      <c r="N59" s="5"/>
    </row>
    <row r="60">
      <c r="A60" s="125"/>
      <c r="B60" s="10" t="s">
        <v>78</v>
      </c>
      <c r="C60" s="169">
        <f t="array" ref="C60">NPV(C39, I59:I68)</f>
        <v>11909.39427</v>
      </c>
      <c r="D60" s="31"/>
      <c r="E60" s="123">
        <v>2035.0</v>
      </c>
      <c r="F60" s="145">
        <f t="shared" si="16"/>
        <v>1960.07794</v>
      </c>
      <c r="G60" s="146">
        <f>G59-(G58-G68) / 10</f>
        <v>0.1</v>
      </c>
      <c r="H60" s="147">
        <f t="shared" si="17"/>
        <v>1194.685851</v>
      </c>
      <c r="I60" s="186">
        <f t="shared" si="18"/>
        <v>1514.066493</v>
      </c>
      <c r="J60" s="188">
        <f t="shared" si="19"/>
        <v>1365.459984</v>
      </c>
      <c r="K60" s="225">
        <f t="shared" si="20"/>
        <v>1.24272009</v>
      </c>
      <c r="L60" s="5"/>
      <c r="M60" s="5"/>
      <c r="N60" s="5"/>
    </row>
    <row r="61">
      <c r="A61" s="125"/>
      <c r="B61" s="10" t="s">
        <v>73</v>
      </c>
      <c r="C61" s="226">
        <f>C60/J68</f>
        <v>6.431504369</v>
      </c>
      <c r="D61" s="31"/>
      <c r="E61" s="123">
        <v>2036.0</v>
      </c>
      <c r="F61" s="145">
        <f t="shared" si="16"/>
        <v>2156.085734</v>
      </c>
      <c r="G61" s="146">
        <f>G60-(G58-G68) / 10</f>
        <v>0.1</v>
      </c>
      <c r="H61" s="147">
        <f t="shared" si="17"/>
        <v>1314.154436</v>
      </c>
      <c r="I61" s="186">
        <f t="shared" si="18"/>
        <v>1665.473143</v>
      </c>
      <c r="J61" s="187">
        <f t="shared" si="19"/>
        <v>1612.040327</v>
      </c>
      <c r="K61" s="225">
        <f t="shared" si="20"/>
        <v>1.180584086</v>
      </c>
      <c r="L61" s="5"/>
      <c r="M61" s="5"/>
      <c r="N61" s="5"/>
    </row>
    <row r="62">
      <c r="A62" s="1"/>
      <c r="B62" s="10" t="s">
        <v>74</v>
      </c>
      <c r="C62" s="171">
        <f>(C61/C25)^(1/10)-1</f>
        <v>-0.1874279685</v>
      </c>
      <c r="D62" s="19"/>
      <c r="E62" s="123">
        <v>2037.0</v>
      </c>
      <c r="F62" s="145">
        <f t="shared" si="16"/>
        <v>2371.694307</v>
      </c>
      <c r="G62" s="146">
        <f>G61-(G58-G68) / 10</f>
        <v>0.1</v>
      </c>
      <c r="H62" s="147">
        <f t="shared" si="17"/>
        <v>1445.569879</v>
      </c>
      <c r="I62" s="186">
        <f t="shared" si="18"/>
        <v>1832.020457</v>
      </c>
      <c r="J62" s="188">
        <f t="shared" si="19"/>
        <v>1644.281133</v>
      </c>
      <c r="K62" s="227">
        <v>1.02</v>
      </c>
      <c r="L62" s="5"/>
      <c r="M62" s="5"/>
      <c r="N62" s="5"/>
    </row>
    <row r="63">
      <c r="A63" s="1"/>
      <c r="B63" s="10"/>
      <c r="C63" s="19"/>
      <c r="D63" s="19"/>
      <c r="E63" s="123">
        <v>2038.0</v>
      </c>
      <c r="F63" s="145">
        <f t="shared" si="16"/>
        <v>2608.863738</v>
      </c>
      <c r="G63" s="146">
        <f>G62-(G58-G68) / 10</f>
        <v>0.1</v>
      </c>
      <c r="H63" s="147">
        <f t="shared" si="17"/>
        <v>1590.126867</v>
      </c>
      <c r="I63" s="186">
        <f t="shared" si="18"/>
        <v>2015.222503</v>
      </c>
      <c r="J63" s="187">
        <f>K62*J62</f>
        <v>1677.166756</v>
      </c>
      <c r="L63" s="5"/>
      <c r="M63" s="5"/>
      <c r="N63" s="5"/>
    </row>
    <row r="64">
      <c r="A64" s="1"/>
      <c r="B64" s="10"/>
      <c r="C64" s="189"/>
      <c r="D64" s="19"/>
      <c r="E64" s="123">
        <v>2039.0</v>
      </c>
      <c r="F64" s="145">
        <f t="shared" si="16"/>
        <v>2869.750112</v>
      </c>
      <c r="G64" s="146">
        <f>G63-(G58-G68) / 10</f>
        <v>0.1</v>
      </c>
      <c r="H64" s="147">
        <f t="shared" si="17"/>
        <v>1749.139554</v>
      </c>
      <c r="I64" s="186">
        <f t="shared" si="18"/>
        <v>2216.744753</v>
      </c>
      <c r="J64" s="187">
        <f>K62*J63</f>
        <v>1710.710091</v>
      </c>
      <c r="L64" s="5"/>
      <c r="M64" s="5"/>
      <c r="N64" s="5"/>
    </row>
    <row r="65">
      <c r="A65" s="1"/>
      <c r="B65" s="19"/>
      <c r="C65" s="19"/>
      <c r="D65" s="19"/>
      <c r="E65" s="123">
        <v>2040.0</v>
      </c>
      <c r="F65" s="145">
        <f t="shared" si="16"/>
        <v>3156.725123</v>
      </c>
      <c r="G65" s="146">
        <f>G64-(G58-G68) / 10</f>
        <v>0.1</v>
      </c>
      <c r="H65" s="147">
        <f t="shared" si="17"/>
        <v>1924.053509</v>
      </c>
      <c r="I65" s="186">
        <f t="shared" si="18"/>
        <v>2438.419228</v>
      </c>
      <c r="J65" s="187">
        <f>K62*J64</f>
        <v>1744.924293</v>
      </c>
      <c r="L65" s="5"/>
      <c r="M65" s="5"/>
      <c r="N65" s="5"/>
    </row>
    <row r="66">
      <c r="A66" s="1"/>
      <c r="B66" s="19"/>
      <c r="C66" s="19"/>
      <c r="D66" s="19"/>
      <c r="E66" s="123">
        <v>2041.0</v>
      </c>
      <c r="F66" s="145">
        <f t="shared" si="16"/>
        <v>3472.397636</v>
      </c>
      <c r="G66" s="146">
        <f>G65-(G58-G68) / 10</f>
        <v>0.1</v>
      </c>
      <c r="H66" s="147">
        <f t="shared" si="17"/>
        <v>2116.45886</v>
      </c>
      <c r="I66" s="186">
        <f t="shared" si="18"/>
        <v>2682.261151</v>
      </c>
      <c r="J66" s="187">
        <f>K62*J65</f>
        <v>1779.822779</v>
      </c>
      <c r="L66" s="5"/>
      <c r="M66" s="5"/>
      <c r="N66" s="5"/>
    </row>
    <row r="67">
      <c r="A67" s="1"/>
      <c r="B67" s="19"/>
      <c r="C67" s="19"/>
      <c r="D67" s="19"/>
      <c r="E67" s="123">
        <v>2042.0</v>
      </c>
      <c r="F67" s="145">
        <f t="shared" si="16"/>
        <v>3819.637399</v>
      </c>
      <c r="G67" s="146">
        <f>G66-(G58-G68) / 10</f>
        <v>0.1</v>
      </c>
      <c r="H67" s="147">
        <f t="shared" si="17"/>
        <v>2328.104746</v>
      </c>
      <c r="I67" s="186">
        <f t="shared" si="18"/>
        <v>2950.487266</v>
      </c>
      <c r="J67" s="187">
        <f>K62*J66</f>
        <v>1815.419234</v>
      </c>
      <c r="L67" s="5"/>
      <c r="M67" s="5"/>
      <c r="N67" s="5"/>
    </row>
    <row r="68">
      <c r="A68" s="125"/>
      <c r="B68" s="31"/>
      <c r="C68" s="31"/>
      <c r="D68" s="19"/>
      <c r="E68" s="123">
        <v>2043.0</v>
      </c>
      <c r="F68" s="173">
        <f t="shared" si="16"/>
        <v>4201.601139</v>
      </c>
      <c r="G68" s="174">
        <f>C52</f>
        <v>0.1</v>
      </c>
      <c r="H68" s="175">
        <f t="shared" si="17"/>
        <v>2560.915221</v>
      </c>
      <c r="I68" s="190">
        <f t="shared" si="18"/>
        <v>3245.535993</v>
      </c>
      <c r="J68" s="192">
        <f>K62*J67</f>
        <v>1851.727619</v>
      </c>
      <c r="K68" s="5"/>
      <c r="L68" s="5"/>
      <c r="M68" s="5"/>
      <c r="N68" s="5"/>
    </row>
    <row r="69">
      <c r="A69" s="125"/>
      <c r="B69" s="31"/>
      <c r="C69" s="31"/>
      <c r="D69" s="19"/>
      <c r="E69" s="5"/>
      <c r="F69" s="5"/>
      <c r="G69" s="5"/>
      <c r="H69" s="5"/>
      <c r="I69" s="5"/>
      <c r="J69" s="5"/>
      <c r="K69" s="5"/>
      <c r="L69" s="5"/>
      <c r="M69" s="5"/>
      <c r="N69" s="5"/>
    </row>
    <row r="70">
      <c r="B70" s="5"/>
      <c r="C70" s="19"/>
      <c r="D70" s="19"/>
      <c r="E70" s="5"/>
      <c r="F70" s="5"/>
      <c r="G70" s="5"/>
      <c r="H70" s="5"/>
      <c r="I70" s="5"/>
      <c r="J70" s="5"/>
      <c r="K70" s="5"/>
      <c r="L70" s="5"/>
      <c r="M70" s="5"/>
      <c r="N70" s="5"/>
    </row>
    <row r="71">
      <c r="B71" s="5"/>
      <c r="C71" s="19"/>
      <c r="D71" s="19"/>
      <c r="E71" s="5"/>
      <c r="F71" s="5"/>
      <c r="G71" s="5"/>
      <c r="H71" s="5"/>
      <c r="I71" s="5"/>
      <c r="J71" s="5"/>
      <c r="K71" s="5"/>
      <c r="L71" s="5"/>
      <c r="M71" s="5"/>
      <c r="N71" s="5"/>
    </row>
    <row r="72">
      <c r="B72" s="5"/>
      <c r="C72" s="5"/>
      <c r="D72" s="5"/>
      <c r="E72" s="5"/>
      <c r="F72" s="5"/>
      <c r="G72" s="5"/>
      <c r="H72" s="5"/>
      <c r="I72" s="5"/>
      <c r="J72" s="5"/>
      <c r="K72" s="5"/>
      <c r="L72" s="5"/>
      <c r="M72" s="5"/>
      <c r="N72" s="5"/>
    </row>
    <row r="73">
      <c r="B73" s="5"/>
      <c r="C73" s="5"/>
      <c r="D73" s="5"/>
      <c r="E73" s="5"/>
      <c r="F73" s="5"/>
      <c r="G73" s="5"/>
      <c r="H73" s="5"/>
      <c r="I73" s="5"/>
      <c r="J73" s="5"/>
      <c r="K73" s="5"/>
      <c r="L73" s="5"/>
      <c r="M73" s="5"/>
      <c r="N73" s="5"/>
    </row>
    <row r="74">
      <c r="B74" s="5"/>
      <c r="C74" s="5"/>
      <c r="D74" s="5"/>
      <c r="E74" s="5"/>
      <c r="F74" s="5"/>
      <c r="G74" s="5"/>
      <c r="H74" s="5"/>
      <c r="I74" s="5"/>
      <c r="J74" s="5"/>
      <c r="K74" s="5"/>
      <c r="L74" s="5"/>
      <c r="M74" s="5"/>
      <c r="N74" s="5"/>
    </row>
    <row r="75">
      <c r="B75" s="5"/>
      <c r="C75" s="5"/>
      <c r="D75" s="5"/>
      <c r="E75" s="5"/>
      <c r="F75" s="5"/>
      <c r="G75" s="5"/>
      <c r="H75" s="5"/>
      <c r="I75" s="5"/>
      <c r="J75" s="5"/>
      <c r="K75" s="5"/>
      <c r="L75" s="5"/>
      <c r="M75" s="5"/>
      <c r="N75" s="5"/>
    </row>
    <row r="76">
      <c r="B76" s="5"/>
      <c r="C76" s="5"/>
      <c r="D76" s="5"/>
      <c r="E76" s="5"/>
      <c r="F76" s="5"/>
      <c r="G76" s="5"/>
      <c r="H76" s="5"/>
      <c r="I76" s="5"/>
      <c r="J76" s="5"/>
      <c r="K76" s="5"/>
      <c r="L76" s="5"/>
      <c r="M76" s="5"/>
      <c r="N76" s="5"/>
    </row>
    <row r="77">
      <c r="B77" s="5"/>
      <c r="C77" s="5"/>
      <c r="D77" s="5"/>
      <c r="E77" s="5"/>
      <c r="F77" s="5"/>
      <c r="G77" s="5"/>
      <c r="H77" s="5"/>
      <c r="I77" s="5"/>
      <c r="J77" s="5"/>
      <c r="K77" s="5"/>
      <c r="L77" s="5"/>
      <c r="M77" s="5"/>
      <c r="N77" s="5"/>
    </row>
    <row r="78">
      <c r="B78" s="5"/>
      <c r="C78" s="5"/>
      <c r="D78" s="5"/>
      <c r="E78" s="5"/>
      <c r="F78" s="5"/>
      <c r="G78" s="5"/>
      <c r="H78" s="5"/>
      <c r="I78" s="5"/>
      <c r="J78" s="5"/>
      <c r="K78" s="5"/>
      <c r="L78" s="5"/>
      <c r="M78" s="5"/>
      <c r="N78" s="5"/>
    </row>
    <row r="79">
      <c r="B79" s="5"/>
      <c r="C79" s="5"/>
      <c r="D79" s="5"/>
      <c r="E79" s="5"/>
      <c r="F79" s="5"/>
      <c r="G79" s="5"/>
      <c r="H79" s="5"/>
      <c r="I79" s="5"/>
      <c r="J79" s="5"/>
      <c r="K79" s="5"/>
      <c r="L79" s="5"/>
      <c r="M79" s="5"/>
      <c r="N79" s="5"/>
    </row>
    <row r="80">
      <c r="B80" s="5"/>
      <c r="C80" s="5"/>
      <c r="D80" s="5"/>
      <c r="E80" s="5"/>
      <c r="F80" s="5"/>
      <c r="G80" s="5"/>
      <c r="H80" s="5"/>
      <c r="I80" s="5"/>
      <c r="J80" s="5"/>
      <c r="K80" s="5"/>
      <c r="L80" s="5"/>
      <c r="M80" s="5"/>
      <c r="N80" s="5"/>
    </row>
    <row r="81">
      <c r="B81" s="5"/>
      <c r="C81" s="5"/>
      <c r="D81" s="5"/>
      <c r="E81" s="5"/>
      <c r="F81" s="5"/>
      <c r="G81" s="5"/>
      <c r="H81" s="5"/>
      <c r="I81" s="5"/>
      <c r="J81" s="5"/>
      <c r="K81" s="5"/>
      <c r="L81" s="5"/>
      <c r="M81" s="5"/>
      <c r="N81" s="5"/>
    </row>
    <row r="82">
      <c r="B82" s="5"/>
      <c r="C82" s="5"/>
      <c r="D82" s="5"/>
      <c r="E82" s="5"/>
      <c r="F82" s="5"/>
      <c r="G82" s="5"/>
      <c r="H82" s="5"/>
      <c r="I82" s="5"/>
      <c r="J82" s="5"/>
      <c r="K82" s="5"/>
      <c r="L82" s="5"/>
      <c r="M82" s="5"/>
      <c r="N82" s="5"/>
    </row>
    <row r="83">
      <c r="B83" s="5"/>
      <c r="C83" s="5"/>
      <c r="D83" s="5"/>
      <c r="E83" s="5"/>
      <c r="F83" s="5"/>
      <c r="G83" s="5"/>
      <c r="H83" s="5"/>
      <c r="I83" s="5"/>
      <c r="J83" s="5"/>
      <c r="K83" s="5"/>
      <c r="L83" s="5"/>
      <c r="M83" s="5"/>
      <c r="N83" s="5"/>
    </row>
    <row r="84">
      <c r="B84" s="5"/>
      <c r="C84" s="5"/>
      <c r="D84" s="5"/>
      <c r="E84" s="5"/>
      <c r="F84" s="5"/>
      <c r="G84" s="5"/>
      <c r="H84" s="5"/>
      <c r="I84" s="5"/>
      <c r="J84" s="5"/>
      <c r="K84" s="5"/>
      <c r="L84" s="5"/>
      <c r="M84" s="5"/>
      <c r="N84" s="5"/>
    </row>
    <row r="85">
      <c r="B85" s="5"/>
      <c r="C85" s="5"/>
      <c r="D85" s="5"/>
      <c r="E85" s="5"/>
      <c r="F85" s="5"/>
      <c r="G85" s="5"/>
      <c r="H85" s="5"/>
      <c r="I85" s="5"/>
      <c r="J85" s="5"/>
      <c r="K85" s="5"/>
      <c r="L85" s="5"/>
      <c r="M85" s="5"/>
      <c r="N85" s="5"/>
    </row>
    <row r="86">
      <c r="B86" s="5"/>
      <c r="C86" s="5"/>
      <c r="D86" s="5"/>
      <c r="E86" s="5"/>
      <c r="F86" s="5"/>
      <c r="G86" s="5"/>
      <c r="H86" s="5"/>
      <c r="I86" s="5"/>
      <c r="J86" s="5"/>
      <c r="K86" s="5"/>
      <c r="L86" s="5"/>
      <c r="M86" s="5"/>
      <c r="N86" s="5"/>
    </row>
    <row r="87">
      <c r="B87" s="5"/>
      <c r="C87" s="5"/>
      <c r="D87" s="5"/>
      <c r="E87" s="5"/>
      <c r="F87" s="5"/>
      <c r="G87" s="5"/>
      <c r="H87" s="5"/>
      <c r="I87" s="5"/>
      <c r="J87" s="5"/>
      <c r="K87" s="5"/>
      <c r="L87" s="5"/>
      <c r="M87" s="5"/>
      <c r="N87" s="5"/>
    </row>
    <row r="88">
      <c r="B88" s="5"/>
      <c r="C88" s="5"/>
      <c r="D88" s="5"/>
      <c r="E88" s="5"/>
      <c r="F88" s="5"/>
      <c r="G88" s="5"/>
      <c r="H88" s="5"/>
      <c r="I88" s="5"/>
      <c r="J88" s="5"/>
      <c r="K88" s="5"/>
      <c r="L88" s="5"/>
      <c r="M88" s="5"/>
      <c r="N88" s="5"/>
    </row>
    <row r="89">
      <c r="B89" s="5"/>
      <c r="C89" s="5"/>
      <c r="D89" s="5"/>
      <c r="E89" s="5"/>
      <c r="F89" s="5"/>
      <c r="G89" s="5"/>
      <c r="H89" s="5"/>
      <c r="I89" s="5"/>
      <c r="J89" s="5"/>
      <c r="K89" s="5"/>
      <c r="L89" s="5"/>
      <c r="M89" s="5"/>
      <c r="N89" s="5"/>
    </row>
    <row r="90">
      <c r="B90" s="5"/>
      <c r="C90" s="5"/>
      <c r="D90" s="5"/>
      <c r="E90" s="5"/>
      <c r="F90" s="5"/>
      <c r="G90" s="5"/>
      <c r="H90" s="5"/>
      <c r="I90" s="5"/>
      <c r="J90" s="5"/>
      <c r="K90" s="5"/>
      <c r="L90" s="5"/>
      <c r="M90" s="5"/>
      <c r="N90" s="5"/>
    </row>
    <row r="91">
      <c r="B91" s="5"/>
      <c r="C91" s="5"/>
      <c r="D91" s="5"/>
      <c r="E91" s="5"/>
      <c r="F91" s="5"/>
      <c r="G91" s="5"/>
      <c r="H91" s="5"/>
      <c r="I91" s="5"/>
      <c r="J91" s="5"/>
      <c r="K91" s="5"/>
      <c r="L91" s="5"/>
      <c r="M91" s="5"/>
      <c r="N91" s="5"/>
    </row>
    <row r="92">
      <c r="B92" s="5"/>
      <c r="C92" s="5"/>
      <c r="D92" s="5"/>
      <c r="E92" s="5"/>
      <c r="F92" s="5"/>
      <c r="G92" s="5"/>
      <c r="H92" s="5"/>
      <c r="I92" s="5"/>
      <c r="J92" s="5"/>
      <c r="K92" s="5"/>
      <c r="L92" s="5"/>
      <c r="M92" s="5"/>
      <c r="N92" s="5"/>
    </row>
    <row r="93">
      <c r="B93" s="5"/>
      <c r="C93" s="5"/>
      <c r="D93" s="5"/>
      <c r="E93" s="5"/>
      <c r="F93" s="5"/>
      <c r="G93" s="5"/>
      <c r="H93" s="5"/>
      <c r="I93" s="5"/>
      <c r="J93" s="5"/>
      <c r="K93" s="5"/>
      <c r="L93" s="5"/>
      <c r="M93" s="5"/>
      <c r="N93" s="5"/>
    </row>
    <row r="94">
      <c r="B94" s="5"/>
      <c r="C94" s="5"/>
      <c r="D94" s="5"/>
      <c r="E94" s="5"/>
      <c r="F94" s="5"/>
      <c r="G94" s="5"/>
      <c r="H94" s="5"/>
      <c r="I94" s="5"/>
      <c r="J94" s="5"/>
      <c r="K94" s="5"/>
      <c r="L94" s="5"/>
      <c r="M94" s="5"/>
      <c r="N94" s="5"/>
    </row>
    <row r="95">
      <c r="B95" s="5"/>
      <c r="C95" s="5"/>
      <c r="D95" s="5"/>
      <c r="E95" s="5"/>
      <c r="F95" s="5"/>
      <c r="G95" s="5"/>
      <c r="H95" s="5"/>
      <c r="I95" s="5"/>
      <c r="J95" s="5"/>
      <c r="K95" s="5"/>
      <c r="L95" s="5"/>
      <c r="M95" s="5"/>
      <c r="N95" s="5"/>
    </row>
    <row r="96">
      <c r="B96" s="5"/>
      <c r="C96" s="5"/>
      <c r="D96" s="5"/>
      <c r="E96" s="5"/>
      <c r="F96" s="5"/>
      <c r="G96" s="5"/>
      <c r="H96" s="5"/>
      <c r="I96" s="5"/>
      <c r="J96" s="5"/>
      <c r="K96" s="5"/>
      <c r="L96" s="5"/>
      <c r="M96" s="5"/>
      <c r="N96" s="5"/>
    </row>
    <row r="97">
      <c r="B97" s="5"/>
      <c r="C97" s="5"/>
      <c r="D97" s="5"/>
      <c r="E97" s="5"/>
      <c r="F97" s="5"/>
      <c r="G97" s="5"/>
      <c r="H97" s="5"/>
      <c r="I97" s="5"/>
      <c r="J97" s="5"/>
      <c r="K97" s="5"/>
      <c r="L97" s="5"/>
      <c r="M97" s="5"/>
      <c r="N97" s="5"/>
    </row>
    <row r="98">
      <c r="B98" s="5"/>
      <c r="C98" s="5"/>
      <c r="D98" s="5"/>
      <c r="E98" s="5"/>
      <c r="F98" s="5"/>
      <c r="G98" s="5"/>
      <c r="H98" s="5"/>
      <c r="I98" s="5"/>
      <c r="J98" s="5"/>
      <c r="K98" s="5"/>
      <c r="L98" s="5"/>
      <c r="M98" s="5"/>
      <c r="N98" s="5"/>
    </row>
    <row r="99">
      <c r="B99" s="5"/>
      <c r="C99" s="5"/>
      <c r="D99" s="5"/>
      <c r="E99" s="5"/>
      <c r="F99" s="5"/>
      <c r="G99" s="5"/>
      <c r="H99" s="5"/>
      <c r="I99" s="5"/>
      <c r="J99" s="5"/>
      <c r="K99" s="5"/>
      <c r="L99" s="5"/>
      <c r="M99" s="5"/>
      <c r="N99" s="5"/>
    </row>
    <row r="100">
      <c r="B100" s="5"/>
      <c r="C100" s="5"/>
      <c r="D100" s="5"/>
      <c r="E100" s="5"/>
      <c r="F100" s="5"/>
      <c r="G100" s="5"/>
      <c r="H100" s="5"/>
      <c r="I100" s="5"/>
      <c r="J100" s="5"/>
      <c r="K100" s="5"/>
      <c r="L100" s="5"/>
      <c r="M100" s="5"/>
      <c r="N100" s="5"/>
    </row>
    <row r="101">
      <c r="B101" s="5"/>
      <c r="C101" s="5"/>
      <c r="D101" s="5"/>
      <c r="E101" s="5"/>
      <c r="F101" s="5"/>
      <c r="G101" s="5"/>
      <c r="H101" s="5"/>
      <c r="I101" s="5"/>
      <c r="J101" s="5"/>
      <c r="K101" s="5"/>
      <c r="L101" s="5"/>
      <c r="M101" s="5"/>
      <c r="N101" s="5"/>
    </row>
    <row r="102">
      <c r="B102" s="5"/>
      <c r="C102" s="5"/>
      <c r="D102" s="5"/>
      <c r="E102" s="5"/>
      <c r="F102" s="5"/>
      <c r="G102" s="5"/>
      <c r="H102" s="5"/>
      <c r="I102" s="5"/>
      <c r="J102" s="5"/>
      <c r="K102" s="5"/>
      <c r="L102" s="5"/>
      <c r="M102" s="5"/>
      <c r="N102" s="5"/>
    </row>
    <row r="103">
      <c r="B103" s="5"/>
      <c r="C103" s="5"/>
      <c r="D103" s="5"/>
      <c r="E103" s="5"/>
      <c r="F103" s="5"/>
      <c r="G103" s="5"/>
      <c r="H103" s="5"/>
      <c r="I103" s="5"/>
      <c r="J103" s="5"/>
      <c r="K103" s="5"/>
      <c r="L103" s="5"/>
      <c r="M103" s="5"/>
      <c r="N103" s="5"/>
    </row>
    <row r="104">
      <c r="B104" s="5"/>
      <c r="C104" s="5"/>
      <c r="D104" s="5"/>
      <c r="E104" s="5"/>
      <c r="F104" s="5"/>
      <c r="G104" s="5"/>
      <c r="H104" s="5"/>
      <c r="I104" s="5"/>
      <c r="J104" s="5"/>
      <c r="K104" s="5"/>
      <c r="L104" s="5"/>
      <c r="M104" s="5"/>
      <c r="N104" s="5"/>
    </row>
    <row r="105">
      <c r="B105" s="5"/>
      <c r="C105" s="5"/>
      <c r="D105" s="5"/>
      <c r="E105" s="5"/>
      <c r="F105" s="5"/>
      <c r="G105" s="5"/>
      <c r="H105" s="5"/>
      <c r="I105" s="5"/>
      <c r="J105" s="5"/>
      <c r="K105" s="5"/>
      <c r="L105" s="5"/>
      <c r="M105" s="5"/>
      <c r="N105" s="5"/>
    </row>
    <row r="106">
      <c r="B106" s="5"/>
      <c r="C106" s="5"/>
      <c r="D106" s="5"/>
      <c r="E106" s="5"/>
      <c r="F106" s="5"/>
      <c r="G106" s="5"/>
      <c r="H106" s="5"/>
      <c r="I106" s="5"/>
      <c r="J106" s="5"/>
      <c r="K106" s="5"/>
      <c r="L106" s="5"/>
      <c r="M106" s="5"/>
      <c r="N106" s="5"/>
    </row>
    <row r="107">
      <c r="B107" s="5"/>
      <c r="C107" s="5"/>
      <c r="D107" s="5"/>
      <c r="E107" s="5"/>
      <c r="F107" s="5"/>
      <c r="G107" s="5"/>
      <c r="H107" s="5"/>
      <c r="I107" s="5"/>
      <c r="J107" s="5"/>
      <c r="K107" s="5"/>
      <c r="L107" s="5"/>
      <c r="M107" s="5"/>
      <c r="N107" s="5"/>
    </row>
    <row r="108">
      <c r="B108" s="5"/>
      <c r="C108" s="5"/>
      <c r="D108" s="5"/>
      <c r="E108" s="5"/>
      <c r="F108" s="5"/>
      <c r="G108" s="5"/>
      <c r="H108" s="5"/>
      <c r="I108" s="5"/>
      <c r="J108" s="5"/>
      <c r="K108" s="5"/>
      <c r="L108" s="5"/>
      <c r="M108" s="5"/>
      <c r="N108" s="5"/>
    </row>
    <row r="109">
      <c r="B109" s="5"/>
      <c r="C109" s="5"/>
      <c r="D109" s="5"/>
      <c r="E109" s="5"/>
      <c r="F109" s="5"/>
      <c r="G109" s="5"/>
      <c r="H109" s="5"/>
      <c r="I109" s="5"/>
      <c r="J109" s="5"/>
      <c r="K109" s="5"/>
      <c r="L109" s="5"/>
      <c r="M109" s="5"/>
      <c r="N109" s="5"/>
    </row>
    <row r="110">
      <c r="B110" s="5"/>
      <c r="C110" s="5"/>
      <c r="D110" s="5"/>
      <c r="E110" s="5"/>
      <c r="F110" s="5"/>
      <c r="G110" s="5"/>
      <c r="H110" s="5"/>
      <c r="I110" s="5"/>
      <c r="J110" s="5"/>
      <c r="K110" s="5"/>
      <c r="L110" s="5"/>
      <c r="M110" s="5"/>
      <c r="N110" s="5"/>
    </row>
    <row r="111">
      <c r="B111" s="5"/>
      <c r="C111" s="5"/>
      <c r="D111" s="5"/>
      <c r="E111" s="5"/>
      <c r="F111" s="5"/>
      <c r="G111" s="5"/>
      <c r="H111" s="5"/>
      <c r="I111" s="5"/>
      <c r="J111" s="5"/>
      <c r="K111" s="5"/>
      <c r="L111" s="5"/>
      <c r="M111" s="5"/>
      <c r="N111" s="5"/>
    </row>
    <row r="112">
      <c r="B112" s="5"/>
      <c r="C112" s="5"/>
      <c r="D112" s="5"/>
      <c r="E112" s="5"/>
      <c r="F112" s="5"/>
      <c r="G112" s="5"/>
      <c r="H112" s="5"/>
      <c r="I112" s="5"/>
      <c r="J112" s="5"/>
      <c r="K112" s="5"/>
      <c r="L112" s="5"/>
      <c r="M112" s="5"/>
      <c r="N112" s="5"/>
    </row>
    <row r="113">
      <c r="B113" s="5"/>
      <c r="C113" s="5"/>
      <c r="D113" s="5"/>
      <c r="E113" s="5"/>
      <c r="F113" s="5"/>
      <c r="G113" s="5"/>
      <c r="H113" s="5"/>
      <c r="I113" s="5"/>
      <c r="J113" s="5"/>
      <c r="K113" s="5"/>
      <c r="L113" s="5"/>
      <c r="M113" s="5"/>
      <c r="N113" s="5"/>
    </row>
    <row r="114">
      <c r="B114" s="5"/>
      <c r="C114" s="5"/>
      <c r="D114" s="5"/>
      <c r="E114" s="5"/>
      <c r="F114" s="5"/>
      <c r="G114" s="5"/>
      <c r="H114" s="5"/>
      <c r="I114" s="5"/>
      <c r="J114" s="5"/>
      <c r="K114" s="5"/>
      <c r="L114" s="5"/>
      <c r="M114" s="5"/>
      <c r="N114" s="5"/>
    </row>
    <row r="115">
      <c r="B115" s="5"/>
      <c r="C115" s="5"/>
      <c r="D115" s="5"/>
      <c r="E115" s="5"/>
      <c r="F115" s="5"/>
      <c r="G115" s="5"/>
      <c r="H115" s="5"/>
      <c r="I115" s="5"/>
      <c r="J115" s="5"/>
      <c r="K115" s="5"/>
      <c r="L115" s="5"/>
      <c r="M115" s="5"/>
      <c r="N115" s="5"/>
    </row>
    <row r="116">
      <c r="B116" s="5"/>
      <c r="C116" s="5"/>
      <c r="D116" s="5"/>
      <c r="E116" s="5"/>
      <c r="F116" s="5"/>
      <c r="G116" s="5"/>
      <c r="H116" s="5"/>
      <c r="I116" s="5"/>
      <c r="J116" s="5"/>
      <c r="K116" s="5"/>
      <c r="L116" s="5"/>
      <c r="M116" s="5"/>
      <c r="N116" s="5"/>
    </row>
    <row r="117">
      <c r="B117" s="5"/>
      <c r="C117" s="5"/>
      <c r="D117" s="5"/>
      <c r="E117" s="5"/>
      <c r="F117" s="5"/>
      <c r="G117" s="5"/>
      <c r="H117" s="5"/>
      <c r="I117" s="5"/>
      <c r="J117" s="5"/>
      <c r="K117" s="5"/>
      <c r="L117" s="5"/>
      <c r="M117" s="5"/>
      <c r="N117" s="5"/>
    </row>
    <row r="118">
      <c r="B118" s="5"/>
      <c r="C118" s="5"/>
      <c r="D118" s="5"/>
      <c r="E118" s="5"/>
      <c r="F118" s="5"/>
      <c r="G118" s="5"/>
      <c r="H118" s="5"/>
      <c r="I118" s="5"/>
      <c r="J118" s="5"/>
      <c r="K118" s="5"/>
      <c r="L118" s="5"/>
      <c r="M118" s="5"/>
      <c r="N118" s="5"/>
    </row>
    <row r="119">
      <c r="B119" s="5"/>
      <c r="C119" s="5"/>
      <c r="D119" s="5"/>
      <c r="E119" s="5"/>
      <c r="F119" s="5"/>
      <c r="G119" s="5"/>
      <c r="H119" s="5"/>
      <c r="I119" s="5"/>
      <c r="J119" s="5"/>
      <c r="K119" s="5"/>
      <c r="L119" s="5"/>
      <c r="M119" s="5"/>
      <c r="N119" s="5"/>
    </row>
    <row r="120">
      <c r="B120" s="5"/>
      <c r="C120" s="5"/>
      <c r="D120" s="5"/>
      <c r="E120" s="5"/>
      <c r="F120" s="5"/>
      <c r="G120" s="5"/>
      <c r="H120" s="5"/>
      <c r="I120" s="5"/>
      <c r="J120" s="5"/>
      <c r="K120" s="5"/>
      <c r="L120" s="5"/>
      <c r="M120" s="5"/>
      <c r="N120" s="5"/>
    </row>
    <row r="121">
      <c r="B121" s="5"/>
      <c r="C121" s="5"/>
      <c r="D121" s="5"/>
      <c r="E121" s="5"/>
      <c r="F121" s="5"/>
      <c r="G121" s="5"/>
      <c r="H121" s="5"/>
      <c r="I121" s="5"/>
      <c r="J121" s="5"/>
      <c r="K121" s="5"/>
      <c r="L121" s="5"/>
      <c r="M121" s="5"/>
      <c r="N121" s="5"/>
    </row>
    <row r="122">
      <c r="B122" s="5"/>
      <c r="C122" s="5"/>
      <c r="D122" s="5"/>
      <c r="E122" s="5"/>
      <c r="F122" s="5"/>
      <c r="G122" s="5"/>
      <c r="H122" s="5"/>
      <c r="I122" s="5"/>
      <c r="J122" s="5"/>
      <c r="K122" s="5"/>
      <c r="L122" s="5"/>
      <c r="M122" s="5"/>
      <c r="N122" s="5"/>
    </row>
    <row r="123">
      <c r="B123" s="5"/>
      <c r="C123" s="5"/>
      <c r="D123" s="5"/>
      <c r="E123" s="5"/>
      <c r="F123" s="5"/>
      <c r="G123" s="5"/>
      <c r="H123" s="5"/>
      <c r="I123" s="5"/>
      <c r="J123" s="5"/>
      <c r="K123" s="5"/>
      <c r="L123" s="5"/>
      <c r="M123" s="5"/>
      <c r="N123" s="5"/>
    </row>
    <row r="124">
      <c r="B124" s="5"/>
      <c r="C124" s="5"/>
      <c r="D124" s="5"/>
      <c r="E124" s="5"/>
      <c r="F124" s="5"/>
      <c r="G124" s="5"/>
      <c r="H124" s="5"/>
      <c r="I124" s="5"/>
      <c r="J124" s="5"/>
      <c r="K124" s="5"/>
      <c r="L124" s="5"/>
      <c r="M124" s="5"/>
      <c r="N124" s="5"/>
    </row>
    <row r="125">
      <c r="B125" s="5"/>
      <c r="C125" s="5"/>
      <c r="D125" s="5"/>
      <c r="E125" s="5"/>
      <c r="F125" s="5"/>
      <c r="G125" s="5"/>
      <c r="H125" s="5"/>
      <c r="I125" s="5"/>
      <c r="J125" s="5"/>
      <c r="K125" s="5"/>
      <c r="L125" s="5"/>
      <c r="M125" s="5"/>
      <c r="N125" s="5"/>
    </row>
    <row r="126">
      <c r="B126" s="5"/>
      <c r="C126" s="5"/>
      <c r="D126" s="5"/>
      <c r="E126" s="5"/>
      <c r="F126" s="5"/>
      <c r="G126" s="5"/>
      <c r="H126" s="5"/>
      <c r="I126" s="5"/>
      <c r="J126" s="5"/>
      <c r="K126" s="5"/>
      <c r="L126" s="5"/>
      <c r="M126" s="5"/>
      <c r="N126" s="5"/>
    </row>
    <row r="127">
      <c r="B127" s="5"/>
      <c r="C127" s="5"/>
      <c r="D127" s="5"/>
      <c r="E127" s="5"/>
      <c r="F127" s="5"/>
      <c r="G127" s="5"/>
      <c r="H127" s="5"/>
      <c r="I127" s="5"/>
      <c r="J127" s="5"/>
      <c r="K127" s="5"/>
      <c r="L127" s="5"/>
      <c r="M127" s="5"/>
      <c r="N127" s="5"/>
    </row>
    <row r="128">
      <c r="B128" s="5"/>
      <c r="C128" s="5"/>
      <c r="D128" s="5"/>
      <c r="E128" s="5"/>
      <c r="F128" s="5"/>
      <c r="G128" s="5"/>
      <c r="H128" s="5"/>
      <c r="I128" s="5"/>
      <c r="J128" s="5"/>
      <c r="K128" s="5"/>
      <c r="L128" s="5"/>
      <c r="M128" s="5"/>
      <c r="N128" s="5"/>
    </row>
    <row r="129">
      <c r="B129" s="5"/>
      <c r="C129" s="5"/>
      <c r="D129" s="5"/>
      <c r="E129" s="5"/>
      <c r="F129" s="5"/>
      <c r="G129" s="5"/>
      <c r="H129" s="5"/>
      <c r="I129" s="5"/>
      <c r="J129" s="5"/>
      <c r="K129" s="5"/>
      <c r="L129" s="5"/>
      <c r="M129" s="5"/>
      <c r="N129" s="5"/>
    </row>
    <row r="130">
      <c r="B130" s="5"/>
      <c r="C130" s="5"/>
      <c r="D130" s="5"/>
      <c r="E130" s="5"/>
      <c r="F130" s="5"/>
      <c r="G130" s="5"/>
      <c r="H130" s="5"/>
      <c r="I130" s="5"/>
      <c r="J130" s="5"/>
      <c r="K130" s="5"/>
      <c r="L130" s="5"/>
      <c r="M130" s="5"/>
      <c r="N130" s="5"/>
    </row>
    <row r="131">
      <c r="B131" s="5"/>
      <c r="C131" s="5"/>
      <c r="D131" s="5"/>
      <c r="E131" s="5"/>
      <c r="F131" s="5"/>
      <c r="G131" s="5"/>
      <c r="H131" s="5"/>
      <c r="I131" s="5"/>
      <c r="J131" s="5"/>
      <c r="K131" s="5"/>
      <c r="L131" s="5"/>
      <c r="M131" s="5"/>
      <c r="N131" s="5"/>
    </row>
    <row r="132">
      <c r="B132" s="5"/>
      <c r="C132" s="5"/>
      <c r="D132" s="5"/>
      <c r="E132" s="5"/>
      <c r="F132" s="5"/>
      <c r="G132" s="5"/>
      <c r="H132" s="5"/>
      <c r="I132" s="5"/>
      <c r="J132" s="5"/>
      <c r="K132" s="5"/>
      <c r="L132" s="5"/>
      <c r="M132" s="5"/>
      <c r="N132" s="5"/>
    </row>
  </sheetData>
  <printOptions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5" width="16.0"/>
  </cols>
  <sheetData>
    <row r="3">
      <c r="A3" s="228"/>
      <c r="B3" s="229" t="s">
        <v>95</v>
      </c>
    </row>
    <row r="4">
      <c r="A4" s="230"/>
      <c r="B4" s="230"/>
      <c r="C4" s="230"/>
    </row>
    <row r="5">
      <c r="A5" s="231"/>
      <c r="B5" s="231" t="s">
        <v>96</v>
      </c>
    </row>
    <row r="6">
      <c r="A6" s="231"/>
      <c r="B6" s="232" t="s">
        <v>97</v>
      </c>
      <c r="C6" s="231"/>
      <c r="D6" s="231"/>
      <c r="E6" s="231"/>
    </row>
    <row r="7">
      <c r="A7" s="233"/>
      <c r="B7" s="234" t="s">
        <v>98</v>
      </c>
    </row>
    <row r="8">
      <c r="A8" s="233"/>
      <c r="B8" s="234" t="s">
        <v>99</v>
      </c>
    </row>
    <row r="9">
      <c r="A9" s="231"/>
      <c r="B9" s="234" t="s">
        <v>100</v>
      </c>
    </row>
    <row r="10">
      <c r="A10" s="231"/>
      <c r="B10" s="234" t="s">
        <v>101</v>
      </c>
    </row>
    <row r="11">
      <c r="A11" s="231"/>
      <c r="B11" s="234" t="s">
        <v>102</v>
      </c>
    </row>
    <row r="12">
      <c r="A12" s="231"/>
      <c r="B12" s="234" t="s">
        <v>103</v>
      </c>
    </row>
    <row r="13">
      <c r="A13" s="233"/>
      <c r="B13" s="233"/>
      <c r="C13" s="233"/>
      <c r="D13" s="233"/>
      <c r="E13" s="233"/>
    </row>
    <row r="14">
      <c r="A14" s="233"/>
      <c r="B14" s="233"/>
      <c r="C14" s="233"/>
      <c r="D14" s="233"/>
      <c r="E14" s="233"/>
    </row>
    <row r="15">
      <c r="A15" s="233"/>
      <c r="B15" s="233"/>
      <c r="C15" s="233"/>
      <c r="D15" s="233"/>
      <c r="E15" s="233"/>
    </row>
    <row r="16">
      <c r="A16" s="233"/>
      <c r="B16" s="233"/>
      <c r="C16" s="233"/>
      <c r="D16" s="233"/>
      <c r="E16" s="233"/>
    </row>
    <row r="17">
      <c r="A17" s="233"/>
      <c r="B17" s="233"/>
      <c r="C17" s="233"/>
      <c r="D17" s="233"/>
      <c r="E17" s="233"/>
    </row>
    <row r="18">
      <c r="A18" s="233"/>
      <c r="B18" s="233"/>
      <c r="C18" s="233"/>
      <c r="D18" s="233"/>
      <c r="E18" s="233"/>
    </row>
    <row r="19">
      <c r="A19" s="235"/>
      <c r="B19" s="233"/>
      <c r="C19" s="233"/>
      <c r="D19" s="233"/>
      <c r="E19" s="233"/>
    </row>
    <row r="20">
      <c r="A20" s="235"/>
      <c r="B20" s="233"/>
      <c r="C20" s="233"/>
      <c r="D20" s="233"/>
      <c r="E20" s="233"/>
    </row>
  </sheetData>
  <mergeCells count="8">
    <mergeCell ref="B3:E3"/>
    <mergeCell ref="B5:E5"/>
    <mergeCell ref="B7:E7"/>
    <mergeCell ref="B8:E8"/>
    <mergeCell ref="B9:E9"/>
    <mergeCell ref="B10:E10"/>
    <mergeCell ref="B11:E11"/>
    <mergeCell ref="B12:E12"/>
  </mergeCells>
  <drawing r:id="rId1"/>
</worksheet>
</file>