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ation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<sst xmlns="http://schemas.openxmlformats.org/spreadsheetml/2006/main" count="100" uniqueCount="90">
  <si>
    <t>Alibaba</t>
  </si>
  <si>
    <r>
      <rPr>
        <rFont val="Helvetica Neue"/>
        <i/>
        <color theme="1"/>
        <sz val="9.0"/>
      </rPr>
      <t>in millions</t>
    </r>
    <r>
      <rPr>
        <rFont val="Helvetica Neue"/>
        <color theme="1"/>
        <sz val="9.0"/>
      </rPr>
      <t>, exept per shares</t>
    </r>
  </si>
  <si>
    <t>Y20</t>
  </si>
  <si>
    <t>Y21</t>
  </si>
  <si>
    <t>Y22</t>
  </si>
  <si>
    <t>Y23</t>
  </si>
  <si>
    <t>Y24</t>
  </si>
  <si>
    <t>TTM</t>
  </si>
  <si>
    <t>USD to CNY</t>
  </si>
  <si>
    <t>Revenue</t>
  </si>
  <si>
    <t>Revenue Growth</t>
  </si>
  <si>
    <t>COGS</t>
  </si>
  <si>
    <t>Profit Margin</t>
  </si>
  <si>
    <t>Gross Profit</t>
  </si>
  <si>
    <t>Gross Profit Growth</t>
  </si>
  <si>
    <t>SG&amp;A</t>
  </si>
  <si>
    <t>R&amp;D</t>
  </si>
  <si>
    <t>Other Operating Expenses</t>
  </si>
  <si>
    <t>Operating Expenses</t>
  </si>
  <si>
    <t>Operating Income</t>
  </si>
  <si>
    <t>Operating Margin</t>
  </si>
  <si>
    <t>Interest Income</t>
  </si>
  <si>
    <t>Other expense, net</t>
  </si>
  <si>
    <t>Pretax Income</t>
  </si>
  <si>
    <t>Taxes</t>
  </si>
  <si>
    <t>normalized p/e</t>
  </si>
  <si>
    <t>Net Income</t>
  </si>
  <si>
    <t>Net Income Growth</t>
  </si>
  <si>
    <t>EPS</t>
  </si>
  <si>
    <t>BABA</t>
  </si>
  <si>
    <t>10-K SEC Filing</t>
  </si>
  <si>
    <t>Shares</t>
  </si>
  <si>
    <t>Share Price</t>
  </si>
  <si>
    <t>Total Debt</t>
  </si>
  <si>
    <t>Market Cap (Actual)</t>
  </si>
  <si>
    <t>Shareholder Equity</t>
  </si>
  <si>
    <t>Market Cap (Estimate)</t>
  </si>
  <si>
    <t>Operating Lease Liabilities</t>
  </si>
  <si>
    <t>ROIC</t>
  </si>
  <si>
    <t>Cash and Cash Equivalents</t>
  </si>
  <si>
    <t>EV</t>
  </si>
  <si>
    <t>Invested Capital</t>
  </si>
  <si>
    <t>P/E</t>
  </si>
  <si>
    <t>P/S</t>
  </si>
  <si>
    <t>Share Repurchased</t>
  </si>
  <si>
    <t>P/B</t>
  </si>
  <si>
    <t>Share Issuance Proceeds</t>
  </si>
  <si>
    <t>EV / Revenue</t>
  </si>
  <si>
    <t>Stock Based Comp</t>
  </si>
  <si>
    <t>-</t>
  </si>
  <si>
    <t>EV / Pretax Income</t>
  </si>
  <si>
    <t>Debt Issuance</t>
  </si>
  <si>
    <t>Debt Repayment</t>
  </si>
  <si>
    <t>Discount (WAPM)</t>
  </si>
  <si>
    <t>Terminal Growth Rate</t>
  </si>
  <si>
    <t>Operating Cash Flow</t>
  </si>
  <si>
    <t>NPV</t>
  </si>
  <si>
    <t>Investing Cash Flow</t>
  </si>
  <si>
    <t>NPV + Cash - Debt</t>
  </si>
  <si>
    <t>Financing Cash Flow</t>
  </si>
  <si>
    <t>Net Cash Change</t>
  </si>
  <si>
    <t>Expected Price</t>
  </si>
  <si>
    <t>Free Cash Flow</t>
  </si>
  <si>
    <t>Price Safety Margin</t>
  </si>
  <si>
    <t>Year (Projected)</t>
  </si>
  <si>
    <t>Growth Rate</t>
  </si>
  <si>
    <t>GR Margin</t>
  </si>
  <si>
    <t>FCF</t>
  </si>
  <si>
    <t>Debt</t>
  </si>
  <si>
    <t>(NPV + C - 2033 D)</t>
  </si>
  <si>
    <t>--&gt; Share Price</t>
  </si>
  <si>
    <t>Terminal + 10 Growth Rate</t>
  </si>
  <si>
    <t>Terminal NPV</t>
  </si>
  <si>
    <t>Terminal Share Price</t>
  </si>
  <si>
    <t>Reversed ROR</t>
  </si>
  <si>
    <t>FCF Margin GR</t>
  </si>
  <si>
    <t>2033 FCF:Net Income</t>
  </si>
  <si>
    <t>2043 Disc FCF Margin</t>
  </si>
  <si>
    <t>Terminal Discounted NPV</t>
  </si>
  <si>
    <t>Discounted NI</t>
  </si>
  <si>
    <t>Disc. FCF</t>
  </si>
  <si>
    <t>Questions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</si>
  <si>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</si>
  <si>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</si>
  <si>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</si>
  <si>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</si>
  <si>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</si>
  <si>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</si>
  <si>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</si>
  <si>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market and other actions are insiders taking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</si>
</sst>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&quot;$&quot;#,##0.00"/>
    <numFmt numFmtId="166" formatCode="0.0%"/>
    <numFmt numFmtId="167" formatCode="[$¥]#,##0.00"/>
    <numFmt numFmtId="168" formatCode="[$¥]#,##0"/>
    <numFmt numFmtId="169" formatCode="&quot;$&quot;#,##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sz val="9.0"/>
      <color theme="1"/>
      <name val="Helvetica Neue"/>
    </font>
    <font>
      <color rgb="FF000000"/>
      <name val="&quot;docs-Helvetica Neue&quot;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2" numFmtId="0" xfId="0" applyAlignment="1" applyBorder="1" applyFill="1" applyFont="1">
      <alignment readingOrder="0"/>
    </xf>
    <xf borderId="2" fillId="2" fontId="3" numFmtId="164" xfId="0" applyAlignment="1" applyBorder="1" applyFont="1" applyNumberFormat="1">
      <alignment readingOrder="0"/>
    </xf>
    <xf borderId="0" fillId="0" fontId="3" numFmtId="0" xfId="0" applyFont="1"/>
    <xf borderId="1" fillId="3" fontId="4" numFmtId="0" xfId="0" applyAlignment="1" applyBorder="1" applyFill="1" applyFont="1">
      <alignment readingOrder="0"/>
    </xf>
    <xf borderId="3" fillId="3" fontId="2" numFmtId="0" xfId="0" applyAlignment="1" applyBorder="1" applyFont="1">
      <alignment horizontal="right" readingOrder="0" vertical="bottom"/>
    </xf>
    <xf borderId="2" fillId="3" fontId="2" numFmtId="0" xfId="0" applyAlignment="1" applyBorder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3" numFmtId="10" xfId="0" applyFont="1" applyNumberFormat="1"/>
    <xf borderId="0" fillId="0" fontId="3" numFmtId="165" xfId="0" applyFont="1" applyNumberFormat="1"/>
    <xf borderId="0" fillId="0" fontId="3" numFmtId="165" xfId="0" applyAlignment="1" applyFont="1" applyNumberFormat="1">
      <alignment readingOrder="0"/>
    </xf>
    <xf borderId="4" fillId="4" fontId="3" numFmtId="3" xfId="0" applyAlignment="1" applyBorder="1" applyFill="1" applyFont="1" applyNumberFormat="1">
      <alignment readingOrder="0"/>
    </xf>
    <xf borderId="5" fillId="4" fontId="3" numFmtId="3" xfId="0" applyAlignment="1" applyBorder="1" applyFont="1" applyNumberFormat="1">
      <alignment readingOrder="0"/>
    </xf>
    <xf borderId="6" fillId="4" fontId="3" numFmtId="3" xfId="0" applyAlignment="1" applyBorder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readingOrder="0" vertical="bottom"/>
    </xf>
    <xf borderId="7" fillId="4" fontId="3" numFmtId="10" xfId="0" applyAlignment="1" applyBorder="1" applyFont="1" applyNumberFormat="1">
      <alignment readingOrder="0"/>
    </xf>
    <xf borderId="0" fillId="4" fontId="3" numFmtId="10" xfId="0" applyAlignment="1" applyFont="1" applyNumberFormat="1">
      <alignment readingOrder="0"/>
    </xf>
    <xf borderId="8" fillId="4" fontId="3" numFmtId="10" xfId="0" applyAlignment="1" applyBorder="1" applyFont="1" applyNumberFormat="1">
      <alignment readingOrder="0"/>
    </xf>
    <xf borderId="7" fillId="4" fontId="3" numFmtId="4" xfId="0" applyAlignment="1" applyBorder="1" applyFont="1" applyNumberFormat="1">
      <alignment readingOrder="0"/>
    </xf>
    <xf borderId="0" fillId="4" fontId="3" numFmtId="4" xfId="0" applyAlignment="1" applyFont="1" applyNumberFormat="1">
      <alignment readingOrder="0"/>
    </xf>
    <xf borderId="8" fillId="4" fontId="3" numFmtId="4" xfId="0" applyAlignment="1" applyBorder="1" applyFont="1" applyNumberFormat="1">
      <alignment readingOrder="0"/>
    </xf>
    <xf borderId="0" fillId="0" fontId="3" numFmtId="3" xfId="0" applyAlignment="1" applyFont="1" applyNumberFormat="1">
      <alignment readingOrder="0"/>
    </xf>
    <xf borderId="7" fillId="4" fontId="3" numFmtId="166" xfId="0" applyBorder="1" applyFont="1" applyNumberFormat="1"/>
    <xf borderId="0" fillId="4" fontId="3" numFmtId="166" xfId="0" applyFont="1" applyNumberFormat="1"/>
    <xf borderId="8" fillId="4" fontId="3" numFmtId="166" xfId="0" applyBorder="1" applyFont="1" applyNumberFormat="1"/>
    <xf borderId="7" fillId="4" fontId="3" numFmtId="3" xfId="0" applyBorder="1" applyFont="1" applyNumberFormat="1"/>
    <xf borderId="0" fillId="4" fontId="3" numFmtId="3" xfId="0" applyFont="1" applyNumberFormat="1"/>
    <xf borderId="8" fillId="4" fontId="3" numFmtId="3" xfId="0" applyBorder="1" applyFont="1" applyNumberFormat="1"/>
    <xf borderId="0" fillId="0" fontId="2" numFmtId="0" xfId="0" applyAlignment="1" applyFont="1">
      <alignment readingOrder="0" shrinkToFit="0" vertical="bottom" wrapText="1"/>
    </xf>
    <xf borderId="7" fillId="4" fontId="3" numFmtId="4" xfId="0" applyAlignment="1" applyBorder="1" applyFont="1" applyNumberFormat="1">
      <alignment horizontal="right" readingOrder="0"/>
    </xf>
    <xf borderId="0" fillId="4" fontId="3" numFmtId="4" xfId="0" applyAlignment="1" applyFont="1" applyNumberFormat="1">
      <alignment horizontal="right" readingOrder="0"/>
    </xf>
    <xf borderId="0" fillId="4" fontId="3" numFmtId="4" xfId="0" applyAlignment="1" applyFont="1" applyNumberFormat="1">
      <alignment readingOrder="0" shrinkToFit="0" vertical="top" wrapText="1"/>
    </xf>
    <xf borderId="8" fillId="4" fontId="3" numFmtId="4" xfId="0" applyAlignment="1" applyBorder="1" applyFont="1" applyNumberFormat="1">
      <alignment readingOrder="0" shrinkToFit="0" vertical="top" wrapText="1"/>
    </xf>
    <xf borderId="0" fillId="0" fontId="3" numFmtId="4" xfId="0" applyFont="1" applyNumberFormat="1"/>
    <xf borderId="0" fillId="0" fontId="3" numFmtId="0" xfId="0" applyAlignment="1" applyFont="1">
      <alignment horizontal="right"/>
    </xf>
    <xf borderId="0" fillId="0" fontId="2" numFmtId="0" xfId="0" applyAlignment="1" applyFont="1">
      <alignment shrinkToFit="0" vertical="bottom" wrapText="1"/>
    </xf>
    <xf borderId="8" fillId="4" fontId="3" numFmtId="4" xfId="0" applyAlignment="1" applyBorder="1" applyFont="1" applyNumberFormat="1">
      <alignment horizontal="right" readingOrder="0"/>
    </xf>
    <xf borderId="0" fillId="0" fontId="3" numFmtId="4" xfId="0" applyAlignment="1" applyFont="1" applyNumberFormat="1">
      <alignment readingOrder="0"/>
    </xf>
    <xf borderId="0" fillId="4" fontId="3" numFmtId="3" xfId="0" applyAlignment="1" applyFont="1" applyNumberFormat="1">
      <alignment readingOrder="0" shrinkToFit="0" vertical="top" wrapText="1"/>
    </xf>
    <xf borderId="8" fillId="4" fontId="3" numFmtId="3" xfId="0" applyAlignment="1" applyBorder="1" applyFont="1" applyNumberFormat="1">
      <alignment readingOrder="0" shrinkToFit="0" vertical="top" wrapText="1"/>
    </xf>
    <xf borderId="0" fillId="0" fontId="3" numFmtId="2" xfId="0" applyAlignment="1" applyFont="1" applyNumberFormat="1">
      <alignment horizontal="right" readingOrder="0"/>
    </xf>
    <xf borderId="7" fillId="4" fontId="3" numFmtId="3" xfId="0" applyAlignment="1" applyBorder="1" applyFont="1" applyNumberFormat="1">
      <alignment readingOrder="0"/>
    </xf>
    <xf borderId="0" fillId="4" fontId="3" numFmtId="3" xfId="0" applyAlignment="1" applyFont="1" applyNumberFormat="1">
      <alignment readingOrder="0"/>
    </xf>
    <xf borderId="8" fillId="4" fontId="3" numFmtId="3" xfId="0" applyAlignment="1" applyBorder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3" numFmtId="2" xfId="0" applyFont="1" applyNumberFormat="1"/>
    <xf borderId="7" fillId="4" fontId="3" numFmtId="4" xfId="0" applyBorder="1" applyFont="1" applyNumberFormat="1"/>
    <xf borderId="0" fillId="4" fontId="3" numFmtId="4" xfId="0" applyFont="1" applyNumberFormat="1"/>
    <xf borderId="0" fillId="0" fontId="3" numFmtId="4" xfId="0" applyAlignment="1" applyFont="1" applyNumberFormat="1">
      <alignment readingOrder="0" shrinkToFit="0" vertical="top" wrapText="1"/>
    </xf>
    <xf borderId="7" fillId="4" fontId="3" numFmtId="9" xfId="0" applyBorder="1" applyFont="1" applyNumberFormat="1"/>
    <xf borderId="0" fillId="4" fontId="3" numFmtId="9" xfId="0" applyFont="1" applyNumberFormat="1"/>
    <xf borderId="8" fillId="4" fontId="3" numFmtId="9" xfId="0" applyBorder="1" applyFont="1" applyNumberFormat="1"/>
    <xf borderId="2" fillId="2" fontId="3" numFmtId="0" xfId="0" applyAlignment="1" applyBorder="1" applyFont="1">
      <alignment horizontal="right" readingOrder="0"/>
    </xf>
    <xf borderId="9" fillId="4" fontId="3" numFmtId="4" xfId="0" applyAlignment="1" applyBorder="1" applyFont="1" applyNumberFormat="1">
      <alignment readingOrder="0"/>
    </xf>
    <xf borderId="10" fillId="4" fontId="3" numFmtId="4" xfId="0" applyAlignment="1" applyBorder="1" applyFont="1" applyNumberFormat="1">
      <alignment readingOrder="0"/>
    </xf>
    <xf borderId="11" fillId="4" fontId="3" numFmtId="4" xfId="0" applyAlignment="1" applyBorder="1" applyFont="1" applyNumberFormat="1">
      <alignment readingOrder="0"/>
    </xf>
    <xf borderId="0" fillId="0" fontId="3" numFmtId="0" xfId="0" applyAlignment="1" applyFont="1">
      <alignment horizontal="right" readingOrder="0"/>
    </xf>
    <xf borderId="12" fillId="5" fontId="2" numFmtId="167" xfId="0" applyAlignment="1" applyBorder="1" applyFill="1" applyFont="1" applyNumberFormat="1">
      <alignment readingOrder="0" vertical="bottom"/>
    </xf>
    <xf borderId="4" fillId="6" fontId="3" numFmtId="4" xfId="0" applyAlignment="1" applyBorder="1" applyFill="1" applyFont="1" applyNumberFormat="1">
      <alignment readingOrder="0"/>
    </xf>
    <xf borderId="5" fillId="6" fontId="3" numFmtId="4" xfId="0" applyAlignment="1" applyBorder="1" applyFont="1" applyNumberFormat="1">
      <alignment readingOrder="0"/>
    </xf>
    <xf borderId="6" fillId="6" fontId="3" numFmtId="4" xfId="0" applyAlignment="1" applyBorder="1" applyFont="1" applyNumberFormat="1">
      <alignment readingOrder="0"/>
    </xf>
    <xf borderId="13" fillId="5" fontId="3" numFmtId="168" xfId="0" applyAlignment="1" applyBorder="1" applyFont="1" applyNumberFormat="1">
      <alignment readingOrder="0" vertical="bottom"/>
    </xf>
    <xf borderId="7" fillId="6" fontId="3" numFmtId="4" xfId="0" applyAlignment="1" applyBorder="1" applyFont="1" applyNumberFormat="1">
      <alignment readingOrder="0"/>
    </xf>
    <xf borderId="0" fillId="6" fontId="3" numFmtId="4" xfId="0" applyAlignment="1" applyFont="1" applyNumberFormat="1">
      <alignment readingOrder="0"/>
    </xf>
    <xf borderId="8" fillId="6" fontId="3" numFmtId="4" xfId="0" applyAlignment="1" applyBorder="1" applyFont="1" applyNumberFormat="1">
      <alignment readingOrder="0"/>
    </xf>
    <xf borderId="13" fillId="5" fontId="2" numFmtId="10" xfId="0" applyAlignment="1" applyBorder="1" applyFont="1" applyNumberFormat="1">
      <alignment readingOrder="0" vertical="bottom"/>
    </xf>
    <xf borderId="13" fillId="5" fontId="3" numFmtId="167" xfId="0" applyAlignment="1" applyBorder="1" applyFont="1" applyNumberFormat="1">
      <alignment readingOrder="0" vertical="bottom"/>
    </xf>
    <xf borderId="9" fillId="6" fontId="3" numFmtId="4" xfId="0" applyAlignment="1" applyBorder="1" applyFont="1" applyNumberFormat="1">
      <alignment horizontal="right" readingOrder="0"/>
    </xf>
    <xf borderId="10" fillId="6" fontId="3" numFmtId="4" xfId="0" applyAlignment="1" applyBorder="1" applyFont="1" applyNumberFormat="1">
      <alignment horizontal="right" readingOrder="0"/>
    </xf>
    <xf borderId="11" fillId="6" fontId="3" numFmtId="4" xfId="0" applyAlignment="1" applyBorder="1" applyFont="1" applyNumberFormat="1">
      <alignment horizontal="right" readingOrder="0"/>
    </xf>
    <xf borderId="0" fillId="0" fontId="2" numFmtId="0" xfId="0" applyAlignment="1" applyFont="1">
      <alignment vertical="bottom"/>
    </xf>
    <xf borderId="13" fillId="5" fontId="3" numFmtId="4" xfId="0" applyAlignment="1" applyBorder="1" applyFont="1" applyNumberFormat="1">
      <alignment readingOrder="0" vertical="bottom"/>
    </xf>
    <xf borderId="4" fillId="7" fontId="3" numFmtId="2" xfId="0" applyAlignment="1" applyBorder="1" applyFill="1" applyFont="1" applyNumberFormat="1">
      <alignment horizontal="right" readingOrder="0" vertical="bottom"/>
    </xf>
    <xf borderId="5" fillId="7" fontId="3" numFmtId="2" xfId="0" applyAlignment="1" applyBorder="1" applyFont="1" applyNumberFormat="1">
      <alignment horizontal="right" readingOrder="0" vertical="bottom"/>
    </xf>
    <xf borderId="5" fillId="7" fontId="3" numFmtId="2" xfId="0" applyAlignment="1" applyBorder="1" applyFont="1" applyNumberFormat="1">
      <alignment readingOrder="0"/>
    </xf>
    <xf borderId="6" fillId="7" fontId="3" numFmtId="2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1"/>
    </xf>
    <xf borderId="13" fillId="5" fontId="3" numFmtId="4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7" fillId="7" fontId="3" numFmtId="2" xfId="0" applyAlignment="1" applyBorder="1" applyFont="1" applyNumberFormat="1">
      <alignment horizontal="right" readingOrder="0"/>
    </xf>
    <xf borderId="0" fillId="7" fontId="3" numFmtId="2" xfId="0" applyAlignment="1" applyFont="1" applyNumberFormat="1">
      <alignment horizontal="right" readingOrder="0"/>
    </xf>
    <xf borderId="0" fillId="7" fontId="3" numFmtId="2" xfId="0" applyAlignment="1" applyFont="1" applyNumberFormat="1">
      <alignment readingOrder="0"/>
    </xf>
    <xf borderId="8" fillId="7" fontId="3" numFmtId="2" xfId="0" applyAlignment="1" applyBorder="1" applyFont="1" applyNumberFormat="1">
      <alignment readingOrder="0"/>
    </xf>
    <xf borderId="7" fillId="7" fontId="3" numFmtId="2" xfId="0" applyAlignment="1" applyBorder="1" applyFont="1" applyNumberFormat="1">
      <alignment horizontal="right" readingOrder="0" vertical="bottom"/>
    </xf>
    <xf borderId="0" fillId="7" fontId="3" numFmtId="2" xfId="0" applyAlignment="1" applyFont="1" applyNumberFormat="1">
      <alignment horizontal="right" readingOrder="0" vertical="bottom"/>
    </xf>
    <xf borderId="8" fillId="7" fontId="3" numFmtId="2" xfId="0" applyAlignment="1" applyBorder="1" applyFont="1" applyNumberFormat="1">
      <alignment horizontal="right" readingOrder="0"/>
    </xf>
    <xf borderId="14" fillId="5" fontId="3" numFmtId="4" xfId="0" applyAlignment="1" applyBorder="1" applyFont="1" applyNumberFormat="1">
      <alignment readingOrder="0" vertical="bottom"/>
    </xf>
    <xf borderId="0" fillId="0" fontId="1" numFmtId="165" xfId="0" applyFont="1" applyNumberFormat="1"/>
    <xf borderId="0" fillId="0" fontId="3" numFmtId="10" xfId="0" applyAlignment="1" applyFont="1" applyNumberFormat="1">
      <alignment vertical="bottom"/>
    </xf>
    <xf borderId="9" fillId="7" fontId="3" numFmtId="2" xfId="0" applyAlignment="1" applyBorder="1" applyFont="1" applyNumberFormat="1">
      <alignment horizontal="right" readingOrder="0"/>
    </xf>
    <xf borderId="10" fillId="7" fontId="3" numFmtId="2" xfId="0" applyAlignment="1" applyBorder="1" applyFont="1" applyNumberFormat="1">
      <alignment horizontal="right" readingOrder="0"/>
    </xf>
    <xf borderId="10" fillId="7" fontId="3" numFmtId="2" xfId="0" applyAlignment="1" applyBorder="1" applyFont="1" applyNumberFormat="1">
      <alignment readingOrder="0"/>
    </xf>
    <xf borderId="11" fillId="7" fontId="3" numFmtId="2" xfId="0" applyAlignment="1" applyBorder="1" applyFont="1" applyNumberFormat="1">
      <alignment readingOrder="0"/>
    </xf>
    <xf borderId="12" fillId="4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/>
    </xf>
    <xf borderId="13" fillId="4" fontId="3" numFmtId="10" xfId="0" applyAlignment="1" applyBorder="1" applyFont="1" applyNumberFormat="1">
      <alignment readingOrder="0" shrinkToFit="0" vertical="bottom" wrapText="1"/>
    </xf>
    <xf borderId="4" fillId="8" fontId="3" numFmtId="2" xfId="0" applyAlignment="1" applyBorder="1" applyFill="1" applyFont="1" applyNumberFormat="1">
      <alignment horizontal="right" readingOrder="0" vertical="bottom"/>
    </xf>
    <xf borderId="5" fillId="8" fontId="3" numFmtId="2" xfId="0" applyAlignment="1" applyBorder="1" applyFont="1" applyNumberFormat="1">
      <alignment horizontal="right" readingOrder="0" vertical="bottom"/>
    </xf>
    <xf borderId="5" fillId="8" fontId="3" numFmtId="2" xfId="0" applyAlignment="1" applyBorder="1" applyFont="1" applyNumberFormat="1">
      <alignment readingOrder="0"/>
    </xf>
    <xf borderId="6" fillId="8" fontId="3" numFmtId="2" xfId="0" applyAlignment="1" applyBorder="1" applyFont="1" applyNumberFormat="1">
      <alignment readingOrder="0"/>
    </xf>
    <xf borderId="13" fillId="4" fontId="3" numFmtId="168" xfId="0" applyAlignment="1" applyBorder="1" applyFont="1" applyNumberFormat="1">
      <alignment readingOrder="0" shrinkToFit="0" vertical="bottom" wrapText="1"/>
    </xf>
    <xf borderId="7" fillId="8" fontId="3" numFmtId="2" xfId="0" applyAlignment="1" applyBorder="1" applyFont="1" applyNumberFormat="1">
      <alignment horizontal="right" readingOrder="0"/>
    </xf>
    <xf borderId="0" fillId="8" fontId="3" numFmtId="2" xfId="0" applyAlignment="1" applyFont="1" applyNumberFormat="1">
      <alignment horizontal="right" readingOrder="0"/>
    </xf>
    <xf borderId="0" fillId="8" fontId="3" numFmtId="2" xfId="0" applyAlignment="1" applyFont="1" applyNumberFormat="1">
      <alignment readingOrder="0"/>
    </xf>
    <xf borderId="8" fillId="8" fontId="3" numFmtId="2" xfId="0" applyAlignment="1" applyBorder="1" applyFont="1" applyNumberFormat="1">
      <alignment readingOrder="0"/>
    </xf>
    <xf borderId="13" fillId="4" fontId="3" numFmtId="4" xfId="0" applyAlignment="1" applyBorder="1" applyFont="1" applyNumberFormat="1">
      <alignment readingOrder="0" shrinkToFit="0" vertical="bottom" wrapText="1"/>
    </xf>
    <xf borderId="13" fillId="4" fontId="2" numFmtId="167" xfId="0" applyAlignment="1" applyBorder="1" applyFont="1" applyNumberFormat="1">
      <alignment shrinkToFit="0" vertical="bottom" wrapText="1"/>
    </xf>
    <xf borderId="0" fillId="0" fontId="3" numFmtId="0" xfId="0" applyAlignment="1" applyFont="1">
      <alignment horizontal="right" readingOrder="0" vertical="bottom"/>
    </xf>
    <xf borderId="9" fillId="8" fontId="3" numFmtId="2" xfId="0" applyAlignment="1" applyBorder="1" applyFont="1" applyNumberFormat="1">
      <alignment horizontal="right" readingOrder="0"/>
    </xf>
    <xf borderId="10" fillId="8" fontId="3" numFmtId="2" xfId="0" applyAlignment="1" applyBorder="1" applyFont="1" applyNumberFormat="1">
      <alignment horizontal="right" readingOrder="0"/>
    </xf>
    <xf borderId="10" fillId="8" fontId="3" numFmtId="2" xfId="0" applyAlignment="1" applyBorder="1" applyFont="1" applyNumberFormat="1">
      <alignment readingOrder="0"/>
    </xf>
    <xf borderId="11" fillId="8" fontId="3" numFmtId="2" xfId="0" applyAlignment="1" applyBorder="1" applyFont="1" applyNumberFormat="1">
      <alignment readingOrder="0"/>
    </xf>
    <xf borderId="14" fillId="4" fontId="1" numFmtId="10" xfId="0" applyBorder="1" applyFont="1" applyNumberFormat="1"/>
    <xf borderId="0" fillId="0" fontId="3" numFmtId="0" xfId="0" applyAlignment="1" applyFont="1">
      <alignment horizontal="left" readingOrder="0"/>
    </xf>
    <xf borderId="0" fillId="0" fontId="3" numFmtId="49" xfId="0" applyFont="1" applyNumberFormat="1"/>
    <xf borderId="0" fillId="0" fontId="1" numFmtId="10" xfId="0" applyFont="1" applyNumberFormat="1"/>
    <xf borderId="1" fillId="9" fontId="2" numFmtId="0" xfId="0" applyAlignment="1" applyBorder="1" applyFill="1" applyFont="1">
      <alignment horizontal="left" readingOrder="0" vertical="bottom"/>
    </xf>
    <xf borderId="3" fillId="9" fontId="2" numFmtId="0" xfId="0" applyAlignment="1" applyBorder="1" applyFont="1">
      <alignment horizontal="right" readingOrder="0" vertical="bottom"/>
    </xf>
    <xf borderId="3" fillId="9" fontId="2" numFmtId="10" xfId="0" applyAlignment="1" applyBorder="1" applyFont="1" applyNumberFormat="1">
      <alignment horizontal="right" vertical="bottom"/>
    </xf>
    <xf borderId="3" fillId="9" fontId="2" numFmtId="165" xfId="0" applyAlignment="1" applyBorder="1" applyFont="1" applyNumberFormat="1">
      <alignment horizontal="right" vertical="bottom"/>
    </xf>
    <xf borderId="3" fillId="9" fontId="2" numFmtId="0" xfId="0" applyAlignment="1" applyBorder="1" applyFont="1">
      <alignment horizontal="right" readingOrder="0" shrinkToFit="0" vertical="top" wrapText="1"/>
    </xf>
    <xf borderId="2" fillId="9" fontId="2" numFmtId="0" xfId="0" applyAlignment="1" applyBorder="1" applyFont="1">
      <alignment horizontal="right" readingOrder="0" shrinkToFit="0" vertical="top" wrapText="1"/>
    </xf>
    <xf borderId="12" fillId="10" fontId="3" numFmtId="168" xfId="0" applyBorder="1" applyFill="1" applyFont="1" applyNumberFormat="1"/>
    <xf borderId="0" fillId="0" fontId="2" numFmtId="0" xfId="0" applyAlignment="1" applyFont="1">
      <alignment horizontal="left" vertical="bottom"/>
    </xf>
    <xf borderId="0" fillId="0" fontId="2" numFmtId="1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14" fillId="10" fontId="3" numFmtId="167" xfId="0" applyBorder="1" applyFont="1" applyNumberFormat="1"/>
    <xf borderId="0" fillId="0" fontId="3" numFmtId="0" xfId="0" applyAlignment="1" applyFont="1">
      <alignment horizontal="left" readingOrder="0" vertical="bottom"/>
    </xf>
    <xf borderId="4" fillId="6" fontId="3" numFmtId="169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horizontal="right" readingOrder="0" vertical="bottom"/>
    </xf>
    <xf borderId="5" fillId="6" fontId="3" numFmtId="169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readingOrder="0" vertical="bottom"/>
    </xf>
    <xf borderId="5" fillId="6" fontId="3" numFmtId="169" xfId="0" applyAlignment="1" applyBorder="1" applyFont="1" applyNumberFormat="1">
      <alignment readingOrder="0" shrinkToFit="0" vertical="top" wrapText="1"/>
    </xf>
    <xf borderId="6" fillId="6" fontId="3" numFmtId="169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horizontal="left" vertical="bottom"/>
    </xf>
    <xf borderId="7" fillId="6" fontId="3" numFmtId="169" xfId="0" applyAlignment="1" applyBorder="1" applyFont="1" applyNumberFormat="1">
      <alignment horizontal="right" readingOrder="0" vertical="bottom"/>
    </xf>
    <xf borderId="0" fillId="6" fontId="3" numFmtId="10" xfId="0" applyAlignment="1" applyFont="1" applyNumberFormat="1">
      <alignment horizontal="right" readingOrder="0" vertical="bottom"/>
    </xf>
    <xf borderId="0" fillId="6" fontId="3" numFmtId="169" xfId="0" applyAlignment="1" applyFont="1" applyNumberFormat="1">
      <alignment horizontal="right" vertical="bottom"/>
    </xf>
    <xf borderId="0" fillId="6" fontId="3" numFmtId="10" xfId="0" applyAlignment="1" applyFont="1" applyNumberFormat="1">
      <alignment readingOrder="0" vertical="bottom"/>
    </xf>
    <xf borderId="0" fillId="6" fontId="3" numFmtId="169" xfId="0" applyAlignment="1" applyFont="1" applyNumberFormat="1">
      <alignment readingOrder="0" shrinkToFit="0" vertical="top" wrapText="1"/>
    </xf>
    <xf borderId="8" fillId="6" fontId="3" numFmtId="169" xfId="0" applyAlignment="1" applyBorder="1" applyFont="1" applyNumberFormat="1">
      <alignment readingOrder="0" shrinkToFit="0" vertical="top" wrapText="1"/>
    </xf>
    <xf borderId="0" fillId="0" fontId="3" numFmtId="10" xfId="0" applyAlignment="1" applyFont="1" applyNumberFormat="1">
      <alignment readingOrder="0" shrinkToFit="0" vertical="top" wrapText="1"/>
    </xf>
    <xf borderId="12" fillId="7" fontId="3" numFmtId="10" xfId="0" applyAlignment="1" applyBorder="1" applyFont="1" applyNumberFormat="1">
      <alignment readingOrder="0"/>
    </xf>
    <xf borderId="7" fillId="6" fontId="3" numFmtId="169" xfId="0" applyAlignment="1" applyBorder="1" applyFont="1" applyNumberFormat="1">
      <alignment horizontal="right" vertical="bottom"/>
    </xf>
    <xf borderId="0" fillId="6" fontId="3" numFmtId="10" xfId="0" applyAlignment="1" applyFont="1" applyNumberFormat="1">
      <alignment horizontal="right" vertical="bottom"/>
    </xf>
    <xf borderId="13" fillId="7" fontId="3" numFmtId="168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readingOrder="0" vertical="bottom"/>
    </xf>
    <xf borderId="13" fillId="7" fontId="5" numFmtId="168" xfId="0" applyAlignment="1" applyBorder="1" applyFont="1" applyNumberFormat="1">
      <alignment horizontal="right" readingOrder="0"/>
    </xf>
    <xf borderId="14" fillId="7" fontId="2" numFmtId="10" xfId="0" applyAlignment="1" applyBorder="1" applyFont="1" applyNumberFormat="1">
      <alignment vertical="bottom"/>
    </xf>
    <xf borderId="0" fillId="0" fontId="3" numFmtId="0" xfId="0" applyAlignment="1" applyFont="1">
      <alignment horizontal="left" vertical="bottom"/>
    </xf>
    <xf borderId="0" fillId="6" fontId="3" numFmtId="169" xfId="0" applyFont="1" applyNumberFormat="1"/>
    <xf borderId="8" fillId="6" fontId="3" numFmtId="169" xfId="0" applyBorder="1" applyFont="1" applyNumberFormat="1"/>
    <xf borderId="12" fillId="3" fontId="3" numFmtId="9" xfId="0" applyAlignment="1" applyBorder="1" applyFont="1" applyNumberFormat="1">
      <alignment readingOrder="0"/>
    </xf>
    <xf borderId="0" fillId="6" fontId="3" numFmtId="10" xfId="0" applyAlignment="1" applyFont="1" applyNumberFormat="1">
      <alignment vertical="bottom"/>
    </xf>
    <xf borderId="13" fillId="3" fontId="3" numFmtId="10" xfId="0" applyBorder="1" applyFont="1" applyNumberFormat="1"/>
    <xf borderId="13" fillId="3" fontId="3" numFmtId="10" xfId="0" applyAlignment="1" applyBorder="1" applyFont="1" applyNumberFormat="1">
      <alignment readingOrder="0"/>
    </xf>
    <xf borderId="13" fillId="3" fontId="3" numFmtId="168" xfId="0" applyBorder="1" applyFont="1" applyNumberFormat="1"/>
    <xf borderId="13" fillId="3" fontId="1" numFmtId="167" xfId="0" applyBorder="1" applyFont="1" applyNumberFormat="1"/>
    <xf borderId="14" fillId="3" fontId="2" numFmtId="10" xfId="0" applyBorder="1" applyFont="1" applyNumberFormat="1"/>
    <xf borderId="0" fillId="0" fontId="1" numFmtId="169" xfId="0" applyFont="1" applyNumberFormat="1"/>
    <xf borderId="9" fillId="6" fontId="3" numFmtId="169" xfId="0" applyAlignment="1" applyBorder="1" applyFont="1" applyNumberFormat="1">
      <alignment horizontal="right" readingOrder="0" vertical="bottom"/>
    </xf>
    <xf borderId="10" fillId="6" fontId="3" numFmtId="10" xfId="0" applyAlignment="1" applyBorder="1" applyFont="1" applyNumberFormat="1">
      <alignment horizontal="right" readingOrder="0" vertical="bottom"/>
    </xf>
    <xf borderId="10" fillId="6" fontId="3" numFmtId="169" xfId="0" applyAlignment="1" applyBorder="1" applyFont="1" applyNumberFormat="1">
      <alignment horizontal="right" vertical="bottom"/>
    </xf>
    <xf borderId="10" fillId="6" fontId="3" numFmtId="10" xfId="0" applyAlignment="1" applyBorder="1" applyFont="1" applyNumberFormat="1">
      <alignment vertical="bottom"/>
    </xf>
    <xf borderId="10" fillId="6" fontId="3" numFmtId="169" xfId="0" applyAlignment="1" applyBorder="1" applyFont="1" applyNumberFormat="1">
      <alignment readingOrder="0" shrinkToFit="0" vertical="top" wrapText="1"/>
    </xf>
    <xf borderId="11" fillId="6" fontId="3" numFmtId="169" xfId="0" applyBorder="1" applyFont="1" applyNumberFormat="1"/>
    <xf borderId="0" fillId="0" fontId="3" numFmtId="10" xfId="0" applyAlignment="1" applyFont="1" applyNumberFormat="1">
      <alignment horizontal="right" readingOrder="0" vertical="bottom"/>
    </xf>
    <xf borderId="0" fillId="0" fontId="1" numFmtId="165" xfId="0" applyFont="1" applyNumberFormat="1"/>
    <xf borderId="3" fillId="9" fontId="2" numFmtId="165" xfId="0" applyAlignment="1" applyBorder="1" applyFont="1" applyNumberFormat="1">
      <alignment horizontal="right" readingOrder="0" vertical="bottom"/>
    </xf>
    <xf borderId="0" fillId="0" fontId="1" numFmtId="9" xfId="0" applyFont="1" applyNumberFormat="1"/>
    <xf borderId="5" fillId="6" fontId="3" numFmtId="169" xfId="0" applyAlignment="1" applyBorder="1" applyFont="1" applyNumberFormat="1">
      <alignment horizontal="right" vertical="bottom"/>
    </xf>
    <xf borderId="5" fillId="6" fontId="3" numFmtId="169" xfId="0" applyAlignment="1" applyBorder="1" applyFont="1" applyNumberFormat="1">
      <alignment vertical="bottom"/>
    </xf>
    <xf borderId="6" fillId="6" fontId="3" numFmtId="4" xfId="0" applyAlignment="1" applyBorder="1" applyFont="1" applyNumberFormat="1">
      <alignment readingOrder="0" shrinkToFit="0" vertical="top" wrapText="1"/>
    </xf>
    <xf borderId="0" fillId="6" fontId="3" numFmtId="169" xfId="0" applyAlignment="1" applyFont="1" applyNumberFormat="1">
      <alignment vertical="bottom"/>
    </xf>
    <xf borderId="8" fillId="6" fontId="3" numFmtId="3" xfId="0" applyBorder="1" applyFont="1" applyNumberFormat="1"/>
    <xf borderId="8" fillId="6" fontId="3" numFmtId="3" xfId="0" applyAlignment="1" applyBorder="1" applyFont="1" applyNumberFormat="1">
      <alignment readingOrder="0" shrinkToFit="0" vertical="top" wrapText="1"/>
    </xf>
    <xf borderId="0" fillId="0" fontId="2" numFmtId="10" xfId="0" applyFont="1" applyNumberFormat="1"/>
    <xf borderId="10" fillId="6" fontId="3" numFmtId="169" xfId="0" applyAlignment="1" applyBorder="1" applyFont="1" applyNumberFormat="1">
      <alignment vertical="bottom"/>
    </xf>
    <xf borderId="10" fillId="6" fontId="3" numFmtId="169" xfId="0" applyBorder="1" applyFont="1" applyNumberFormat="1"/>
    <xf borderId="11" fillId="6" fontId="3" numFmtId="3" xfId="0" applyBorder="1" applyFont="1" applyNumberFormat="1"/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10" xfId="0" applyAlignment="1" applyFont="1" applyNumberFormat="1">
      <alignment shrinkToFit="0" vertical="bottom" wrapText="1"/>
    </xf>
    <xf borderId="0" fillId="11" fontId="8" numFmtId="0" xfId="0" applyAlignment="1" applyFill="1" applyFont="1">
      <alignment horizontal="left" readingOrder="0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7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152400</xdr:rowOff>
    </xdr:from>
    <xdr:ext cx="3009900" cy="1628775"/>
    <xdr:sp>
      <xdr:nvSpPr>
        <xdr:cNvPr id="3" name="Shape 3"/>
        <xdr:cNvSpPr txBox="1"/>
      </xdr:nvSpPr>
      <xdr:spPr>
        <a:xfrm>
          <a:off x="673050" y="726025"/>
          <a:ext cx="2832600" cy="15393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Negative Sentiment Priced In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Market is pricing in sustained market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downturn paired with a harmful Trump administration leaves room for upside surprise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Share Buybacks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Room for Multiple Expansion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Local currency devaluation + exports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  <xdr:oneCellAnchor>
    <xdr:from>
      <xdr:col>0</xdr:col>
      <xdr:colOff>285750</xdr:colOff>
      <xdr:row>57</xdr:row>
      <xdr:rowOff>171450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 t="s">
        <v>0</v>
      </c>
      <c r="C2" s="4">
        <v>45659.0</v>
      </c>
      <c r="D2" s="5"/>
      <c r="E2" s="6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8" t="s">
        <v>7</v>
      </c>
      <c r="L2" s="5"/>
      <c r="M2" s="9" t="s">
        <v>8</v>
      </c>
      <c r="N2" s="5"/>
    </row>
    <row r="3">
      <c r="A3" s="1"/>
      <c r="B3" s="10"/>
      <c r="C3" s="11"/>
      <c r="D3" s="12"/>
      <c r="E3" s="13"/>
      <c r="F3" s="5"/>
      <c r="G3" s="5"/>
      <c r="H3" s="5"/>
      <c r="I3" s="5"/>
      <c r="J3" s="5"/>
      <c r="K3" s="14"/>
      <c r="L3" s="14"/>
      <c r="M3" s="15">
        <f>IFERROR(__xludf.DUMMYFUNCTION("GOOGLEFINANCE(""CURRENCY:USDCNY"")"),7.29949918)</f>
        <v>7.29949918</v>
      </c>
      <c r="N3" s="5"/>
    </row>
    <row r="4">
      <c r="B4" s="5"/>
      <c r="C4" s="16"/>
      <c r="D4" s="17"/>
      <c r="E4" s="11" t="s">
        <v>9</v>
      </c>
      <c r="F4" s="18">
        <v>509711.0</v>
      </c>
      <c r="G4" s="19">
        <v>717289.0</v>
      </c>
      <c r="H4" s="19">
        <v>853062.0</v>
      </c>
      <c r="I4" s="19">
        <v>868687.0</v>
      </c>
      <c r="J4" s="19">
        <v>941168.0</v>
      </c>
      <c r="K4" s="20">
        <v>961961.0</v>
      </c>
      <c r="L4" s="14"/>
      <c r="M4" s="5"/>
      <c r="N4" s="5"/>
    </row>
    <row r="5">
      <c r="B5" s="5"/>
      <c r="C5" s="21"/>
      <c r="D5" s="17"/>
      <c r="E5" s="22" t="s">
        <v>10</v>
      </c>
      <c r="F5" s="23"/>
      <c r="G5" s="24">
        <f t="shared" ref="G5:K5" si="1">(G4-F4)/F4</f>
        <v>0.4072464593</v>
      </c>
      <c r="H5" s="24">
        <f t="shared" si="1"/>
        <v>0.1892863267</v>
      </c>
      <c r="I5" s="24">
        <f t="shared" si="1"/>
        <v>0.01831637091</v>
      </c>
      <c r="J5" s="24">
        <f t="shared" si="1"/>
        <v>0.08343741762</v>
      </c>
      <c r="K5" s="25">
        <f t="shared" si="1"/>
        <v>0.02209276133</v>
      </c>
      <c r="L5" s="14"/>
      <c r="M5" s="5"/>
      <c r="N5" s="5"/>
    </row>
    <row r="6">
      <c r="B6" s="5"/>
      <c r="C6" s="21"/>
      <c r="D6" s="5"/>
      <c r="E6" s="11" t="s">
        <v>11</v>
      </c>
      <c r="F6" s="26">
        <v>282367.0</v>
      </c>
      <c r="G6" s="27">
        <v>421205.0</v>
      </c>
      <c r="H6" s="27">
        <v>549450.0</v>
      </c>
      <c r="I6" s="27">
        <v>549695.0</v>
      </c>
      <c r="J6" s="27">
        <v>586323.0</v>
      </c>
      <c r="K6" s="28">
        <v>594447.0</v>
      </c>
      <c r="L6" s="14"/>
      <c r="M6" s="5"/>
      <c r="N6" s="5"/>
    </row>
    <row r="7">
      <c r="B7" s="5"/>
      <c r="C7" s="21"/>
      <c r="D7" s="29"/>
      <c r="E7" s="11" t="s">
        <v>12</v>
      </c>
      <c r="F7" s="30">
        <f t="shared" ref="F7:K7" si="2">(F4-F6)/F4</f>
        <v>0.4460252967</v>
      </c>
      <c r="G7" s="31">
        <f t="shared" si="2"/>
        <v>0.4127820167</v>
      </c>
      <c r="H7" s="31">
        <f t="shared" si="2"/>
        <v>0.3559084803</v>
      </c>
      <c r="I7" s="31">
        <f t="shared" si="2"/>
        <v>0.3672116654</v>
      </c>
      <c r="J7" s="31">
        <f t="shared" si="2"/>
        <v>0.3770262057</v>
      </c>
      <c r="K7" s="32">
        <f t="shared" si="2"/>
        <v>0.3820466734</v>
      </c>
      <c r="L7" s="15"/>
      <c r="M7" s="15"/>
      <c r="N7" s="15"/>
    </row>
    <row r="8">
      <c r="A8" s="1"/>
      <c r="B8" s="21"/>
      <c r="C8" s="16"/>
      <c r="D8" s="5"/>
      <c r="E8" s="11" t="s">
        <v>13</v>
      </c>
      <c r="F8" s="33">
        <f t="shared" ref="F8:K8" si="3">F4-F6</f>
        <v>227344</v>
      </c>
      <c r="G8" s="34">
        <f t="shared" si="3"/>
        <v>296084</v>
      </c>
      <c r="H8" s="34">
        <f t="shared" si="3"/>
        <v>303612</v>
      </c>
      <c r="I8" s="34">
        <f t="shared" si="3"/>
        <v>318992</v>
      </c>
      <c r="J8" s="34">
        <f t="shared" si="3"/>
        <v>354845</v>
      </c>
      <c r="K8" s="35">
        <f t="shared" si="3"/>
        <v>367514</v>
      </c>
      <c r="L8" s="5"/>
      <c r="M8" s="5"/>
      <c r="N8" s="5"/>
    </row>
    <row r="9">
      <c r="A9" s="1"/>
      <c r="B9" s="21"/>
      <c r="C9" s="16"/>
      <c r="D9" s="5"/>
      <c r="E9" s="11" t="s">
        <v>14</v>
      </c>
      <c r="F9" s="30"/>
      <c r="G9" s="31">
        <f t="shared" ref="G9:K9" si="4">(G8-F8)/F8</f>
        <v>0.3023611795</v>
      </c>
      <c r="H9" s="31">
        <f t="shared" si="4"/>
        <v>0.02542521717</v>
      </c>
      <c r="I9" s="31">
        <f t="shared" si="4"/>
        <v>0.05065675928</v>
      </c>
      <c r="J9" s="31">
        <f t="shared" si="4"/>
        <v>0.1123946682</v>
      </c>
      <c r="K9" s="32">
        <f t="shared" si="4"/>
        <v>0.03570291254</v>
      </c>
      <c r="L9" s="5"/>
      <c r="M9" s="5"/>
      <c r="N9" s="5"/>
    </row>
    <row r="10">
      <c r="B10" s="5"/>
      <c r="C10" s="5"/>
      <c r="D10" s="5"/>
      <c r="E10" s="36" t="s">
        <v>15</v>
      </c>
      <c r="F10" s="37">
        <v>78870.0</v>
      </c>
      <c r="G10" s="38">
        <v>136743.0</v>
      </c>
      <c r="H10" s="39">
        <v>151721.0</v>
      </c>
      <c r="I10" s="39">
        <v>145679.0</v>
      </c>
      <c r="J10" s="39">
        <v>157126.0</v>
      </c>
      <c r="K10" s="40">
        <v>176113.0</v>
      </c>
      <c r="L10" s="5"/>
      <c r="M10" s="5"/>
      <c r="N10" s="5"/>
    </row>
    <row r="11">
      <c r="A11" s="1"/>
      <c r="B11" s="21"/>
      <c r="C11" s="5"/>
      <c r="D11" s="41"/>
      <c r="E11" s="36" t="s">
        <v>16</v>
      </c>
      <c r="F11" s="26">
        <v>43080.0</v>
      </c>
      <c r="G11" s="27">
        <v>57236.0</v>
      </c>
      <c r="H11" s="39">
        <v>55465.0</v>
      </c>
      <c r="I11" s="39">
        <v>56744.0</v>
      </c>
      <c r="J11" s="39">
        <v>52256.0</v>
      </c>
      <c r="K11" s="40">
        <v>55128.0</v>
      </c>
      <c r="L11" s="5"/>
      <c r="M11" s="5"/>
      <c r="N11" s="5"/>
    </row>
    <row r="12">
      <c r="A12" s="1"/>
      <c r="B12" s="21"/>
      <c r="C12" s="5"/>
      <c r="D12" s="41"/>
      <c r="E12" s="36" t="s">
        <v>17</v>
      </c>
      <c r="F12" s="26">
        <v>12388.0</v>
      </c>
      <c r="G12" s="27">
        <v>12427.0</v>
      </c>
      <c r="H12" s="39">
        <v>11647.0</v>
      </c>
      <c r="I12" s="39">
        <v>13504.0</v>
      </c>
      <c r="J12" s="39">
        <v>21592.0</v>
      </c>
      <c r="K12" s="40">
        <v>20123.0</v>
      </c>
      <c r="L12" s="5"/>
      <c r="M12" s="5"/>
      <c r="N12" s="5"/>
    </row>
    <row r="13">
      <c r="A13" s="1"/>
      <c r="B13" s="21"/>
      <c r="C13" s="41"/>
      <c r="D13" s="42"/>
      <c r="E13" s="43" t="s">
        <v>18</v>
      </c>
      <c r="F13" s="37">
        <f t="shared" ref="F13:K13" si="5">F6+F10+F11+F12</f>
        <v>416705</v>
      </c>
      <c r="G13" s="38">
        <f t="shared" si="5"/>
        <v>627611</v>
      </c>
      <c r="H13" s="38">
        <f t="shared" si="5"/>
        <v>768283</v>
      </c>
      <c r="I13" s="38">
        <f t="shared" si="5"/>
        <v>765622</v>
      </c>
      <c r="J13" s="38">
        <f t="shared" si="5"/>
        <v>817297</v>
      </c>
      <c r="K13" s="44">
        <f t="shared" si="5"/>
        <v>845811</v>
      </c>
      <c r="L13" s="5"/>
      <c r="M13" s="5"/>
      <c r="N13" s="5"/>
    </row>
    <row r="14">
      <c r="A14" s="1"/>
      <c r="B14" s="21"/>
      <c r="C14" s="41"/>
      <c r="D14" s="45"/>
      <c r="E14" s="43" t="s">
        <v>19</v>
      </c>
      <c r="F14" s="33">
        <f t="shared" ref="F14:K14" si="6">F4-F13</f>
        <v>93006</v>
      </c>
      <c r="G14" s="34">
        <f t="shared" si="6"/>
        <v>89678</v>
      </c>
      <c r="H14" s="46">
        <f t="shared" si="6"/>
        <v>84779</v>
      </c>
      <c r="I14" s="46">
        <f t="shared" si="6"/>
        <v>103065</v>
      </c>
      <c r="J14" s="46">
        <f t="shared" si="6"/>
        <v>123871</v>
      </c>
      <c r="K14" s="47">
        <f t="shared" si="6"/>
        <v>116150</v>
      </c>
      <c r="L14" s="5"/>
      <c r="M14" s="5"/>
      <c r="N14" s="5"/>
    </row>
    <row r="15">
      <c r="A15" s="1"/>
      <c r="B15" s="21"/>
      <c r="C15" s="41"/>
      <c r="D15" s="48"/>
      <c r="E15" s="36" t="s">
        <v>20</v>
      </c>
      <c r="F15" s="30">
        <f t="shared" ref="F15:K15" si="7">F14/F4</f>
        <v>0.1824681045</v>
      </c>
      <c r="G15" s="31">
        <f t="shared" si="7"/>
        <v>0.1250235261</v>
      </c>
      <c r="H15" s="31">
        <f t="shared" si="7"/>
        <v>0.09938199099</v>
      </c>
      <c r="I15" s="31">
        <f t="shared" si="7"/>
        <v>0.1186445751</v>
      </c>
      <c r="J15" s="31">
        <f t="shared" si="7"/>
        <v>0.131614122</v>
      </c>
      <c r="K15" s="32">
        <f t="shared" si="7"/>
        <v>0.1207429407</v>
      </c>
      <c r="L15" s="5"/>
      <c r="M15" s="5"/>
      <c r="N15" s="5"/>
    </row>
    <row r="16">
      <c r="A16" s="1"/>
      <c r="B16" s="21"/>
      <c r="C16" s="41"/>
      <c r="D16" s="48"/>
      <c r="E16" s="43" t="s">
        <v>21</v>
      </c>
      <c r="F16" s="49">
        <v>67776.0</v>
      </c>
      <c r="G16" s="50">
        <v>68318.0</v>
      </c>
      <c r="H16" s="50">
        <v>-20611.0</v>
      </c>
      <c r="I16" s="50">
        <v>-16989.0</v>
      </c>
      <c r="J16" s="50">
        <v>-17911.0</v>
      </c>
      <c r="K16" s="51">
        <v>-997.0</v>
      </c>
      <c r="L16" s="5"/>
      <c r="M16" s="5"/>
      <c r="N16" s="5"/>
    </row>
    <row r="17">
      <c r="A17" s="1"/>
      <c r="B17" s="21"/>
      <c r="C17" s="41"/>
      <c r="D17" s="48"/>
      <c r="E17" s="36" t="s">
        <v>22</v>
      </c>
      <c r="F17" s="49">
        <v>6863.0</v>
      </c>
      <c r="G17" s="50">
        <v>7582.0</v>
      </c>
      <c r="H17" s="50">
        <v>-14618.0</v>
      </c>
      <c r="I17" s="50">
        <v>3109.0</v>
      </c>
      <c r="J17" s="50">
        <v>-4364.0</v>
      </c>
      <c r="K17" s="51">
        <v>-6309.0</v>
      </c>
      <c r="L17" s="5"/>
      <c r="M17" s="5"/>
      <c r="N17" s="5"/>
    </row>
    <row r="18">
      <c r="A18" s="1"/>
      <c r="B18" s="21"/>
      <c r="C18" s="21"/>
      <c r="D18" s="52"/>
      <c r="E18" s="43" t="s">
        <v>23</v>
      </c>
      <c r="F18" s="26">
        <v>166645.0</v>
      </c>
      <c r="G18" s="27">
        <v>165578.0</v>
      </c>
      <c r="H18" s="39">
        <v>59550.0</v>
      </c>
      <c r="I18" s="39">
        <v>89185.0</v>
      </c>
      <c r="J18" s="39">
        <v>101596.0</v>
      </c>
      <c r="K18" s="40">
        <v>109695.0</v>
      </c>
      <c r="L18" s="53"/>
      <c r="M18" s="53"/>
      <c r="N18" s="53"/>
      <c r="O18" s="54"/>
    </row>
    <row r="19">
      <c r="A19" s="1"/>
      <c r="B19" s="21"/>
      <c r="C19" s="15"/>
      <c r="D19" s="55"/>
      <c r="E19" s="43" t="s">
        <v>24</v>
      </c>
      <c r="F19" s="26">
        <v>20562.0</v>
      </c>
      <c r="G19" s="27">
        <v>29278.0</v>
      </c>
      <c r="H19" s="27">
        <v>26815.0</v>
      </c>
      <c r="I19" s="27">
        <v>15549.0</v>
      </c>
      <c r="J19" s="27">
        <v>22529.0</v>
      </c>
      <c r="K19" s="28">
        <v>28152.0</v>
      </c>
      <c r="L19" s="53"/>
      <c r="M19" s="53" t="s">
        <v>25</v>
      </c>
      <c r="N19" s="53"/>
      <c r="O19" s="54"/>
    </row>
    <row r="20">
      <c r="A20" s="1"/>
      <c r="B20" s="21"/>
      <c r="C20" s="21"/>
      <c r="D20" s="55"/>
      <c r="E20" s="43" t="s">
        <v>26</v>
      </c>
      <c r="F20" s="56">
        <f t="shared" ref="F20:I20" si="8">F18-F19</f>
        <v>146083</v>
      </c>
      <c r="G20" s="57">
        <f t="shared" si="8"/>
        <v>136300</v>
      </c>
      <c r="H20" s="39">
        <f t="shared" si="8"/>
        <v>32735</v>
      </c>
      <c r="I20" s="39">
        <f t="shared" si="8"/>
        <v>73636</v>
      </c>
      <c r="J20" s="39">
        <f>79741</f>
        <v>79741</v>
      </c>
      <c r="K20" s="40">
        <v>85846.0</v>
      </c>
      <c r="L20" s="53"/>
      <c r="M20" s="58">
        <f>C26/G20</f>
        <v>10.86998847</v>
      </c>
      <c r="N20" s="53"/>
      <c r="O20" s="54"/>
    </row>
    <row r="21">
      <c r="B21" s="5"/>
      <c r="C21" s="5"/>
      <c r="D21" s="5"/>
      <c r="E21" s="36" t="s">
        <v>27</v>
      </c>
      <c r="F21" s="59"/>
      <c r="G21" s="60">
        <f t="shared" ref="G21:K21" si="9">(G20-F20)/ABS(F20)</f>
        <v>-0.06696877802</v>
      </c>
      <c r="H21" s="60">
        <f t="shared" si="9"/>
        <v>-0.7598312546</v>
      </c>
      <c r="I21" s="60">
        <f t="shared" si="9"/>
        <v>1.249457767</v>
      </c>
      <c r="J21" s="60">
        <f t="shared" si="9"/>
        <v>0.08290781683</v>
      </c>
      <c r="K21" s="61">
        <f t="shared" si="9"/>
        <v>0.07656036418</v>
      </c>
      <c r="L21" s="53"/>
      <c r="M21" s="53"/>
      <c r="N21" s="53"/>
      <c r="O21" s="54"/>
    </row>
    <row r="22">
      <c r="B22" s="5"/>
      <c r="C22" s="21"/>
      <c r="D22" s="52"/>
      <c r="E22" s="43" t="s">
        <v>28</v>
      </c>
      <c r="F22" s="26">
        <f t="shared" ref="F22:K22" si="10">F20/F23</f>
        <v>55.60829844</v>
      </c>
      <c r="G22" s="27">
        <f t="shared" si="10"/>
        <v>50.44411547</v>
      </c>
      <c r="H22" s="39">
        <f t="shared" si="10"/>
        <v>12.15107647</v>
      </c>
      <c r="I22" s="39">
        <f t="shared" si="10"/>
        <v>28.08390542</v>
      </c>
      <c r="J22" s="39">
        <f t="shared" si="10"/>
        <v>31.61816019</v>
      </c>
      <c r="K22" s="40">
        <f t="shared" si="10"/>
        <v>35.22609766</v>
      </c>
      <c r="L22" s="53"/>
      <c r="M22" s="53"/>
      <c r="N22" s="53"/>
      <c r="O22" s="54"/>
    </row>
    <row r="23">
      <c r="A23" s="1"/>
      <c r="B23" s="3" t="s">
        <v>29</v>
      </c>
      <c r="C23" s="62" t="s">
        <v>30</v>
      </c>
      <c r="D23" s="5"/>
      <c r="E23" s="43" t="s">
        <v>31</v>
      </c>
      <c r="F23" s="63">
        <v>2627.0</v>
      </c>
      <c r="G23" s="64">
        <v>2702.0</v>
      </c>
      <c r="H23" s="64">
        <v>2694.0</v>
      </c>
      <c r="I23" s="64">
        <v>2622.0</v>
      </c>
      <c r="J23" s="64">
        <v>2522.0</v>
      </c>
      <c r="K23" s="65">
        <v>2437.0</v>
      </c>
      <c r="L23" s="53"/>
      <c r="M23" s="53"/>
      <c r="N23" s="53"/>
      <c r="O23" s="54"/>
    </row>
    <row r="24">
      <c r="A24" s="1"/>
      <c r="B24" s="22"/>
      <c r="C24" s="5"/>
      <c r="D24" s="5"/>
      <c r="E24" s="22"/>
      <c r="F24" s="66"/>
      <c r="G24" s="66"/>
      <c r="H24" s="15"/>
      <c r="I24" s="15"/>
      <c r="J24" s="15"/>
      <c r="K24" s="5"/>
      <c r="L24" s="53"/>
      <c r="M24" s="53"/>
      <c r="N24" s="53"/>
      <c r="O24" s="54"/>
    </row>
    <row r="25">
      <c r="A25" s="1"/>
      <c r="B25" s="22" t="s">
        <v>32</v>
      </c>
      <c r="C25" s="67">
        <f>IFERROR(__xludf.DUMMYFUNCTION("GOOGLEFINANCE(B23)*M3"),622.1363151114)</f>
        <v>622.1363151</v>
      </c>
      <c r="D25" s="5"/>
      <c r="E25" s="22" t="s">
        <v>33</v>
      </c>
      <c r="F25" s="68">
        <v>125430.0</v>
      </c>
      <c r="G25" s="69">
        <v>149153.0</v>
      </c>
      <c r="H25" s="69">
        <v>141344.0</v>
      </c>
      <c r="I25" s="69">
        <v>161354.0</v>
      </c>
      <c r="J25" s="69">
        <v>205614.0</v>
      </c>
      <c r="K25" s="70">
        <v>205614.0</v>
      </c>
      <c r="L25" s="53"/>
      <c r="M25" s="53"/>
      <c r="N25" s="53"/>
      <c r="O25" s="54"/>
    </row>
    <row r="26">
      <c r="A26" s="1"/>
      <c r="B26" s="11" t="s">
        <v>34</v>
      </c>
      <c r="C26" s="71">
        <f>IFERROR(__xludf.DUMMYFUNCTION("GOOGLEFINANCE(B23, ""marketcap"")*M3/1000000"),1481579.4278882577)</f>
        <v>1481579.428</v>
      </c>
      <c r="D26" s="5"/>
      <c r="E26" s="22" t="s">
        <v>35</v>
      </c>
      <c r="F26" s="72">
        <v>755401.0</v>
      </c>
      <c r="G26" s="73">
        <v>937470.0</v>
      </c>
      <c r="H26" s="73">
        <v>948479.0</v>
      </c>
      <c r="I26" s="73">
        <v>989657.0</v>
      </c>
      <c r="J26" s="73">
        <v>986544.0</v>
      </c>
      <c r="K26" s="74">
        <v>986544.0</v>
      </c>
      <c r="L26" s="53"/>
      <c r="M26" s="53"/>
      <c r="N26" s="53"/>
      <c r="O26" s="54"/>
    </row>
    <row r="27">
      <c r="A27" s="1"/>
      <c r="B27" s="11" t="s">
        <v>36</v>
      </c>
      <c r="C27" s="71">
        <f>C39</f>
        <v>1442729.445</v>
      </c>
      <c r="D27" s="5"/>
      <c r="E27" s="22" t="s">
        <v>37</v>
      </c>
      <c r="F27" s="72">
        <v>21857.0</v>
      </c>
      <c r="G27" s="73">
        <v>32286.0</v>
      </c>
      <c r="H27" s="73">
        <v>35253.0</v>
      </c>
      <c r="I27" s="73">
        <v>34215.0</v>
      </c>
      <c r="J27" s="73">
        <v>34838.0</v>
      </c>
      <c r="K27" s="74">
        <v>34838.0</v>
      </c>
      <c r="L27" s="53"/>
      <c r="M27" s="53"/>
      <c r="N27" s="53"/>
      <c r="O27" s="54"/>
    </row>
    <row r="28">
      <c r="A28" s="1"/>
      <c r="B28" s="11" t="s">
        <v>38</v>
      </c>
      <c r="C28" s="75">
        <f>K20/K29</f>
        <v>0.1308693882</v>
      </c>
      <c r="D28" s="5"/>
      <c r="E28" s="22" t="s">
        <v>39</v>
      </c>
      <c r="F28" s="72">
        <v>363215.0</v>
      </c>
      <c r="G28" s="73">
        <v>483445.0</v>
      </c>
      <c r="H28" s="73">
        <v>455085.0</v>
      </c>
      <c r="I28" s="73">
        <v>524470.0</v>
      </c>
      <c r="J28" s="73">
        <v>571029.0</v>
      </c>
      <c r="K28" s="74">
        <v>571029.0</v>
      </c>
      <c r="L28" s="53"/>
      <c r="M28" s="53"/>
      <c r="N28" s="53"/>
      <c r="O28" s="54"/>
    </row>
    <row r="29">
      <c r="A29" s="1"/>
      <c r="B29" s="22" t="s">
        <v>40</v>
      </c>
      <c r="C29" s="76">
        <f>C26+K25-K28</f>
        <v>1116164.428</v>
      </c>
      <c r="D29" s="5"/>
      <c r="E29" s="22" t="s">
        <v>41</v>
      </c>
      <c r="F29" s="77">
        <f t="shared" ref="F29:K29" si="11">F25+F26+F27-F28</f>
        <v>539473</v>
      </c>
      <c r="G29" s="78">
        <f t="shared" si="11"/>
        <v>635464</v>
      </c>
      <c r="H29" s="78">
        <f t="shared" si="11"/>
        <v>669991</v>
      </c>
      <c r="I29" s="78">
        <f t="shared" si="11"/>
        <v>660756</v>
      </c>
      <c r="J29" s="78">
        <f t="shared" si="11"/>
        <v>655967</v>
      </c>
      <c r="K29" s="79">
        <f t="shared" si="11"/>
        <v>655967</v>
      </c>
      <c r="L29" s="53"/>
      <c r="M29" s="53"/>
      <c r="N29" s="53"/>
      <c r="O29" s="54"/>
    </row>
    <row r="30">
      <c r="A30" s="1"/>
      <c r="B30" s="80" t="s">
        <v>42</v>
      </c>
      <c r="C30" s="81">
        <f>C26/K20</f>
        <v>17.25857265</v>
      </c>
      <c r="D30" s="5"/>
      <c r="E30" s="22"/>
      <c r="F30" s="66"/>
      <c r="G30" s="66"/>
      <c r="H30" s="15"/>
      <c r="I30" s="15"/>
      <c r="J30" s="15"/>
      <c r="K30" s="5"/>
      <c r="L30" s="53"/>
      <c r="M30" s="53"/>
      <c r="N30" s="53"/>
      <c r="O30" s="54"/>
    </row>
    <row r="31">
      <c r="B31" s="43" t="s">
        <v>43</v>
      </c>
      <c r="C31" s="81">
        <f>C26/K4</f>
        <v>1.540165795</v>
      </c>
      <c r="D31" s="5"/>
      <c r="E31" s="11" t="s">
        <v>44</v>
      </c>
      <c r="F31" s="82">
        <v>0.0</v>
      </c>
      <c r="G31" s="83">
        <v>-773.0</v>
      </c>
      <c r="H31" s="84">
        <v>-61225.0</v>
      </c>
      <c r="I31" s="84">
        <v>-74746.0</v>
      </c>
      <c r="J31" s="84">
        <v>-88745.0</v>
      </c>
      <c r="K31" s="85">
        <v>-127609.0</v>
      </c>
      <c r="L31" s="53"/>
      <c r="M31" s="53"/>
      <c r="N31" s="53"/>
      <c r="O31" s="54"/>
    </row>
    <row r="32">
      <c r="B32" s="86" t="s">
        <v>45</v>
      </c>
      <c r="C32" s="87">
        <f>C26/K26</f>
        <v>1.50178748</v>
      </c>
      <c r="D32" s="5"/>
      <c r="E32" s="88" t="s">
        <v>46</v>
      </c>
      <c r="F32" s="89">
        <v>91506.0</v>
      </c>
      <c r="G32" s="90">
        <v>175.0</v>
      </c>
      <c r="H32" s="91">
        <v>109.0</v>
      </c>
      <c r="I32" s="91">
        <v>11.0</v>
      </c>
      <c r="J32" s="91">
        <v>843.0</v>
      </c>
      <c r="K32" s="92">
        <v>640.0</v>
      </c>
      <c r="L32" s="5"/>
      <c r="M32" s="5"/>
      <c r="N32" s="5"/>
    </row>
    <row r="33">
      <c r="B33" s="86" t="s">
        <v>47</v>
      </c>
      <c r="C33" s="81">
        <f>C29/K4</f>
        <v>1.160301122</v>
      </c>
      <c r="D33" s="5"/>
      <c r="E33" s="22" t="s">
        <v>48</v>
      </c>
      <c r="F33" s="93">
        <v>31742.0</v>
      </c>
      <c r="G33" s="94">
        <v>50120.0</v>
      </c>
      <c r="H33" s="94">
        <v>23971.0</v>
      </c>
      <c r="I33" s="91">
        <v>30831.0</v>
      </c>
      <c r="J33" s="94">
        <v>18546.0</v>
      </c>
      <c r="K33" s="95" t="s">
        <v>49</v>
      </c>
      <c r="L33" s="53"/>
      <c r="M33" s="53"/>
      <c r="N33" s="53"/>
      <c r="O33" s="54"/>
    </row>
    <row r="34">
      <c r="B34" s="43" t="s">
        <v>50</v>
      </c>
      <c r="C34" s="96">
        <f>C29/K18</f>
        <v>10.17516229</v>
      </c>
      <c r="D34" s="10"/>
      <c r="E34" s="88" t="s">
        <v>51</v>
      </c>
      <c r="F34" s="89">
        <v>15788.0</v>
      </c>
      <c r="G34" s="90">
        <v>38410.0</v>
      </c>
      <c r="H34" s="91">
        <v>9427.0</v>
      </c>
      <c r="I34" s="91">
        <v>22790.0</v>
      </c>
      <c r="J34" s="91">
        <v>20570.0</v>
      </c>
      <c r="K34" s="92">
        <v>71586.0</v>
      </c>
      <c r="L34" s="53"/>
      <c r="M34" s="53"/>
      <c r="N34" s="53"/>
      <c r="O34" s="54"/>
    </row>
    <row r="35">
      <c r="A35" s="1"/>
      <c r="B35" s="10"/>
      <c r="C35" s="97"/>
      <c r="D35" s="98"/>
      <c r="E35" s="88" t="s">
        <v>52</v>
      </c>
      <c r="F35" s="99">
        <v>-31741.0</v>
      </c>
      <c r="G35" s="100">
        <v>-7061.0</v>
      </c>
      <c r="H35" s="101">
        <v>-16713.0</v>
      </c>
      <c r="I35" s="101">
        <v>-11448.0</v>
      </c>
      <c r="J35" s="101">
        <v>-18105.0</v>
      </c>
      <c r="K35" s="102">
        <v>-28424.0</v>
      </c>
      <c r="L35" s="53"/>
      <c r="M35" s="53"/>
      <c r="N35" s="53"/>
      <c r="O35" s="54"/>
    </row>
    <row r="36">
      <c r="A36" s="1"/>
      <c r="B36" s="36" t="s">
        <v>53</v>
      </c>
      <c r="C36" s="103">
        <v>0.11</v>
      </c>
      <c r="D36" s="104"/>
      <c r="E36" s="88"/>
      <c r="F36" s="105"/>
      <c r="G36" s="105"/>
      <c r="H36" s="105"/>
      <c r="I36" s="66"/>
      <c r="J36" s="5"/>
      <c r="K36" s="5"/>
      <c r="L36" s="5"/>
      <c r="M36" s="5"/>
      <c r="N36" s="5"/>
    </row>
    <row r="37">
      <c r="B37" s="36" t="s">
        <v>54</v>
      </c>
      <c r="C37" s="106">
        <v>0.06</v>
      </c>
      <c r="D37" s="10"/>
      <c r="E37" s="11" t="s">
        <v>55</v>
      </c>
      <c r="F37" s="107">
        <v>180607.0</v>
      </c>
      <c r="G37" s="108">
        <v>231786.0</v>
      </c>
      <c r="H37" s="109">
        <v>142759.0</v>
      </c>
      <c r="I37" s="109">
        <v>199752.0</v>
      </c>
      <c r="J37" s="109">
        <v>182593.0</v>
      </c>
      <c r="K37" s="110">
        <v>153130.0</v>
      </c>
      <c r="L37" s="5"/>
      <c r="M37" s="5"/>
      <c r="N37" s="5"/>
    </row>
    <row r="38">
      <c r="B38" s="43" t="s">
        <v>56</v>
      </c>
      <c r="C38" s="111">
        <f t="array" ref="C38">NPV(C36, J50:J60)</f>
        <v>1077314.445</v>
      </c>
      <c r="D38" s="10"/>
      <c r="E38" s="88" t="s">
        <v>57</v>
      </c>
      <c r="F38" s="112">
        <v>-108072.0</v>
      </c>
      <c r="G38" s="113">
        <v>-244194.0</v>
      </c>
      <c r="H38" s="114">
        <v>-198592.0</v>
      </c>
      <c r="I38" s="114">
        <v>-135506.0</v>
      </c>
      <c r="J38" s="114">
        <v>-21824.0</v>
      </c>
      <c r="K38" s="115">
        <v>-45523.0</v>
      </c>
      <c r="L38" s="5"/>
      <c r="M38" s="5"/>
      <c r="N38" s="5"/>
    </row>
    <row r="39">
      <c r="B39" s="43" t="s">
        <v>58</v>
      </c>
      <c r="C39" s="111">
        <f>C38+K28-K25</f>
        <v>1442729.445</v>
      </c>
      <c r="D39" s="10"/>
      <c r="E39" s="88" t="s">
        <v>59</v>
      </c>
      <c r="F39" s="112">
        <v>70853.0</v>
      </c>
      <c r="G39" s="113">
        <v>30082.0</v>
      </c>
      <c r="H39" s="114">
        <v>-64449.0</v>
      </c>
      <c r="I39" s="114">
        <v>-65619.0</v>
      </c>
      <c r="J39" s="114">
        <v>-108244.0</v>
      </c>
      <c r="K39" s="115">
        <v>-157590.0</v>
      </c>
      <c r="L39" s="5"/>
      <c r="M39" s="5"/>
      <c r="N39" s="5"/>
    </row>
    <row r="40">
      <c r="B40" s="43" t="s">
        <v>31</v>
      </c>
      <c r="C40" s="116">
        <f>K23</f>
        <v>2437</v>
      </c>
      <c r="D40" s="10"/>
      <c r="E40" s="88" t="s">
        <v>60</v>
      </c>
      <c r="F40" s="112">
        <v>143388.0</v>
      </c>
      <c r="G40" s="113">
        <v>17674.0</v>
      </c>
      <c r="H40" s="114">
        <v>-120282.0</v>
      </c>
      <c r="I40" s="114">
        <v>-1373.0</v>
      </c>
      <c r="J40" s="114">
        <v>52525.0</v>
      </c>
      <c r="K40" s="115">
        <v>-49983.0</v>
      </c>
      <c r="L40" s="5"/>
      <c r="M40" s="5"/>
      <c r="N40" s="5"/>
    </row>
    <row r="41">
      <c r="A41" s="1"/>
      <c r="B41" s="36" t="s">
        <v>61</v>
      </c>
      <c r="C41" s="117">
        <f>C39/C40</f>
        <v>592.0104412</v>
      </c>
      <c r="D41" s="118"/>
      <c r="E41" s="88" t="s">
        <v>62</v>
      </c>
      <c r="F41" s="119">
        <v>180607.0</v>
      </c>
      <c r="G41" s="120">
        <v>231786.0</v>
      </c>
      <c r="H41" s="121">
        <v>142759.0</v>
      </c>
      <c r="I41" s="121">
        <v>199752.0</v>
      </c>
      <c r="J41" s="121">
        <v>149664.0</v>
      </c>
      <c r="K41" s="122">
        <v>102693.0</v>
      </c>
      <c r="L41" s="5"/>
      <c r="M41" s="5"/>
      <c r="N41" s="5"/>
    </row>
    <row r="42">
      <c r="A42" s="1"/>
      <c r="B42" s="22" t="s">
        <v>63</v>
      </c>
      <c r="C42" s="123">
        <f>(C41-C25)/C41</f>
        <v>-0.05088740303</v>
      </c>
      <c r="D42" s="104"/>
      <c r="E42" s="124"/>
      <c r="F42" s="52"/>
      <c r="G42" s="52"/>
      <c r="H42" s="125"/>
      <c r="I42" s="5"/>
      <c r="J42" s="5"/>
      <c r="K42" s="5"/>
      <c r="L42" s="5"/>
      <c r="M42" s="5"/>
      <c r="N42" s="5"/>
    </row>
    <row r="43">
      <c r="B43" s="22"/>
      <c r="C43" s="126"/>
      <c r="D43" s="52"/>
      <c r="E43" s="127" t="s">
        <v>64</v>
      </c>
      <c r="F43" s="128" t="s">
        <v>9</v>
      </c>
      <c r="G43" s="129" t="s">
        <v>65</v>
      </c>
      <c r="H43" s="130" t="s">
        <v>26</v>
      </c>
      <c r="I43" s="128" t="s">
        <v>66</v>
      </c>
      <c r="J43" s="131" t="s">
        <v>67</v>
      </c>
      <c r="K43" s="132" t="s">
        <v>68</v>
      </c>
      <c r="L43" s="53"/>
      <c r="M43" s="5"/>
      <c r="N43" s="5"/>
    </row>
    <row r="44">
      <c r="A44" s="1"/>
      <c r="B44" s="11" t="s">
        <v>69</v>
      </c>
      <c r="C44" s="133">
        <f>C38+K28-K60</f>
        <v>1023036.851</v>
      </c>
      <c r="D44" s="52"/>
      <c r="E44" s="134"/>
      <c r="F44" s="135"/>
      <c r="G44" s="135"/>
      <c r="H44" s="136"/>
      <c r="I44" s="137"/>
      <c r="J44" s="53"/>
      <c r="K44" s="53"/>
      <c r="L44" s="53"/>
      <c r="M44" s="5"/>
      <c r="N44" s="5"/>
    </row>
    <row r="45">
      <c r="A45" s="1"/>
      <c r="B45" s="11" t="s">
        <v>70</v>
      </c>
      <c r="C45" s="138">
        <f>C44/K23</f>
        <v>419.7935374</v>
      </c>
      <c r="D45" s="52"/>
      <c r="E45" s="139">
        <v>2020.0</v>
      </c>
      <c r="F45" s="140">
        <f>F4</f>
        <v>509711</v>
      </c>
      <c r="G45" s="141" t="str">
        <f>F5</f>
        <v/>
      </c>
      <c r="H45" s="142">
        <f>F20</f>
        <v>146083</v>
      </c>
      <c r="I45" s="143">
        <v>0.0</v>
      </c>
      <c r="J45" s="144">
        <f>F41</f>
        <v>180607</v>
      </c>
      <c r="K45" s="145">
        <f>F25</f>
        <v>125430</v>
      </c>
      <c r="L45" s="53"/>
      <c r="M45" s="5"/>
      <c r="N45" s="5"/>
    </row>
    <row r="46">
      <c r="A46" s="1"/>
      <c r="B46" s="1"/>
      <c r="C46" s="126"/>
      <c r="D46" s="52"/>
      <c r="E46" s="146">
        <v>2021.0</v>
      </c>
      <c r="F46" s="147">
        <f>G4</f>
        <v>717289</v>
      </c>
      <c r="G46" s="148">
        <f>G5</f>
        <v>0.4072464593</v>
      </c>
      <c r="H46" s="149">
        <f>G20</f>
        <v>136300</v>
      </c>
      <c r="I46" s="150">
        <v>0.0</v>
      </c>
      <c r="J46" s="151">
        <f>G41</f>
        <v>231786</v>
      </c>
      <c r="K46" s="152">
        <f>G25</f>
        <v>149153</v>
      </c>
      <c r="L46" s="153">
        <v>1.0</v>
      </c>
      <c r="M46" s="1"/>
      <c r="N46" s="1"/>
    </row>
    <row r="47">
      <c r="A47" s="1"/>
      <c r="B47" s="36" t="s">
        <v>71</v>
      </c>
      <c r="C47" s="154">
        <f>C37</f>
        <v>0.06</v>
      </c>
      <c r="D47" s="80"/>
      <c r="E47" s="146">
        <v>2022.0</v>
      </c>
      <c r="F47" s="155">
        <f>H4</f>
        <v>853062</v>
      </c>
      <c r="G47" s="156">
        <f>H5</f>
        <v>0.1892863267</v>
      </c>
      <c r="H47" s="149">
        <f>H20</f>
        <v>32735</v>
      </c>
      <c r="I47" s="150">
        <v>0.0</v>
      </c>
      <c r="J47" s="151">
        <f>H41</f>
        <v>142759</v>
      </c>
      <c r="K47" s="152">
        <f>H25</f>
        <v>141344</v>
      </c>
      <c r="L47" s="153">
        <f>(K47/K46)</f>
        <v>0.9476443652</v>
      </c>
      <c r="M47" s="1"/>
      <c r="N47" s="1"/>
    </row>
    <row r="48">
      <c r="B48" s="22" t="s">
        <v>72</v>
      </c>
      <c r="C48" s="157">
        <f t="array" ref="C48">NPV(C36, I64:I74)</f>
        <v>1965126.578</v>
      </c>
      <c r="D48" s="158"/>
      <c r="E48" s="146">
        <v>2023.0</v>
      </c>
      <c r="F48" s="155">
        <f>I4</f>
        <v>868687</v>
      </c>
      <c r="G48" s="156">
        <f>I5</f>
        <v>0.01831637091</v>
      </c>
      <c r="H48" s="149">
        <f>I20</f>
        <v>73636</v>
      </c>
      <c r="I48" s="150">
        <v>0.0</v>
      </c>
      <c r="J48" s="151">
        <f>I41</f>
        <v>199752</v>
      </c>
      <c r="K48" s="152">
        <f>I25</f>
        <v>161354</v>
      </c>
      <c r="L48" s="153">
        <f t="shared" ref="L48:L49" si="12">K48/K47</f>
        <v>1.141569504</v>
      </c>
      <c r="M48" s="1"/>
      <c r="N48" s="1"/>
    </row>
    <row r="49">
      <c r="B49" s="11" t="s">
        <v>73</v>
      </c>
      <c r="C49" s="159">
        <f>C48/K64</f>
        <v>891.4090982</v>
      </c>
      <c r="D49" s="158"/>
      <c r="E49" s="146">
        <v>2024.0</v>
      </c>
      <c r="F49" s="155">
        <f>J4</f>
        <v>941168</v>
      </c>
      <c r="G49" s="156">
        <f>J5</f>
        <v>0.08343741762</v>
      </c>
      <c r="H49" s="149">
        <f>J20</f>
        <v>79741</v>
      </c>
      <c r="I49" s="150">
        <v>0.0</v>
      </c>
      <c r="J49" s="151">
        <f>J41</f>
        <v>149664</v>
      </c>
      <c r="K49" s="152">
        <f>J25</f>
        <v>205614</v>
      </c>
      <c r="L49" s="153">
        <f t="shared" si="12"/>
        <v>1.274303705</v>
      </c>
      <c r="M49" s="1"/>
      <c r="N49" s="1"/>
    </row>
    <row r="50">
      <c r="B50" s="11" t="s">
        <v>74</v>
      </c>
      <c r="C50" s="160">
        <f>(C49/C25)^(1/10)-1</f>
        <v>0.03661896732</v>
      </c>
      <c r="D50" s="158"/>
      <c r="E50" s="146">
        <v>2025.0</v>
      </c>
      <c r="F50" s="147">
        <f>K4</f>
        <v>961961</v>
      </c>
      <c r="G50" s="148">
        <f>K5</f>
        <v>0.02209276133</v>
      </c>
      <c r="H50" s="149">
        <f>K20</f>
        <v>85846</v>
      </c>
      <c r="I50" s="150">
        <v>0.0</v>
      </c>
      <c r="J50" s="151">
        <f>K41</f>
        <v>102693</v>
      </c>
      <c r="K50" s="152">
        <f>K49*L49</f>
        <v>262014.682</v>
      </c>
      <c r="L50" s="126">
        <f>AVERAGE(L46:L49)</f>
        <v>1.090879394</v>
      </c>
      <c r="M50" s="1"/>
      <c r="N50" s="1"/>
    </row>
    <row r="51">
      <c r="A51" s="1"/>
      <c r="B51" s="36"/>
      <c r="D51" s="158"/>
      <c r="E51" s="161">
        <v>2026.0</v>
      </c>
      <c r="F51" s="147">
        <f t="shared" ref="F51:F60" si="13">F50*(1+G51)</f>
        <v>1012718.958</v>
      </c>
      <c r="G51" s="148">
        <f>AVERAGE(G49:G50)</f>
        <v>0.05276508948</v>
      </c>
      <c r="H51" s="149">
        <f t="shared" ref="H51:H60" si="14">H50*(1+G51)</f>
        <v>90375.67187</v>
      </c>
      <c r="I51" s="150">
        <f>AVERAGE(G49:G50)</f>
        <v>0.05276508948</v>
      </c>
      <c r="J51" s="162">
        <f>AVERAGE(J48:J50)</f>
        <v>150703</v>
      </c>
      <c r="K51" s="163">
        <f>L50*K50</f>
        <v>285826.4174</v>
      </c>
      <c r="L51" s="5"/>
      <c r="M51" s="5"/>
      <c r="N51" s="5"/>
    </row>
    <row r="52">
      <c r="A52" s="1"/>
      <c r="B52" s="11" t="s">
        <v>75</v>
      </c>
      <c r="C52" s="164">
        <f>I52</f>
        <v>0.05554924414</v>
      </c>
      <c r="D52" s="53"/>
      <c r="E52" s="161">
        <v>2027.0</v>
      </c>
      <c r="F52" s="147">
        <f t="shared" si="13"/>
        <v>1066887.858</v>
      </c>
      <c r="G52" s="148">
        <f>G51-(G51-G60) / 10</f>
        <v>0.05348858053</v>
      </c>
      <c r="H52" s="149">
        <f t="shared" si="14"/>
        <v>95209.73827</v>
      </c>
      <c r="I52" s="165">
        <f t="shared" ref="I52:I60" si="15">I51 * (1+G51)</f>
        <v>0.05554924414</v>
      </c>
      <c r="J52" s="151">
        <f t="shared" ref="J52:J60" si="16">J51*(1+G52)</f>
        <v>158763.8896</v>
      </c>
      <c r="K52" s="152">
        <f>L50*K51</f>
        <v>311802.1489</v>
      </c>
      <c r="L52" s="53"/>
      <c r="M52" s="5"/>
      <c r="N52" s="5"/>
    </row>
    <row r="53">
      <c r="A53" s="1"/>
      <c r="B53" s="11" t="s">
        <v>76</v>
      </c>
      <c r="C53" s="166">
        <f>J60/H60</f>
        <v>1.66751734</v>
      </c>
      <c r="D53" s="53"/>
      <c r="E53" s="161">
        <v>2028.0</v>
      </c>
      <c r="F53" s="147">
        <f t="shared" si="13"/>
        <v>1124726.059</v>
      </c>
      <c r="G53" s="148">
        <f>G52-(G51-G60) / 10</f>
        <v>0.05421207158</v>
      </c>
      <c r="H53" s="149">
        <f t="shared" si="14"/>
        <v>100371.2554</v>
      </c>
      <c r="I53" s="165">
        <f t="shared" si="15"/>
        <v>0.05852049436</v>
      </c>
      <c r="J53" s="151">
        <f t="shared" si="16"/>
        <v>167370.8089</v>
      </c>
      <c r="K53" s="152">
        <f>L50*K52</f>
        <v>340138.5391</v>
      </c>
      <c r="L53" s="53"/>
      <c r="M53" s="5"/>
      <c r="N53" s="5"/>
    </row>
    <row r="54">
      <c r="A54" s="1"/>
      <c r="B54" s="11" t="s">
        <v>77</v>
      </c>
      <c r="C54" s="167">
        <f>C53*(1+C52)^10</f>
        <v>2.863224159</v>
      </c>
      <c r="D54" s="53"/>
      <c r="E54" s="161">
        <v>2029.0</v>
      </c>
      <c r="F54" s="147">
        <f t="shared" si="13"/>
        <v>1186513.518</v>
      </c>
      <c r="G54" s="148">
        <f>G53-(G51-G60) / 10</f>
        <v>0.05493556263</v>
      </c>
      <c r="H54" s="149">
        <f t="shared" si="14"/>
        <v>105885.2068</v>
      </c>
      <c r="I54" s="165">
        <f t="shared" si="15"/>
        <v>0.06169301159</v>
      </c>
      <c r="J54" s="151">
        <f t="shared" si="16"/>
        <v>176565.4185</v>
      </c>
      <c r="K54" s="152">
        <f>L50*K53</f>
        <v>371050.1232</v>
      </c>
      <c r="L54" s="53"/>
      <c r="M54" s="5"/>
      <c r="N54" s="5"/>
    </row>
    <row r="55">
      <c r="B55" s="11" t="s">
        <v>78</v>
      </c>
      <c r="C55" s="168">
        <f t="array" ref="C55">NPV(C36, J64:J74)</f>
        <v>3374236.511</v>
      </c>
      <c r="D55" s="21"/>
      <c r="E55" s="161">
        <v>2030.0</v>
      </c>
      <c r="F55" s="147">
        <f t="shared" si="13"/>
        <v>1252553.737</v>
      </c>
      <c r="G55" s="148">
        <f>G54-(G51-G60) / 10</f>
        <v>0.05565905369</v>
      </c>
      <c r="H55" s="149">
        <f t="shared" si="14"/>
        <v>111778.6772</v>
      </c>
      <c r="I55" s="165">
        <f t="shared" si="15"/>
        <v>0.0650821519</v>
      </c>
      <c r="J55" s="151">
        <f t="shared" si="16"/>
        <v>186392.8826</v>
      </c>
      <c r="K55" s="152">
        <f>L50*K54</f>
        <v>404770.9334</v>
      </c>
      <c r="L55" s="53"/>
      <c r="M55" s="5"/>
      <c r="N55" s="5"/>
    </row>
    <row r="56">
      <c r="B56" s="11" t="s">
        <v>73</v>
      </c>
      <c r="C56" s="169">
        <f>C55/K64</f>
        <v>1530.601214</v>
      </c>
      <c r="D56" s="53"/>
      <c r="E56" s="124">
        <v>2031.0</v>
      </c>
      <c r="F56" s="147">
        <f t="shared" si="13"/>
        <v>1323175.904</v>
      </c>
      <c r="G56" s="148">
        <f>G55-(G51-G60) / 10</f>
        <v>0.05638254474</v>
      </c>
      <c r="H56" s="149">
        <f t="shared" si="14"/>
        <v>118081.0435</v>
      </c>
      <c r="I56" s="165">
        <f t="shared" si="15"/>
        <v>0.06870456288</v>
      </c>
      <c r="J56" s="151">
        <f t="shared" si="16"/>
        <v>196902.1876</v>
      </c>
      <c r="K56" s="152">
        <f>L50*K55</f>
        <v>441556.2704</v>
      </c>
      <c r="L56" s="53"/>
      <c r="M56" s="5"/>
      <c r="N56" s="5"/>
    </row>
    <row r="57">
      <c r="A57" s="1"/>
      <c r="B57" s="11" t="s">
        <v>74</v>
      </c>
      <c r="C57" s="170">
        <f>(C56/C25)^(1/10)-1</f>
        <v>0.09420236742</v>
      </c>
      <c r="D57" s="53"/>
      <c r="E57" s="124">
        <v>2032.0</v>
      </c>
      <c r="F57" s="147">
        <f t="shared" si="13"/>
        <v>1398737.235</v>
      </c>
      <c r="G57" s="148">
        <f>G56-(G51-G60) / 10</f>
        <v>0.05710603579</v>
      </c>
      <c r="H57" s="149">
        <f t="shared" si="14"/>
        <v>124824.1838</v>
      </c>
      <c r="I57" s="165">
        <f t="shared" si="15"/>
        <v>0.07257830097</v>
      </c>
      <c r="J57" s="151">
        <f t="shared" si="16"/>
        <v>208146.491</v>
      </c>
      <c r="K57" s="163">
        <f>L50*K56</f>
        <v>481684.6364</v>
      </c>
      <c r="L57" s="5"/>
      <c r="M57" s="5"/>
      <c r="N57" s="5"/>
    </row>
    <row r="58">
      <c r="A58" s="1"/>
      <c r="B58" s="36"/>
      <c r="C58" s="126"/>
      <c r="D58" s="53"/>
      <c r="E58" s="124">
        <v>2033.0</v>
      </c>
      <c r="F58" s="147">
        <f t="shared" si="13"/>
        <v>1479625.547</v>
      </c>
      <c r="G58" s="148">
        <f>G57-(G51-G60) / 10</f>
        <v>0.05782952684</v>
      </c>
      <c r="H58" s="149">
        <f t="shared" si="14"/>
        <v>132042.7073</v>
      </c>
      <c r="I58" s="165">
        <f t="shared" si="15"/>
        <v>0.07672296003</v>
      </c>
      <c r="J58" s="151">
        <f t="shared" si="16"/>
        <v>220183.5041</v>
      </c>
      <c r="K58" s="163">
        <f>L50*K57</f>
        <v>525459.8441</v>
      </c>
      <c r="L58" s="5"/>
      <c r="M58" s="5"/>
      <c r="N58" s="5"/>
    </row>
    <row r="59">
      <c r="A59" s="1"/>
      <c r="B59" s="22"/>
      <c r="C59" s="171"/>
      <c r="D59" s="21"/>
      <c r="E59" s="124">
        <v>2034.0</v>
      </c>
      <c r="F59" s="147">
        <f t="shared" si="13"/>
        <v>1566262.088</v>
      </c>
      <c r="G59" s="148">
        <f>G58-(G51-G60) / 10</f>
        <v>0.0585530179</v>
      </c>
      <c r="H59" s="149">
        <f t="shared" si="14"/>
        <v>139774.2063</v>
      </c>
      <c r="I59" s="165">
        <f t="shared" si="15"/>
        <v>0.0811598125</v>
      </c>
      <c r="J59" s="151">
        <f t="shared" si="16"/>
        <v>233075.9127</v>
      </c>
      <c r="K59" s="163">
        <f>L50*K58</f>
        <v>573213.3161</v>
      </c>
      <c r="L59" s="5"/>
      <c r="M59" s="5"/>
      <c r="N59" s="5"/>
    </row>
    <row r="60">
      <c r="A60" s="1"/>
      <c r="B60" s="11"/>
      <c r="C60" s="171"/>
      <c r="D60" s="21"/>
      <c r="E60" s="124">
        <v>2035.0</v>
      </c>
      <c r="F60" s="172">
        <f t="shared" si="13"/>
        <v>1660237.814</v>
      </c>
      <c r="G60" s="173">
        <f>C37</f>
        <v>0.06</v>
      </c>
      <c r="H60" s="174">
        <f t="shared" si="14"/>
        <v>148160.6586</v>
      </c>
      <c r="I60" s="175">
        <f t="shared" si="15"/>
        <v>0.08591196446</v>
      </c>
      <c r="J60" s="176">
        <f t="shared" si="16"/>
        <v>247060.4675</v>
      </c>
      <c r="K60" s="177">
        <f>L50*K59</f>
        <v>625306.5946</v>
      </c>
      <c r="L60" s="5"/>
      <c r="M60" s="5"/>
      <c r="N60" s="5"/>
    </row>
    <row r="61">
      <c r="A61" s="1"/>
      <c r="B61" s="11"/>
      <c r="C61" s="126"/>
      <c r="D61" s="158"/>
      <c r="E61" s="5"/>
      <c r="F61" s="178"/>
      <c r="G61" s="178"/>
      <c r="H61" s="5"/>
      <c r="I61" s="5"/>
      <c r="J61" s="5"/>
      <c r="K61" s="5"/>
      <c r="L61" s="5"/>
      <c r="M61" s="5"/>
      <c r="N61" s="5"/>
    </row>
    <row r="62">
      <c r="A62" s="1"/>
      <c r="B62" s="1"/>
      <c r="C62" s="179"/>
      <c r="D62" s="158"/>
      <c r="E62" s="127" t="s">
        <v>64</v>
      </c>
      <c r="F62" s="128" t="s">
        <v>79</v>
      </c>
      <c r="G62" s="128" t="s">
        <v>65</v>
      </c>
      <c r="H62" s="180" t="s">
        <v>26</v>
      </c>
      <c r="I62" s="131" t="s">
        <v>67</v>
      </c>
      <c r="J62" s="131" t="s">
        <v>80</v>
      </c>
      <c r="K62" s="132" t="s">
        <v>31</v>
      </c>
      <c r="L62" s="5"/>
      <c r="M62" s="5"/>
      <c r="N62" s="5"/>
    </row>
    <row r="63">
      <c r="A63" s="1"/>
      <c r="B63" s="1"/>
      <c r="C63" s="181"/>
      <c r="D63" s="158"/>
      <c r="E63" s="134"/>
      <c r="F63" s="135"/>
      <c r="G63" s="135"/>
      <c r="H63" s="136"/>
      <c r="I63" s="137"/>
      <c r="J63" s="53"/>
      <c r="L63" s="5"/>
      <c r="M63" s="5"/>
      <c r="N63" s="5"/>
    </row>
    <row r="64">
      <c r="A64" s="126"/>
      <c r="B64" s="1"/>
      <c r="C64" s="126"/>
      <c r="D64" s="15"/>
      <c r="E64" s="124">
        <v>2033.0</v>
      </c>
      <c r="F64" s="140">
        <f>F60*C54</f>
        <v>4753633.017</v>
      </c>
      <c r="G64" s="141">
        <f t="shared" ref="G64:H64" si="17">G60</f>
        <v>0.06</v>
      </c>
      <c r="H64" s="182">
        <f t="shared" si="17"/>
        <v>148160.6586</v>
      </c>
      <c r="I64" s="183">
        <f>J60</f>
        <v>247060.4675</v>
      </c>
      <c r="J64" s="144">
        <f>H64*C54</f>
        <v>424217.1772</v>
      </c>
      <c r="K64" s="184">
        <f>L64*K23</f>
        <v>2204.517075</v>
      </c>
      <c r="L64" s="5">
        <f>((K23-H23)/H23 + 1)</f>
        <v>0.9046028211</v>
      </c>
      <c r="M64" s="5"/>
      <c r="N64" s="5"/>
    </row>
    <row r="65">
      <c r="A65" s="126"/>
      <c r="B65" s="1"/>
      <c r="C65" s="126"/>
      <c r="D65" s="15"/>
      <c r="E65" s="124">
        <v>2034.0</v>
      </c>
      <c r="F65" s="147">
        <f t="shared" ref="F65:F74" si="18">F64*(1+G65)</f>
        <v>5038850.998</v>
      </c>
      <c r="G65" s="148">
        <f>G64-(G64-G74) / 10</f>
        <v>0.06</v>
      </c>
      <c r="H65" s="149">
        <f t="shared" ref="H65:H74" si="19">H64*(1+G65)</f>
        <v>157050.2982</v>
      </c>
      <c r="I65" s="185">
        <f t="shared" ref="I65:I74" si="20">I64*(1+G65)</f>
        <v>261884.0955</v>
      </c>
      <c r="J65" s="162">
        <f>H65*C54</f>
        <v>449670.2078</v>
      </c>
      <c r="K65" s="186">
        <f t="shared" ref="K65:K68" si="21">L65*K64</f>
        <v>1974.270242</v>
      </c>
      <c r="L65" s="5">
        <f t="shared" ref="L65:L67" si="22">L64*0.99</f>
        <v>0.8955567929</v>
      </c>
      <c r="M65" s="5"/>
      <c r="N65" s="5"/>
    </row>
    <row r="66">
      <c r="A66" s="126"/>
      <c r="B66" s="1"/>
      <c r="C66" s="171"/>
      <c r="D66" s="15"/>
      <c r="E66" s="124">
        <v>2035.0</v>
      </c>
      <c r="F66" s="147">
        <f t="shared" si="18"/>
        <v>5341182.058</v>
      </c>
      <c r="G66" s="148">
        <f>G65-(G64-G74) / 10</f>
        <v>0.06</v>
      </c>
      <c r="H66" s="149">
        <f t="shared" si="19"/>
        <v>166473.3161</v>
      </c>
      <c r="I66" s="185">
        <f t="shared" si="20"/>
        <v>277597.1413</v>
      </c>
      <c r="J66" s="151">
        <f>H66*C54</f>
        <v>476650.4203</v>
      </c>
      <c r="K66" s="187">
        <f t="shared" si="21"/>
        <v>1750.390414</v>
      </c>
      <c r="L66" s="5">
        <f t="shared" si="22"/>
        <v>0.8866012249</v>
      </c>
      <c r="M66" s="5"/>
      <c r="N66" s="5"/>
    </row>
    <row r="67">
      <c r="A67" s="126"/>
      <c r="B67" s="1"/>
      <c r="C67" s="171"/>
      <c r="D67" s="15"/>
      <c r="E67" s="124">
        <v>2036.0</v>
      </c>
      <c r="F67" s="147">
        <f t="shared" si="18"/>
        <v>5661652.982</v>
      </c>
      <c r="G67" s="148">
        <f>G66-(G64-G74) / 10</f>
        <v>0.06</v>
      </c>
      <c r="H67" s="149">
        <f t="shared" si="19"/>
        <v>176461.715</v>
      </c>
      <c r="I67" s="185">
        <f t="shared" si="20"/>
        <v>294252.9697</v>
      </c>
      <c r="J67" s="162">
        <f>H67*C54</f>
        <v>505249.4455</v>
      </c>
      <c r="K67" s="186">
        <f t="shared" si="21"/>
        <v>1536.379303</v>
      </c>
      <c r="L67" s="5">
        <f t="shared" si="22"/>
        <v>0.8777352127</v>
      </c>
      <c r="M67" s="5"/>
      <c r="N67" s="5"/>
    </row>
    <row r="68">
      <c r="A68" s="1"/>
      <c r="B68" s="1"/>
      <c r="C68" s="126"/>
      <c r="D68" s="21"/>
      <c r="E68" s="124">
        <v>2037.0</v>
      </c>
      <c r="F68" s="147">
        <f t="shared" si="18"/>
        <v>6001352.16</v>
      </c>
      <c r="G68" s="148">
        <f>G67-(G64-G74) / 10</f>
        <v>0.06</v>
      </c>
      <c r="H68" s="149">
        <f t="shared" si="19"/>
        <v>187049.4179</v>
      </c>
      <c r="I68" s="185">
        <f t="shared" si="20"/>
        <v>311908.1479</v>
      </c>
      <c r="J68" s="151">
        <f>H68*C54</f>
        <v>535564.4122</v>
      </c>
      <c r="K68" s="187">
        <f t="shared" si="21"/>
        <v>1348.534214</v>
      </c>
      <c r="L68" s="5">
        <f>L67</f>
        <v>0.8777352127</v>
      </c>
      <c r="M68" s="5"/>
      <c r="N68" s="5"/>
    </row>
    <row r="69">
      <c r="A69" s="1"/>
      <c r="B69" s="11"/>
      <c r="C69" s="21"/>
      <c r="D69" s="21"/>
      <c r="E69" s="124">
        <v>2038.0</v>
      </c>
      <c r="F69" s="147">
        <f t="shared" si="18"/>
        <v>6361433.29</v>
      </c>
      <c r="G69" s="148">
        <f>G68-(G64-G74) / 10</f>
        <v>0.06</v>
      </c>
      <c r="H69" s="149">
        <f t="shared" si="19"/>
        <v>198272.383</v>
      </c>
      <c r="I69" s="185">
        <f t="shared" si="20"/>
        <v>330622.6368</v>
      </c>
      <c r="J69" s="162">
        <f>H69*C54</f>
        <v>567698.277</v>
      </c>
      <c r="K69" s="186">
        <f>L68*K68</f>
        <v>1183.655965</v>
      </c>
      <c r="L69" s="5"/>
      <c r="M69" s="5"/>
      <c r="N69" s="5"/>
    </row>
    <row r="70">
      <c r="A70" s="1"/>
      <c r="B70" s="11"/>
      <c r="C70" s="188"/>
      <c r="D70" s="21"/>
      <c r="E70" s="124">
        <v>2039.0</v>
      </c>
      <c r="F70" s="147">
        <f t="shared" si="18"/>
        <v>6743119.287</v>
      </c>
      <c r="G70" s="148">
        <f>G69-(G64-G74) / 10</f>
        <v>0.06</v>
      </c>
      <c r="H70" s="149">
        <f t="shared" si="19"/>
        <v>210168.726</v>
      </c>
      <c r="I70" s="185">
        <f t="shared" si="20"/>
        <v>350459.995</v>
      </c>
      <c r="J70" s="162">
        <f>H70*C54</f>
        <v>601760.1736</v>
      </c>
      <c r="K70" s="186">
        <f>L68*K69</f>
        <v>1038.93652</v>
      </c>
      <c r="L70" s="5"/>
      <c r="M70" s="5"/>
      <c r="N70" s="5"/>
    </row>
    <row r="71">
      <c r="A71" s="1"/>
      <c r="B71" s="21"/>
      <c r="C71" s="21"/>
      <c r="D71" s="21"/>
      <c r="E71" s="124">
        <v>2040.0</v>
      </c>
      <c r="F71" s="147">
        <f t="shared" si="18"/>
        <v>7147706.445</v>
      </c>
      <c r="G71" s="148">
        <f>G70-(G64-G74) / 10</f>
        <v>0.06</v>
      </c>
      <c r="H71" s="149">
        <f t="shared" si="19"/>
        <v>222778.8495</v>
      </c>
      <c r="I71" s="185">
        <f t="shared" si="20"/>
        <v>371487.5947</v>
      </c>
      <c r="J71" s="162">
        <f>H71*C54</f>
        <v>637865.784</v>
      </c>
      <c r="K71" s="186">
        <f>L68*K70</f>
        <v>911.9111677</v>
      </c>
      <c r="L71" s="5"/>
      <c r="M71" s="5"/>
      <c r="N71" s="5"/>
    </row>
    <row r="72">
      <c r="A72" s="1"/>
      <c r="B72" s="21"/>
      <c r="C72" s="21"/>
      <c r="D72" s="21"/>
      <c r="E72" s="124">
        <v>2041.0</v>
      </c>
      <c r="F72" s="147">
        <f t="shared" si="18"/>
        <v>7576568.831</v>
      </c>
      <c r="G72" s="148">
        <f>G71-(G64-G74) / 10</f>
        <v>0.06</v>
      </c>
      <c r="H72" s="149">
        <f t="shared" si="19"/>
        <v>236145.5805</v>
      </c>
      <c r="I72" s="185">
        <f t="shared" si="20"/>
        <v>393776.8504</v>
      </c>
      <c r="J72" s="162">
        <f>H72*C54</f>
        <v>676137.7311</v>
      </c>
      <c r="K72" s="186">
        <f>L68*K71</f>
        <v>800.4165427</v>
      </c>
      <c r="L72" s="5"/>
      <c r="M72" s="5"/>
      <c r="N72" s="5"/>
    </row>
    <row r="73">
      <c r="A73" s="1"/>
      <c r="B73" s="21"/>
      <c r="C73" s="21"/>
      <c r="D73" s="21"/>
      <c r="E73" s="124">
        <v>2042.0</v>
      </c>
      <c r="F73" s="147">
        <f t="shared" si="18"/>
        <v>8031162.961</v>
      </c>
      <c r="G73" s="148">
        <f>G72-(G64-G74) / 10</f>
        <v>0.06</v>
      </c>
      <c r="H73" s="149">
        <f t="shared" si="19"/>
        <v>250314.3153</v>
      </c>
      <c r="I73" s="185">
        <f t="shared" si="20"/>
        <v>417403.4614</v>
      </c>
      <c r="J73" s="162">
        <f>H73*C54</f>
        <v>716705.9949</v>
      </c>
      <c r="K73" s="186">
        <f>L68*K72</f>
        <v>702.5537844</v>
      </c>
      <c r="L73" s="5"/>
      <c r="M73" s="5"/>
      <c r="N73" s="5"/>
    </row>
    <row r="74">
      <c r="A74" s="126"/>
      <c r="B74" s="15"/>
      <c r="C74" s="15"/>
      <c r="D74" s="21"/>
      <c r="E74" s="124">
        <v>2043.0</v>
      </c>
      <c r="F74" s="172">
        <f t="shared" si="18"/>
        <v>8513032.739</v>
      </c>
      <c r="G74" s="173">
        <f>C47</f>
        <v>0.06</v>
      </c>
      <c r="H74" s="174">
        <f t="shared" si="19"/>
        <v>265333.1743</v>
      </c>
      <c r="I74" s="189">
        <f t="shared" si="20"/>
        <v>442447.6691</v>
      </c>
      <c r="J74" s="190">
        <f>H74*C54</f>
        <v>759708.3546</v>
      </c>
      <c r="K74" s="191">
        <f>L68*K73</f>
        <v>616.6561954</v>
      </c>
      <c r="L74" s="5"/>
      <c r="M74" s="5"/>
      <c r="N74" s="5"/>
    </row>
    <row r="75">
      <c r="A75" s="126"/>
      <c r="B75" s="15"/>
      <c r="C75" s="15"/>
      <c r="D75" s="21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21"/>
      <c r="D76" s="21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21"/>
      <c r="D77" s="21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5" width="16.0"/>
  </cols>
  <sheetData>
    <row r="3">
      <c r="A3" s="192"/>
      <c r="B3" s="193" t="s">
        <v>81</v>
      </c>
    </row>
    <row r="4">
      <c r="A4" s="194"/>
      <c r="B4" s="194"/>
      <c r="C4" s="194"/>
    </row>
    <row r="5">
      <c r="A5" s="195"/>
      <c r="B5" s="195" t="s">
        <v>82</v>
      </c>
    </row>
    <row r="6">
      <c r="A6" s="195"/>
      <c r="B6" s="196" t="s">
        <v>83</v>
      </c>
    </row>
    <row r="7">
      <c r="A7" s="197"/>
      <c r="B7" s="198" t="s">
        <v>84</v>
      </c>
    </row>
    <row r="8">
      <c r="A8" s="197"/>
      <c r="B8" s="198" t="s">
        <v>85</v>
      </c>
    </row>
    <row r="9">
      <c r="A9" s="195"/>
      <c r="B9" s="198" t="s">
        <v>86</v>
      </c>
    </row>
    <row r="10">
      <c r="A10" s="195"/>
      <c r="B10" s="198" t="s">
        <v>87</v>
      </c>
    </row>
    <row r="11">
      <c r="A11" s="195"/>
      <c r="B11" s="198" t="s">
        <v>88</v>
      </c>
    </row>
    <row r="12">
      <c r="A12" s="195"/>
      <c r="B12" s="198" t="s">
        <v>89</v>
      </c>
    </row>
    <row r="13">
      <c r="A13" s="197"/>
      <c r="B13" s="197"/>
      <c r="C13" s="197"/>
      <c r="D13" s="197"/>
      <c r="E13" s="197"/>
    </row>
    <row r="14">
      <c r="A14" s="197"/>
      <c r="B14" s="197"/>
      <c r="C14" s="197"/>
      <c r="D14" s="197"/>
      <c r="E14" s="197"/>
    </row>
    <row r="15">
      <c r="A15" s="197"/>
      <c r="B15" s="197"/>
      <c r="C15" s="197"/>
      <c r="D15" s="197"/>
      <c r="E15" s="197"/>
    </row>
    <row r="16">
      <c r="A16" s="197"/>
      <c r="B16" s="197"/>
      <c r="C16" s="197"/>
      <c r="D16" s="197"/>
      <c r="E16" s="197"/>
    </row>
    <row r="17">
      <c r="A17" s="197"/>
      <c r="B17" s="197"/>
      <c r="C17" s="197"/>
      <c r="D17" s="197"/>
      <c r="E17" s="197"/>
    </row>
    <row r="18">
      <c r="A18" s="197"/>
      <c r="B18" s="197"/>
      <c r="C18" s="197"/>
      <c r="D18" s="197"/>
      <c r="E18" s="197"/>
    </row>
    <row r="19">
      <c r="A19" s="199"/>
      <c r="B19" s="197"/>
      <c r="C19" s="197"/>
      <c r="D19" s="197"/>
      <c r="E19" s="197"/>
    </row>
    <row r="20">
      <c r="A20" s="199"/>
      <c r="B20" s="197"/>
      <c r="C20" s="197"/>
      <c r="D20" s="197"/>
      <c r="E20" s="197"/>
    </row>
  </sheetData>
  <mergeCells count="9">
    <mergeCell ref="B7:E7"/>
    <mergeCell ref="B6:E6"/>
    <mergeCell ref="B3:E3"/>
    <mergeCell ref="B5:E5"/>
    <mergeCell ref="B8:E8"/>
    <mergeCell ref="B9:E9"/>
    <mergeCell ref="B10:E10"/>
    <mergeCell ref="B11:E11"/>
    <mergeCell ref="B12:E12"/>
  </mergeCells>
  <drawing r:id="rId1"/>
</worksheet>
</file>