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tion" sheetId="1" r:id="rId4"/>
    <sheet state="visible" name="WACC" sheetId="2" r:id="rId5"/>
    <sheet state="visible" name="Q Bank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6">
      <text>
        <t xml:space="preserve">Calculated in Sheet 2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Generally, a companies assets are financed by debt and equity. Step 1 is to determine the market weight of equity and debt.</t>
      </text>
    </comment>
  </commentList>
</comments>
</file>

<file path=xl/sharedStrings.xml><?xml version="1.0" encoding="utf-8"?>
<sst xmlns="http://schemas.openxmlformats.org/spreadsheetml/2006/main" count="159" uniqueCount="137">
  <si>
    <t>Subaru Corporation</t>
  </si>
  <si>
    <r>
      <rPr>
        <rFont val="Helvetica Neue"/>
        <i/>
        <color theme="1"/>
        <sz val="9.0"/>
      </rPr>
      <t>in thousands</t>
    </r>
    <r>
      <rPr>
        <rFont val="Helvetica Neue"/>
        <color theme="1"/>
        <sz val="9.0"/>
      </rPr>
      <t>, except per shares</t>
    </r>
  </si>
  <si>
    <t>Y19</t>
  </si>
  <si>
    <t>Y20</t>
  </si>
  <si>
    <t>Y21</t>
  </si>
  <si>
    <t>Y22</t>
  </si>
  <si>
    <t>Y23</t>
  </si>
  <si>
    <t>Y24</t>
  </si>
  <si>
    <t>PDD Holdings, formerly Pinduoduo Inc, was incorporated in 2015 in Dublin Ireland. Pinduoduo operates an e-commerce platform that offers products spanning a wide variety of categories and Temu a global online marketplace.</t>
  </si>
  <si>
    <t>Revenue</t>
  </si>
  <si>
    <t>Revenue Growth</t>
  </si>
  <si>
    <t>Cost of Revenue (COGS)</t>
  </si>
  <si>
    <t>Profit Margin</t>
  </si>
  <si>
    <t>Gross Profit</t>
  </si>
  <si>
    <t>Gross Profit Growth</t>
  </si>
  <si>
    <t>SG&amp;A</t>
  </si>
  <si>
    <t>Research &amp; Development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</si>
  <si>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</si>
  <si>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</si>
  <si>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</si>
  <si>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</si>
  <si>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</si>
  <si>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</si>
  <si>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</si>
  <si>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</si>
  <si>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</si>
  <si>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</si>
  <si>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</si>
  <si>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FUJHF</t>
  </si>
  <si>
    <t>10-K SEC Filing</t>
  </si>
  <si>
    <t>Shares</t>
  </si>
  <si>
    <t>in JPY (156:1, JPY:USD)</t>
  </si>
  <si>
    <t>Share Price</t>
  </si>
  <si>
    <t>Total Debt</t>
  </si>
  <si>
    <t>Market Cap (Actual)</t>
  </si>
  <si>
    <t>Shareholder Equity</t>
  </si>
  <si>
    <t>Market Cap (Estimate)</t>
  </si>
  <si>
    <t>Capital Lease Obligations</t>
  </si>
  <si>
    <t>ROIC</t>
  </si>
  <si>
    <t>Cash and Cash Equivalents</t>
  </si>
  <si>
    <t>EV</t>
  </si>
  <si>
    <t>Working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</si>
  <si>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</si>
  <si>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</si>
  <si>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</si>
  <si>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</si>
  <si>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</si>
  <si>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</si>
  <si>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</si>
  <si>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</si>
  <si>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</si>
  <si>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</si>
  <si>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(WACC)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</si>
  <si>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</si>
  <si>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</si>
  <si>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</si>
  <si>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</si>
  <si>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</si>
  <si>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</si>
  <si>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</si>
  <si>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</si>
  <si>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</si>
  <si>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</si>
  <si>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</si>
  <si>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</si>
  <si>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</si>
  <si>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</si>
  <si>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</si>
  <si>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</si>
  <si>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</si>
  <si>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</si>
  <si>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</si>
  <si>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</si>
  <si>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</si>
  <si>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</si>
  <si>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</si>
  <si>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</si>
  <si>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</si>
  <si>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In the above cash flow regression (coined CFR), revenue is projected out T+20, and the NPV is taken for year T+10 using a discounted net income margin. We then calculate the compounded rate of return using the current NPV and NPV at T+10.</t>
  </si>
  <si>
    <t>Discounted NI</t>
  </si>
  <si>
    <t>Disc. FCF</t>
  </si>
  <si>
    <t>Visualizations</t>
  </si>
  <si>
    <t>WACC Calculations</t>
  </si>
  <si>
    <t>Inputs</t>
  </si>
  <si>
    <t>WACC	=	E	/	(E + D)	*	Cost of Equity	+	D	/	(E + D)	*	Cost of Debt	*	(1 - Tax Rate)</t>
  </si>
  <si>
    <t>Market Premium</t>
  </si>
  <si>
    <t>Beta of Asset</t>
  </si>
  <si>
    <t>Step 1: Weights</t>
  </si>
  <si>
    <t>Important notes</t>
  </si>
  <si>
    <t>Market Value of Equity (Market Cap)</t>
  </si>
  <si>
    <t>in JPY</t>
  </si>
  <si>
    <t xml:space="preserve">Market premium should be around 6% over the long term. </t>
  </si>
  <si>
    <t>Market Value of Debt</t>
  </si>
  <si>
    <t>The beta of the asset defaults to 1.</t>
  </si>
  <si>
    <t>Weight of Equity =</t>
  </si>
  <si>
    <t>E / (E + D)</t>
  </si>
  <si>
    <t>If there is no recorded interest expense (say the net interest is solely recorded positive), can use the market cost of debt.</t>
  </si>
  <si>
    <t>Weight of Debt =</t>
  </si>
  <si>
    <t>D / ( E + D)</t>
  </si>
  <si>
    <t>Step 2: Cost of Equity</t>
  </si>
  <si>
    <t>Cost of Equity = Risk-Free Rate + Beta of Asset * (Expected Return of the Market - Risk-Free Rate)</t>
  </si>
  <si>
    <t>Risk-Free Rate =</t>
  </si>
  <si>
    <t>(alternate link)</t>
  </si>
  <si>
    <t>Asset Beta =</t>
  </si>
  <si>
    <t>Expected Market Return =</t>
  </si>
  <si>
    <t>We require the market premium = 6% so expected market return must be 6% + the risk free rate</t>
  </si>
  <si>
    <t>Cost of Equity =</t>
  </si>
  <si>
    <t>Step 3: Cost of Debt (simplified)</t>
  </si>
  <si>
    <t>Cost of Debt = Interest Expense / Book Value of Debt</t>
  </si>
  <si>
    <t>Interest Expense =</t>
  </si>
  <si>
    <t>Book Value of Debt =</t>
  </si>
  <si>
    <t>Cost of Debt =</t>
  </si>
  <si>
    <t>Step 4: Tax Expense Rate</t>
  </si>
  <si>
    <t>Min: 0%, Max: 100%</t>
  </si>
  <si>
    <t>Tax Rate = Tax Expense / Pretax Income</t>
  </si>
  <si>
    <t>Tax Expense =</t>
  </si>
  <si>
    <t>Pretax Income =</t>
  </si>
  <si>
    <t>Tax Rate =</t>
  </si>
  <si>
    <t>WACC</t>
  </si>
  <si>
    <t>Since it costs money to raise capital, a firm that generates a higher ROIC than it's WACC is creating value.</t>
  </si>
  <si>
    <r>
      <rPr>
        <rFont val="Arial"/>
        <color theme="1"/>
      </rPr>
      <t xml:space="preserve">If the company continues to generate positive </t>
    </r>
    <r>
      <rPr>
        <rFont val="Arial"/>
        <b/>
        <color theme="1"/>
      </rPr>
      <t>excess</t>
    </r>
    <r>
      <rPr>
        <rFont val="Arial"/>
        <color theme="1"/>
      </rPr>
      <t xml:space="preserve"> returns on new investments, it will continue creating value.</t>
    </r>
  </si>
  <si>
    <t>Contrarily, if a firm returns less than the cost of capital will destroy value.</t>
  </si>
  <si>
    <t>Notice that ROIC is calculated as the net income over the working capital of the firm.</t>
  </si>
  <si>
    <t>If a firm generates excess cash &amp; cash equivalents, it's working capital will increase.</t>
  </si>
  <si>
    <t>If the net income does not increase proportionally, the ROIC will subsequently drop.</t>
  </si>
  <si>
    <t>Reference:</t>
  </si>
  <si>
    <t>https://www.gurufocus.com/term/wacc/PDD#:~:text=What%20is%20PDD%20Holdings%20WACC,capital%20needed%20for%20that%20investment.</t>
  </si>
  <si>
    <t>Questions</t>
  </si>
  <si>
    <t>&gt;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</si>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</sst>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.00"/>
    <numFmt numFmtId="166" formatCode="0.0%"/>
    <numFmt numFmtId="167" formatCode="&quot;$&quot;#,##0"/>
    <numFmt numFmtId="168" formatCode="0.0000"/>
    <numFmt numFmtId="169" formatCode="#,##0.0000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/>
    <font>
      <i/>
      <color theme="1"/>
      <name val="Helvetica Neue"/>
    </font>
    <font>
      <color rgb="FF000000"/>
      <name val="&quot;docs-Helvetica Neue&quot;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i/>
      <color theme="1"/>
      <name val="Arial"/>
      <scheme val="minor"/>
    </font>
    <font>
      <i/>
      <u/>
      <color rgb="FF0000FF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6EEE3"/>
        <bgColor rgb="FFF6EEE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CFAFA"/>
        <bgColor rgb="FFFCFAFA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164" xfId="0" applyFont="1" applyNumberFormat="1"/>
    <xf borderId="0" fillId="2" fontId="1" numFmtId="0" xfId="0" applyFont="1"/>
    <xf borderId="1" fillId="3" fontId="2" numFmtId="0" xfId="0" applyAlignment="1" applyBorder="1" applyFill="1" applyFont="1">
      <alignment readingOrder="0"/>
    </xf>
    <xf borderId="2" fillId="3" fontId="3" numFmtId="164" xfId="0" applyAlignment="1" applyBorder="1" applyFont="1" applyNumberFormat="1">
      <alignment readingOrder="0"/>
    </xf>
    <xf borderId="0" fillId="2" fontId="3" numFmtId="0" xfId="0" applyFont="1"/>
    <xf borderId="1" fillId="4" fontId="4" numFmtId="0" xfId="0" applyAlignment="1" applyBorder="1" applyFill="1" applyFont="1">
      <alignment readingOrder="0"/>
    </xf>
    <xf borderId="3" fillId="4" fontId="2" numFmtId="0" xfId="0" applyAlignment="1" applyBorder="1" applyFont="1">
      <alignment horizontal="right" readingOrder="0" vertical="bottom"/>
    </xf>
    <xf borderId="2" fillId="4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4" fillId="5" fontId="3" numFmtId="0" xfId="0" applyAlignment="1" applyBorder="1" applyFill="1" applyFont="1">
      <alignment readingOrder="0" shrinkToFit="0" vertical="top" wrapText="1"/>
    </xf>
    <xf borderId="5" fillId="0" fontId="5" numFmtId="0" xfId="0" applyBorder="1" applyFont="1"/>
    <xf borderId="0" fillId="2" fontId="3" numFmtId="165" xfId="0" applyAlignment="1" applyFont="1" applyNumberFormat="1">
      <alignment readingOrder="0"/>
    </xf>
    <xf borderId="4" fillId="6" fontId="3" numFmtId="3" xfId="0" applyAlignment="1" applyBorder="1" applyFill="1" applyFont="1" applyNumberFormat="1">
      <alignment readingOrder="0"/>
    </xf>
    <xf borderId="6" fillId="6" fontId="3" numFmtId="3" xfId="0" applyAlignment="1" applyBorder="1" applyFont="1" applyNumberFormat="1">
      <alignment readingOrder="0"/>
    </xf>
    <xf borderId="5" fillId="6" fontId="3" numFmtId="3" xfId="0" applyAlignment="1" applyBorder="1" applyFont="1" applyNumberFormat="1">
      <alignment readingOrder="0"/>
    </xf>
    <xf borderId="7" fillId="0" fontId="5" numFmtId="0" xfId="0" applyBorder="1" applyFont="1"/>
    <xf borderId="8" fillId="0" fontId="5" numFmtId="0" xfId="0" applyBorder="1" applyFont="1"/>
    <xf borderId="0" fillId="2" fontId="2" numFmtId="0" xfId="0" applyAlignment="1" applyFont="1">
      <alignment readingOrder="0" vertical="bottom"/>
    </xf>
    <xf borderId="7" fillId="6" fontId="3" numFmtId="10" xfId="0" applyAlignment="1" applyBorder="1" applyFont="1" applyNumberFormat="1">
      <alignment readingOrder="0"/>
    </xf>
    <xf borderId="0" fillId="6" fontId="3" numFmtId="10" xfId="0" applyAlignment="1" applyFont="1" applyNumberFormat="1">
      <alignment readingOrder="0"/>
    </xf>
    <xf borderId="8" fillId="6" fontId="3" numFmtId="10" xfId="0" applyAlignment="1" applyBorder="1" applyFont="1" applyNumberFormat="1">
      <alignment readingOrder="0"/>
    </xf>
    <xf borderId="7" fillId="6" fontId="3" numFmtId="4" xfId="0" applyAlignment="1" applyBorder="1" applyFont="1" applyNumberFormat="1">
      <alignment readingOrder="0"/>
    </xf>
    <xf borderId="0" fillId="6" fontId="3" numFmtId="3" xfId="0" applyAlignment="1" applyFont="1" applyNumberFormat="1">
      <alignment readingOrder="0"/>
    </xf>
    <xf borderId="8" fillId="6" fontId="3" numFmtId="3" xfId="0" applyAlignment="1" applyBorder="1" applyFont="1" applyNumberFormat="1">
      <alignment readingOrder="0"/>
    </xf>
    <xf borderId="0" fillId="2" fontId="3" numFmtId="3" xfId="0" applyAlignment="1" applyFont="1" applyNumberFormat="1">
      <alignment readingOrder="0"/>
    </xf>
    <xf borderId="7" fillId="6" fontId="3" numFmtId="166" xfId="0" applyBorder="1" applyFont="1" applyNumberFormat="1"/>
    <xf borderId="0" fillId="6" fontId="3" numFmtId="166" xfId="0" applyFont="1" applyNumberFormat="1"/>
    <xf borderId="8" fillId="6" fontId="3" numFmtId="166" xfId="0" applyBorder="1" applyFont="1" applyNumberFormat="1"/>
    <xf borderId="0" fillId="2" fontId="3" numFmtId="10" xfId="0" applyFont="1" applyNumberFormat="1"/>
    <xf borderId="7" fillId="6" fontId="3" numFmtId="0" xfId="0" applyBorder="1" applyFont="1"/>
    <xf borderId="0" fillId="6" fontId="3" numFmtId="0" xfId="0" applyFont="1"/>
    <xf borderId="0" fillId="6" fontId="3" numFmtId="3" xfId="0" applyFont="1" applyNumberFormat="1"/>
    <xf borderId="8" fillId="6" fontId="3" numFmtId="3" xfId="0" applyBorder="1" applyFont="1" applyNumberFormat="1"/>
    <xf borderId="7" fillId="6" fontId="3" numFmtId="166" xfId="0" applyAlignment="1" applyBorder="1" applyFont="1" applyNumberFormat="1">
      <alignment readingOrder="0"/>
    </xf>
    <xf borderId="0" fillId="6" fontId="3" numFmtId="166" xfId="0" applyAlignment="1" applyFont="1" applyNumberFormat="1">
      <alignment readingOrder="0"/>
    </xf>
    <xf borderId="0" fillId="2" fontId="2" numFmtId="0" xfId="0" applyAlignment="1" applyFont="1">
      <alignment readingOrder="0" shrinkToFit="0" vertical="bottom" wrapText="1"/>
    </xf>
    <xf borderId="7" fillId="6" fontId="3" numFmtId="4" xfId="0" applyAlignment="1" applyBorder="1" applyFont="1" applyNumberFormat="1">
      <alignment horizontal="right" readingOrder="0"/>
    </xf>
    <xf borderId="0" fillId="6" fontId="3" numFmtId="3" xfId="0" applyAlignment="1" applyFont="1" applyNumberFormat="1">
      <alignment horizontal="right" readingOrder="0"/>
    </xf>
    <xf borderId="0" fillId="6" fontId="3" numFmtId="3" xfId="0" applyAlignment="1" applyFont="1" applyNumberFormat="1">
      <alignment readingOrder="0" shrinkToFit="0" vertical="top" wrapText="1"/>
    </xf>
    <xf borderId="8" fillId="6" fontId="3" numFmtId="3" xfId="0" applyAlignment="1" applyBorder="1" applyFont="1" applyNumberFormat="1">
      <alignment readingOrder="0" shrinkToFit="0" vertical="top" wrapText="1"/>
    </xf>
    <xf borderId="0" fillId="2" fontId="3" numFmtId="4" xfId="0" applyFont="1" applyNumberFormat="1"/>
    <xf borderId="0" fillId="2" fontId="3" numFmtId="0" xfId="0" applyAlignment="1" applyFont="1">
      <alignment horizontal="right"/>
    </xf>
    <xf borderId="0" fillId="2" fontId="2" numFmtId="0" xfId="0" applyAlignment="1" applyFont="1">
      <alignment shrinkToFit="0" vertical="bottom" wrapText="1"/>
    </xf>
    <xf borderId="7" fillId="6" fontId="3" numFmtId="0" xfId="0" applyAlignment="1" applyBorder="1" applyFont="1">
      <alignment horizontal="right" readingOrder="0"/>
    </xf>
    <xf borderId="0" fillId="6" fontId="3" numFmtId="0" xfId="0" applyAlignment="1" applyFont="1">
      <alignment horizontal="right" readingOrder="0"/>
    </xf>
    <xf borderId="8" fillId="6" fontId="3" numFmtId="3" xfId="0" applyAlignment="1" applyBorder="1" applyFont="1" applyNumberFormat="1">
      <alignment horizontal="right" readingOrder="0"/>
    </xf>
    <xf borderId="0" fillId="2" fontId="3" numFmtId="4" xfId="0" applyAlignment="1" applyFont="1" applyNumberFormat="1">
      <alignment readingOrder="0"/>
    </xf>
    <xf borderId="0" fillId="2" fontId="3" numFmtId="2" xfId="0" applyAlignment="1" applyFont="1" applyNumberFormat="1">
      <alignment horizontal="right" readingOrder="0"/>
    </xf>
    <xf borderId="7" fillId="6" fontId="3" numFmtId="3" xfId="0" applyAlignment="1" applyBorder="1" applyFont="1" applyNumberFormat="1">
      <alignment readingOrder="0"/>
    </xf>
    <xf borderId="0" fillId="2" fontId="3" numFmtId="10" xfId="0" applyAlignment="1" applyFont="1" applyNumberFormat="1">
      <alignment readingOrder="0"/>
    </xf>
    <xf borderId="0" fillId="2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3" numFmtId="2" xfId="0" applyFont="1" applyNumberFormat="1"/>
    <xf borderId="7" fillId="6" fontId="3" numFmtId="4" xfId="0" applyBorder="1" applyFont="1" applyNumberFormat="1"/>
    <xf borderId="0" fillId="0" fontId="3" numFmtId="4" xfId="0" applyAlignment="1" applyFont="1" applyNumberFormat="1">
      <alignment readingOrder="0" shrinkToFit="0" vertical="top" wrapText="1"/>
    </xf>
    <xf borderId="9" fillId="0" fontId="5" numFmtId="0" xfId="0" applyBorder="1" applyFont="1"/>
    <xf borderId="10" fillId="0" fontId="5" numFmtId="0" xfId="0" applyBorder="1" applyFont="1"/>
    <xf borderId="7" fillId="6" fontId="3" numFmtId="0" xfId="0" applyAlignment="1" applyBorder="1" applyFont="1">
      <alignment readingOrder="0"/>
    </xf>
    <xf borderId="0" fillId="6" fontId="3" numFmtId="9" xfId="0" applyFont="1" applyNumberFormat="1"/>
    <xf borderId="8" fillId="6" fontId="3" numFmtId="9" xfId="0" applyBorder="1" applyFont="1" applyNumberFormat="1"/>
    <xf borderId="0" fillId="2" fontId="3" numFmtId="0" xfId="0" applyFont="1"/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2" fillId="3" fontId="3" numFmtId="0" xfId="0" applyAlignment="1" applyBorder="1" applyFont="1">
      <alignment horizontal="right" readingOrder="0"/>
    </xf>
    <xf borderId="9" fillId="6" fontId="3" numFmtId="4" xfId="0" applyAlignment="1" applyBorder="1" applyFont="1" applyNumberFormat="1">
      <alignment readingOrder="0"/>
    </xf>
    <xf borderId="11" fillId="6" fontId="3" numFmtId="3" xfId="0" applyAlignment="1" applyBorder="1" applyFont="1" applyNumberFormat="1">
      <alignment readingOrder="0"/>
    </xf>
    <xf borderId="10" fillId="6" fontId="3" numFmtId="3" xfId="0" applyAlignment="1" applyBorder="1" applyFont="1" applyNumberFormat="1">
      <alignment readingOrder="0"/>
    </xf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horizontal="right" readingOrder="0"/>
    </xf>
    <xf borderId="12" fillId="7" fontId="2" numFmtId="165" xfId="0" applyAlignment="1" applyBorder="1" applyFill="1" applyFont="1" applyNumberFormat="1">
      <alignment readingOrder="0" vertical="bottom"/>
    </xf>
    <xf borderId="4" fillId="8" fontId="3" numFmtId="4" xfId="0" applyAlignment="1" applyBorder="1" applyFill="1" applyFont="1" applyNumberFormat="1">
      <alignment horizontal="right" readingOrder="0"/>
    </xf>
    <xf borderId="6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5" fillId="8" fontId="3" numFmtId="3" xfId="0" applyAlignment="1" applyBorder="1" applyFont="1" applyNumberFormat="1">
      <alignment readingOrder="0"/>
    </xf>
    <xf borderId="13" fillId="7" fontId="3" numFmtId="165" xfId="0" applyAlignment="1" applyBorder="1" applyFont="1" applyNumberFormat="1">
      <alignment readingOrder="0" vertical="bottom"/>
    </xf>
    <xf borderId="7" fillId="8" fontId="3" numFmtId="4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 vertical="bottom"/>
    </xf>
    <xf borderId="0" fillId="8" fontId="3" numFmtId="3" xfId="0" applyAlignment="1" applyFont="1" applyNumberFormat="1">
      <alignment readingOrder="0"/>
    </xf>
    <xf borderId="8" fillId="8" fontId="3" numFmtId="3" xfId="0" applyAlignment="1" applyBorder="1" applyFont="1" applyNumberFormat="1">
      <alignment readingOrder="0"/>
    </xf>
    <xf borderId="13" fillId="7" fontId="2" numFmtId="10" xfId="0" applyAlignment="1" applyBorder="1" applyFont="1" applyNumberFormat="1">
      <alignment readingOrder="0" vertical="bottom"/>
    </xf>
    <xf borderId="9" fillId="8" fontId="3" numFmtId="4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0" fillId="2" fontId="2" numFmtId="0" xfId="0" applyAlignment="1" applyFont="1">
      <alignment vertical="bottom"/>
    </xf>
    <xf borderId="13" fillId="7" fontId="3" numFmtId="4" xfId="0" applyAlignment="1" applyBorder="1" applyFont="1" applyNumberFormat="1">
      <alignment readingOrder="0" vertical="bottom"/>
    </xf>
    <xf borderId="4" fillId="9" fontId="3" numFmtId="2" xfId="0" applyAlignment="1" applyBorder="1" applyFill="1" applyFont="1" applyNumberFormat="1">
      <alignment horizontal="right" readingOrder="0"/>
    </xf>
    <xf borderId="6" fillId="9" fontId="3" numFmtId="3" xfId="0" applyAlignment="1" applyBorder="1" applyFont="1" applyNumberFormat="1">
      <alignment horizontal="right" readingOrder="0"/>
    </xf>
    <xf borderId="6" fillId="9" fontId="3" numFmtId="3" xfId="0" applyAlignment="1" applyBorder="1" applyFont="1" applyNumberFormat="1">
      <alignment horizontal="right" readingOrder="0" vertical="bottom"/>
    </xf>
    <xf borderId="6" fillId="9" fontId="3" numFmtId="3" xfId="0" applyAlignment="1" applyBorder="1" applyFont="1" applyNumberFormat="1">
      <alignment readingOrder="0"/>
    </xf>
    <xf borderId="5" fillId="9" fontId="3" numFmtId="3" xfId="0" applyAlignment="1" applyBorder="1" applyFont="1" applyNumberFormat="1">
      <alignment readingOrder="0"/>
    </xf>
    <xf borderId="0" fillId="2" fontId="2" numFmtId="0" xfId="0" applyAlignment="1" applyFont="1">
      <alignment shrinkToFit="0" vertical="bottom" wrapText="1"/>
    </xf>
    <xf borderId="13" fillId="7" fontId="3" numFmtId="4" xfId="0" applyAlignment="1" applyBorder="1" applyFont="1" applyNumberFormat="1">
      <alignment readingOrder="0" shrinkToFit="0" vertical="bottom" wrapText="0"/>
    </xf>
    <xf borderId="0" fillId="2" fontId="2" numFmtId="0" xfId="0" applyAlignment="1" applyFont="1">
      <alignment horizontal="left" readingOrder="0"/>
    </xf>
    <xf borderId="7" fillId="9" fontId="3" numFmtId="2" xfId="0" applyAlignment="1" applyBorder="1" applyFont="1" applyNumberFormat="1">
      <alignment horizontal="right" readingOrder="0"/>
    </xf>
    <xf borderId="0" fillId="9" fontId="3" numFmtId="3" xfId="0" applyAlignment="1" applyFont="1" applyNumberFormat="1">
      <alignment horizontal="right" readingOrder="0" vertical="bottom"/>
    </xf>
    <xf borderId="0" fillId="9" fontId="3" numFmtId="3" xfId="0" applyAlignment="1" applyFont="1" applyNumberFormat="1">
      <alignment horizontal="right" readingOrder="0"/>
    </xf>
    <xf borderId="0" fillId="9" fontId="3" numFmtId="3" xfId="0" applyAlignment="1" applyFont="1" applyNumberFormat="1">
      <alignment readingOrder="0"/>
    </xf>
    <xf borderId="8" fillId="9" fontId="3" numFmtId="3" xfId="0" applyAlignment="1" applyBorder="1" applyFont="1" applyNumberFormat="1">
      <alignment readingOrder="0"/>
    </xf>
    <xf borderId="14" fillId="7" fontId="3" numFmtId="4" xfId="0" applyAlignment="1" applyBorder="1" applyFont="1" applyNumberFormat="1">
      <alignment readingOrder="0" vertical="bottom"/>
    </xf>
    <xf borderId="0" fillId="2" fontId="1" numFmtId="165" xfId="0" applyFont="1" applyNumberFormat="1"/>
    <xf borderId="0" fillId="2" fontId="3" numFmtId="10" xfId="0" applyAlignment="1" applyFont="1" applyNumberFormat="1">
      <alignment vertical="bottom"/>
    </xf>
    <xf borderId="9" fillId="9" fontId="3" numFmtId="2" xfId="0" applyAlignment="1" applyBorder="1" applyFont="1" applyNumberFormat="1">
      <alignment horizontal="right" readingOrder="0"/>
    </xf>
    <xf borderId="11" fillId="9" fontId="3" numFmtId="3" xfId="0" applyAlignment="1" applyBorder="1" applyFont="1" applyNumberFormat="1">
      <alignment horizontal="right" readingOrder="0"/>
    </xf>
    <xf borderId="11" fillId="9" fontId="3" numFmtId="3" xfId="0" applyAlignment="1" applyBorder="1" applyFont="1" applyNumberFormat="1">
      <alignment readingOrder="0"/>
    </xf>
    <xf borderId="10" fillId="9" fontId="3" numFmtId="3" xfId="0" applyAlignment="1" applyBorder="1" applyFont="1" applyNumberFormat="1">
      <alignment readingOrder="0"/>
    </xf>
    <xf borderId="12" fillId="6" fontId="3" numFmtId="10" xfId="0" applyAlignment="1" applyBorder="1" applyFont="1" applyNumberForma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3" numFmtId="49" xfId="0" applyAlignment="1" applyFont="1" applyNumberFormat="1">
      <alignment horizontal="right" readingOrder="0"/>
    </xf>
    <xf borderId="13" fillId="6" fontId="3" numFmtId="10" xfId="0" applyAlignment="1" applyBorder="1" applyFont="1" applyNumberFormat="1">
      <alignment readingOrder="0" shrinkToFit="0" vertical="bottom" wrapText="1"/>
    </xf>
    <xf borderId="4" fillId="10" fontId="3" numFmtId="2" xfId="0" applyAlignment="1" applyBorder="1" applyFill="1" applyFont="1" applyNumberFormat="1">
      <alignment horizontal="right" readingOrder="0"/>
    </xf>
    <xf borderId="6" fillId="10" fontId="3" numFmtId="3" xfId="0" applyAlignment="1" applyBorder="1" applyFont="1" applyNumberFormat="1">
      <alignment horizontal="right" readingOrder="0"/>
    </xf>
    <xf borderId="6" fillId="10" fontId="3" numFmtId="3" xfId="0" applyAlignment="1" applyBorder="1" applyFont="1" applyNumberFormat="1">
      <alignment horizontal="right" readingOrder="0" vertical="bottom"/>
    </xf>
    <xf borderId="6" fillId="10" fontId="3" numFmtId="3" xfId="0" applyAlignment="1" applyBorder="1" applyFont="1" applyNumberFormat="1">
      <alignment readingOrder="0"/>
    </xf>
    <xf borderId="5" fillId="10" fontId="3" numFmtId="3" xfId="0" applyAlignment="1" applyBorder="1" applyFont="1" applyNumberFormat="1">
      <alignment readingOrder="0"/>
    </xf>
    <xf borderId="13" fillId="6" fontId="3" numFmtId="165" xfId="0" applyAlignment="1" applyBorder="1" applyFont="1" applyNumberFormat="1">
      <alignment readingOrder="0" shrinkToFit="0" vertical="bottom" wrapText="1"/>
    </xf>
    <xf borderId="7" fillId="10" fontId="3" numFmtId="2" xfId="0" applyAlignment="1" applyBorder="1" applyFont="1" applyNumberFormat="1">
      <alignment horizontal="right" readingOrder="0"/>
    </xf>
    <xf borderId="0" fillId="10" fontId="3" numFmtId="3" xfId="0" applyAlignment="1" applyFont="1" applyNumberFormat="1">
      <alignment horizontal="right" readingOrder="0"/>
    </xf>
    <xf borderId="0" fillId="10" fontId="3" numFmtId="3" xfId="0" applyAlignment="1" applyFont="1" applyNumberFormat="1">
      <alignment readingOrder="0"/>
    </xf>
    <xf borderId="8" fillId="10" fontId="3" numFmtId="3" xfId="0" applyAlignment="1" applyBorder="1" applyFont="1" applyNumberFormat="1">
      <alignment readingOrder="0"/>
    </xf>
    <xf borderId="13" fillId="6" fontId="3" numFmtId="3" xfId="0" applyAlignment="1" applyBorder="1" applyFont="1" applyNumberFormat="1">
      <alignment readingOrder="0" shrinkToFit="0" vertical="bottom" wrapText="1"/>
    </xf>
    <xf borderId="13" fillId="6" fontId="2" numFmtId="165" xfId="0" applyAlignment="1" applyBorder="1" applyFont="1" applyNumberForma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9" fillId="10" fontId="3" numFmtId="2" xfId="0" applyAlignment="1" applyBorder="1" applyFont="1" applyNumberFormat="1">
      <alignment horizontal="right" readingOrder="0"/>
    </xf>
    <xf borderId="11" fillId="10" fontId="3" numFmtId="3" xfId="0" applyAlignment="1" applyBorder="1" applyFont="1" applyNumberFormat="1">
      <alignment horizontal="right" readingOrder="0"/>
    </xf>
    <xf borderId="10" fillId="10" fontId="3" numFmtId="3" xfId="0" applyAlignment="1" applyBorder="1" applyFont="1" applyNumberFormat="1">
      <alignment readingOrder="0"/>
    </xf>
    <xf borderId="14" fillId="6" fontId="1" numFmtId="10" xfId="0" applyBorder="1" applyFont="1" applyNumberFormat="1"/>
    <xf borderId="0" fillId="2" fontId="3" numFmtId="0" xfId="0" applyAlignment="1" applyFont="1">
      <alignment horizontal="left" readingOrder="0"/>
    </xf>
    <xf borderId="0" fillId="2" fontId="3" numFmtId="49" xfId="0" applyFont="1" applyNumberFormat="1"/>
    <xf borderId="0" fillId="2" fontId="1" numFmtId="10" xfId="0" applyFont="1" applyNumberFormat="1"/>
    <xf borderId="1" fillId="11" fontId="2" numFmtId="0" xfId="0" applyAlignment="1" applyBorder="1" applyFill="1" applyFont="1">
      <alignment horizontal="left" readingOrder="0" vertical="bottom"/>
    </xf>
    <xf borderId="3" fillId="11" fontId="2" numFmtId="0" xfId="0" applyAlignment="1" applyBorder="1" applyFont="1">
      <alignment horizontal="right" readingOrder="0" vertical="bottom"/>
    </xf>
    <xf borderId="3" fillId="11" fontId="2" numFmtId="10" xfId="0" applyAlignment="1" applyBorder="1" applyFont="1" applyNumberFormat="1">
      <alignment horizontal="right" vertical="bottom"/>
    </xf>
    <xf borderId="3" fillId="11" fontId="2" numFmtId="165" xfId="0" applyAlignment="1" applyBorder="1" applyFont="1" applyNumberFormat="1">
      <alignment horizontal="right" vertical="bottom"/>
    </xf>
    <xf borderId="3" fillId="11" fontId="2" numFmtId="0" xfId="0" applyAlignment="1" applyBorder="1" applyFont="1">
      <alignment horizontal="right" readingOrder="0" shrinkToFit="0" vertical="top" wrapText="1"/>
    </xf>
    <xf borderId="2" fillId="11" fontId="2" numFmtId="0" xfId="0" applyAlignment="1" applyBorder="1" applyFont="1">
      <alignment horizontal="right" readingOrder="0" shrinkToFit="0" vertical="top" wrapText="1"/>
    </xf>
    <xf borderId="12" fillId="8" fontId="3" numFmtId="165" xfId="0" applyBorder="1" applyFont="1" applyNumberFormat="1"/>
    <xf borderId="0" fillId="2" fontId="2" numFmtId="0" xfId="0" applyAlignment="1" applyFont="1">
      <alignment horizontal="left" vertical="bottom"/>
    </xf>
    <xf borderId="0" fillId="2" fontId="2" numFmtId="10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2" numFmtId="0" xfId="0" applyAlignment="1" applyFont="1">
      <alignment horizontal="right" readingOrder="0" vertical="bottom"/>
    </xf>
    <xf borderId="14" fillId="8" fontId="3" numFmtId="165" xfId="0" applyBorder="1" applyFont="1" applyNumberFormat="1"/>
    <xf borderId="0" fillId="2" fontId="3" numFmtId="0" xfId="0" applyAlignment="1" applyFont="1">
      <alignment horizontal="left" readingOrder="0" vertical="bottom"/>
    </xf>
    <xf borderId="4" fillId="12" fontId="3" numFmtId="167" xfId="0" applyAlignment="1" applyBorder="1" applyFill="1" applyFont="1" applyNumberFormat="1">
      <alignment horizontal="right" readingOrder="0" vertical="bottom"/>
    </xf>
    <xf borderId="6" fillId="12" fontId="3" numFmtId="10" xfId="0" applyAlignment="1" applyBorder="1" applyFont="1" applyNumberFormat="1">
      <alignment horizontal="right" readingOrder="0" vertical="bottom"/>
    </xf>
    <xf borderId="6" fillId="12" fontId="3" numFmtId="167" xfId="0" applyAlignment="1" applyBorder="1" applyFont="1" applyNumberFormat="1">
      <alignment horizontal="right" readingOrder="0" vertical="bottom"/>
    </xf>
    <xf borderId="6" fillId="12" fontId="3" numFmtId="10" xfId="0" applyAlignment="1" applyBorder="1" applyFont="1" applyNumberFormat="1">
      <alignment readingOrder="0" vertical="bottom"/>
    </xf>
    <xf borderId="6" fillId="12" fontId="3" numFmtId="167" xfId="0" applyAlignment="1" applyBorder="1" applyFont="1" applyNumberFormat="1">
      <alignment readingOrder="0" shrinkToFit="0" vertical="top" wrapText="1"/>
    </xf>
    <xf borderId="5" fillId="12" fontId="3" numFmtId="167" xfId="0" applyAlignment="1" applyBorder="1" applyFont="1" applyNumberFormat="1">
      <alignment readingOrder="0" shrinkToFit="0" vertical="top" wrapText="1"/>
    </xf>
    <xf borderId="7" fillId="12" fontId="3" numFmtId="167" xfId="0" applyAlignment="1" applyBorder="1" applyFont="1" applyNumberFormat="1">
      <alignment horizontal="right" readingOrder="0" vertical="bottom"/>
    </xf>
    <xf borderId="0" fillId="12" fontId="3" numFmtId="10" xfId="0" applyAlignment="1" applyFont="1" applyNumberFormat="1">
      <alignment horizontal="right" readingOrder="0" vertical="bottom"/>
    </xf>
    <xf borderId="0" fillId="12" fontId="3" numFmtId="167" xfId="0" applyAlignment="1" applyFont="1" applyNumberFormat="1">
      <alignment horizontal="right" vertical="bottom"/>
    </xf>
    <xf borderId="0" fillId="12" fontId="3" numFmtId="10" xfId="0" applyAlignment="1" applyFont="1" applyNumberFormat="1">
      <alignment readingOrder="0" vertical="bottom"/>
    </xf>
    <xf borderId="0" fillId="12" fontId="3" numFmtId="167" xfId="0" applyAlignment="1" applyFont="1" applyNumberFormat="1">
      <alignment readingOrder="0" shrinkToFit="0" vertical="top" wrapText="1"/>
    </xf>
    <xf borderId="8" fillId="12" fontId="3" numFmtId="167" xfId="0" applyAlignment="1" applyBorder="1" applyFont="1" applyNumberForma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0" fillId="0" fontId="1" numFmtId="0" xfId="0" applyFont="1"/>
    <xf borderId="12" fillId="9" fontId="3" numFmtId="10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7" fillId="12" fontId="3" numFmtId="167" xfId="0" applyAlignment="1" applyBorder="1" applyFont="1" applyNumberFormat="1">
      <alignment horizontal="right" vertical="bottom"/>
    </xf>
    <xf borderId="0" fillId="12" fontId="3" numFmtId="10" xfId="0" applyAlignment="1" applyFont="1" applyNumberFormat="1">
      <alignment horizontal="right" vertical="bottom"/>
    </xf>
    <xf borderId="13" fillId="9" fontId="3" numFmtId="165" xfId="0" applyAlignment="1" applyBorder="1" applyFont="1" applyNumberFormat="1">
      <alignment readingOrder="0" shrinkToFit="0" vertical="top" wrapText="1"/>
    </xf>
    <xf borderId="0" fillId="2" fontId="3" numFmtId="0" xfId="0" applyAlignment="1" applyFont="1">
      <alignment readingOrder="0" vertical="bottom"/>
    </xf>
    <xf borderId="13" fillId="9" fontId="7" numFmtId="165" xfId="0" applyAlignment="1" applyBorder="1" applyFont="1" applyNumberFormat="1">
      <alignment horizontal="right" readingOrder="0"/>
    </xf>
    <xf borderId="14" fillId="9" fontId="2" numFmtId="10" xfId="0" applyAlignment="1" applyBorder="1" applyFont="1" applyNumberFormat="1">
      <alignment vertical="bottom"/>
    </xf>
    <xf borderId="0" fillId="12" fontId="3" numFmtId="167" xfId="0" applyFont="1" applyNumberFormat="1"/>
    <xf borderId="8" fillId="12" fontId="3" numFmtId="167" xfId="0" applyBorder="1" applyFont="1" applyNumberFormat="1"/>
    <xf borderId="12" fillId="4" fontId="3" numFmtId="9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0" fillId="12" fontId="3" numFmtId="10" xfId="0" applyAlignment="1" applyFont="1" applyNumberFormat="1">
      <alignment vertical="bottom"/>
    </xf>
    <xf borderId="13" fillId="4" fontId="3" numFmtId="10" xfId="0" applyBorder="1" applyFont="1" applyNumberFormat="1"/>
    <xf borderId="13" fillId="4" fontId="3" numFmtId="10" xfId="0" applyAlignment="1" applyBorder="1" applyFont="1" applyNumberFormat="1">
      <alignment readingOrder="0"/>
    </xf>
    <xf borderId="13" fillId="4" fontId="3" numFmtId="165" xfId="0" applyBorder="1" applyFont="1" applyNumberFormat="1"/>
    <xf borderId="13" fillId="4" fontId="1" numFmtId="165" xfId="0" applyBorder="1" applyFont="1" applyNumberFormat="1"/>
    <xf borderId="14" fillId="4" fontId="2" numFmtId="10" xfId="0" applyBorder="1" applyFont="1" applyNumberFormat="1"/>
    <xf borderId="4" fillId="5" fontId="3" numFmtId="0" xfId="0" applyAlignment="1" applyBorder="1" applyFont="1">
      <alignment readingOrder="0" shrinkToFit="0" vertical="center" wrapText="1"/>
    </xf>
    <xf borderId="9" fillId="12" fontId="3" numFmtId="167" xfId="0" applyAlignment="1" applyBorder="1" applyFont="1" applyNumberFormat="1">
      <alignment horizontal="right" readingOrder="0" vertical="bottom"/>
    </xf>
    <xf borderId="11" fillId="12" fontId="3" numFmtId="10" xfId="0" applyAlignment="1" applyBorder="1" applyFont="1" applyNumberFormat="1">
      <alignment horizontal="right" readingOrder="0" vertical="bottom"/>
    </xf>
    <xf borderId="11" fillId="12" fontId="3" numFmtId="167" xfId="0" applyAlignment="1" applyBorder="1" applyFont="1" applyNumberFormat="1">
      <alignment horizontal="right" vertical="bottom"/>
    </xf>
    <xf borderId="11" fillId="12" fontId="3" numFmtId="10" xfId="0" applyAlignment="1" applyBorder="1" applyFont="1" applyNumberFormat="1">
      <alignment vertical="bottom"/>
    </xf>
    <xf borderId="11" fillId="12" fontId="3" numFmtId="167" xfId="0" applyAlignment="1" applyBorder="1" applyFont="1" applyNumberFormat="1">
      <alignment readingOrder="0" shrinkToFit="0" vertical="top" wrapText="1"/>
    </xf>
    <xf borderId="10" fillId="12" fontId="3" numFmtId="167" xfId="0" applyBorder="1" applyFont="1" applyNumberFormat="1"/>
    <xf borderId="0" fillId="2" fontId="3" numFmtId="10" xfId="0" applyAlignment="1" applyFont="1" applyNumberFormat="1">
      <alignment horizontal="right" readingOrder="0" vertical="bottom"/>
    </xf>
    <xf borderId="3" fillId="11" fontId="2" numFmtId="165" xfId="0" applyAlignment="1" applyBorder="1" applyFont="1" applyNumberFormat="1">
      <alignment horizontal="righ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6" fillId="6" fontId="3" numFmtId="10" xfId="0" applyAlignment="1" applyBorder="1" applyFont="1" applyNumberFormat="1">
      <alignment horizontal="right" readingOrder="0" vertical="bottom"/>
    </xf>
    <xf borderId="6" fillId="6" fontId="3" numFmtId="167" xfId="0" applyAlignment="1" applyBorder="1" applyFont="1" applyNumberFormat="1">
      <alignment horizontal="right" vertical="bottom"/>
    </xf>
    <xf borderId="6" fillId="6" fontId="3" numFmtId="167" xfId="0" applyAlignment="1" applyBorder="1" applyFont="1" applyNumberFormat="1">
      <alignment vertical="bottom"/>
    </xf>
    <xf borderId="6" fillId="6" fontId="3" numFmtId="167" xfId="0" applyAlignment="1" applyBorder="1" applyFont="1" applyNumberFormat="1">
      <alignment readingOrder="0" shrinkToFit="0" vertical="top" wrapText="1"/>
    </xf>
    <xf borderId="5" fillId="6" fontId="3" numFmtId="4" xfId="0" applyAlignment="1" applyBorder="1" applyFont="1" applyNumberFormat="1">
      <alignment readingOrder="0" shrinkToFit="0" vertical="top" wrapText="1"/>
    </xf>
    <xf borderId="0" fillId="2" fontId="3" numFmtId="168" xfId="0" applyFont="1" applyNumberFormat="1"/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67" xfId="0" applyAlignment="1" applyFont="1" applyNumberFormat="1">
      <alignment vertical="bottom"/>
    </xf>
    <xf borderId="0" fillId="6" fontId="3" numFmtId="167" xfId="0" applyFont="1" applyNumberFormat="1"/>
    <xf borderId="0" fillId="2" fontId="1" numFmtId="167" xfId="0" applyFont="1" applyNumberFormat="1"/>
    <xf borderId="0" fillId="6" fontId="3" numFmtId="167" xfId="0" applyAlignment="1" applyFont="1" applyNumberFormat="1">
      <alignment readingOrder="0" shrinkToFit="0" vertical="top" wrapText="1"/>
    </xf>
    <xf borderId="0" fillId="2" fontId="2" numFmtId="10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1" fillId="6" fontId="3" numFmtId="10" xfId="0" applyAlignment="1" applyBorder="1" applyFont="1" applyNumberFormat="1">
      <alignment horizontal="right" readingOrder="0" vertical="bottom"/>
    </xf>
    <xf borderId="11" fillId="6" fontId="3" numFmtId="167" xfId="0" applyAlignment="1" applyBorder="1" applyFont="1" applyNumberFormat="1">
      <alignment horizontal="right" vertical="bottom"/>
    </xf>
    <xf borderId="11" fillId="6" fontId="3" numFmtId="167" xfId="0" applyAlignment="1" applyBorder="1" applyFont="1" applyNumberFormat="1">
      <alignment vertical="bottom"/>
    </xf>
    <xf borderId="11" fillId="6" fontId="3" numFmtId="167" xfId="0" applyBorder="1" applyFont="1" applyNumberFormat="1"/>
    <xf borderId="10" fillId="6" fontId="3" numFmtId="3" xfId="0" applyBorder="1" applyFont="1" applyNumberFormat="1"/>
    <xf borderId="0" fillId="2" fontId="3" numFmtId="0" xfId="0" applyAlignment="1" applyFont="1">
      <alignment readingOrder="0"/>
    </xf>
    <xf borderId="1" fillId="3" fontId="2" numFmtId="0" xfId="0" applyAlignment="1" applyBorder="1" applyFont="1">
      <alignment readingOrder="0" vertical="center"/>
    </xf>
    <xf borderId="3" fillId="0" fontId="5" numFmtId="0" xfId="0" applyBorder="1" applyFont="1"/>
    <xf borderId="2" fillId="0" fontId="5" numFmtId="0" xfId="0" applyBorder="1" applyFont="1"/>
    <xf borderId="1" fillId="3" fontId="8" numFmtId="0" xfId="0" applyAlignment="1" applyBorder="1" applyFont="1">
      <alignment readingOrder="0"/>
    </xf>
    <xf borderId="0" fillId="2" fontId="2" numFmtId="0" xfId="0" applyAlignment="1" applyFont="1">
      <alignment readingOrder="0" shrinkToFit="0" vertical="top" wrapText="1"/>
    </xf>
    <xf borderId="4" fillId="5" fontId="9" numFmtId="0" xfId="0" applyAlignment="1" applyBorder="1" applyFont="1">
      <alignment horizontal="center" readingOrder="0" vertical="center"/>
    </xf>
    <xf borderId="6" fillId="0" fontId="5" numFmtId="0" xfId="0" applyBorder="1" applyFont="1"/>
    <xf borderId="0" fillId="2" fontId="3" numFmtId="0" xfId="0" applyAlignment="1" applyFon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11" fillId="0" fontId="5" numFmtId="0" xfId="0" applyBorder="1" applyFont="1"/>
    <xf borderId="0" fillId="2" fontId="1" numFmtId="4" xfId="0" applyFont="1" applyNumberFormat="1"/>
    <xf borderId="0" fillId="2" fontId="1" numFmtId="3" xfId="0" applyFont="1" applyNumberFormat="1"/>
    <xf borderId="0" fillId="2" fontId="8" numFmtId="0" xfId="0" applyAlignment="1" applyFont="1">
      <alignment readingOrder="0"/>
    </xf>
    <xf borderId="0" fillId="2" fontId="1" numFmtId="166" xfId="0" applyFont="1" applyNumberFormat="1"/>
    <xf borderId="0" fillId="2" fontId="1" numFmtId="0" xfId="0" applyAlignment="1" applyFont="1">
      <alignment readingOrder="0"/>
    </xf>
    <xf borderId="0" fillId="2" fontId="1" numFmtId="165" xfId="0" applyFont="1" applyNumberFormat="1"/>
    <xf borderId="0" fillId="2" fontId="10" numFmtId="0" xfId="0" applyAlignment="1" applyFont="1">
      <alignment horizontal="right" readingOrder="0"/>
    </xf>
    <xf borderId="0" fillId="2" fontId="1" numFmtId="4" xfId="0" applyAlignment="1" applyFont="1" applyNumberFormat="1">
      <alignment readingOrder="0"/>
    </xf>
    <xf borderId="0" fillId="2" fontId="8" numFmtId="168" xfId="0" applyAlignment="1" applyFont="1" applyNumberFormat="1">
      <alignment horizontal="left"/>
    </xf>
    <xf borderId="0" fillId="2" fontId="1" numFmtId="3" xfId="0" applyAlignment="1" applyFont="1" applyNumberFormat="1">
      <alignment readingOrder="0"/>
    </xf>
    <xf borderId="0" fillId="2" fontId="8" numFmtId="169" xfId="0" applyAlignment="1" applyFont="1" applyNumberFormat="1">
      <alignment horizontal="left"/>
    </xf>
    <xf borderId="0" fillId="2" fontId="1" numFmtId="2" xfId="0" applyFont="1" applyNumberFormat="1"/>
    <xf borderId="0" fillId="2" fontId="1" numFmtId="9" xfId="0" applyFont="1" applyNumberFormat="1"/>
    <xf borderId="0" fillId="2" fontId="1" numFmtId="10" xfId="0" applyAlignment="1" applyFont="1" applyNumberFormat="1">
      <alignment horizontal="left"/>
    </xf>
    <xf borderId="0" fillId="2" fontId="1" numFmtId="0" xfId="0" applyAlignment="1" applyFont="1">
      <alignment horizontal="left" readingOrder="0"/>
    </xf>
    <xf borderId="0" fillId="2" fontId="1" numFmtId="10" xfId="0" applyAlignment="1" applyFont="1" applyNumberFormat="1">
      <alignment horizontal="left" readingOrder="0"/>
    </xf>
    <xf borderId="0" fillId="2" fontId="10" numFmtId="0" xfId="0" applyAlignment="1" applyFont="1">
      <alignment readingOrder="0" shrinkToFit="0" vertical="top" wrapText="1"/>
    </xf>
    <xf borderId="0" fillId="2" fontId="8" numFmtId="10" xfId="0" applyFont="1" applyNumberFormat="1"/>
    <xf borderId="0" fillId="2" fontId="1" numFmtId="2" xfId="0" applyAlignment="1" applyFont="1" applyNumberFormat="1">
      <alignment readingOrder="0"/>
    </xf>
    <xf borderId="0" fillId="2" fontId="1" numFmtId="49" xfId="0" applyFont="1" applyNumberFormat="1"/>
    <xf borderId="0" fillId="2" fontId="10" numFmtId="3" xfId="0" applyAlignment="1" applyFont="1" applyNumberFormat="1">
      <alignment readingOrder="0"/>
    </xf>
    <xf borderId="0" fillId="2" fontId="8" numFmtId="165" xfId="0" applyAlignment="1" applyFont="1" applyNumberFormat="1">
      <alignment readingOrder="0"/>
    </xf>
    <xf borderId="0" fillId="2" fontId="8" numFmtId="0" xfId="0" applyFont="1"/>
    <xf borderId="0" fillId="2" fontId="1" numFmtId="168" xfId="0" applyFont="1" applyNumberFormat="1"/>
    <xf borderId="0" fillId="2" fontId="11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center"/>
    </xf>
    <xf borderId="1" fillId="3" fontId="14" numFmtId="0" xfId="0" applyAlignment="1" applyBorder="1" applyFont="1">
      <alignment horizontal="left" readingOrder="0"/>
    </xf>
    <xf borderId="3" fillId="3" fontId="12" numFmtId="0" xfId="0" applyAlignment="1" applyBorder="1" applyFont="1">
      <alignment vertical="center"/>
    </xf>
    <xf borderId="2" fillId="3" fontId="12" numFmtId="0" xfId="0" applyAlignment="1" applyBorder="1" applyFont="1">
      <alignment vertical="center"/>
    </xf>
    <xf borderId="0" fillId="2" fontId="13" numFmtId="0" xfId="0" applyAlignment="1" applyFont="1">
      <alignment vertical="bottom"/>
    </xf>
    <xf borderId="0" fillId="2" fontId="13" numFmtId="10" xfId="0" applyAlignment="1" applyFont="1" applyNumberFormat="1">
      <alignment shrinkToFit="0" vertical="bottom" wrapText="1"/>
    </xf>
    <xf borderId="0" fillId="2" fontId="12" numFmtId="0" xfId="0" applyAlignment="1" applyFont="1">
      <alignment readingOrder="0" shrinkToFit="0" vertical="bottom" wrapText="1"/>
    </xf>
    <xf borderId="0" fillId="13" fontId="13" numFmtId="10" xfId="0" applyAlignment="1" applyFill="1" applyFont="1" applyNumberFormat="1">
      <alignment shrinkToFit="0" vertical="bottom" wrapText="0"/>
    </xf>
    <xf borderId="0" fillId="2" fontId="13" numFmtId="10" xfId="0" applyAlignment="1" applyFont="1" applyNumberFormat="1">
      <alignment shrinkToFit="0" vertical="bottom" wrapText="0"/>
    </xf>
    <xf borderId="0" fillId="2" fontId="13" numFmtId="0" xfId="0" applyAlignment="1" applyFont="1">
      <alignment shrinkToFit="0" vertical="bottom" wrapText="1"/>
    </xf>
    <xf borderId="0" fillId="13" fontId="13" numFmtId="0" xfId="0" applyAlignment="1" applyFont="1">
      <alignment shrinkToFit="0" vertical="bottom" wrapText="1"/>
    </xf>
    <xf borderId="0" fillId="2" fontId="13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Financials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Revenue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Valuation!$G$4:$K$4</c:f>
              <c:numCache/>
            </c:numRef>
          </c:val>
          <c:smooth val="1"/>
        </c:ser>
        <c:ser>
          <c:idx val="1"/>
          <c:order val="1"/>
          <c:tx>
            <c:v>Gross Profit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Valuation!$G$8:$K$8</c:f>
              <c:numCache/>
            </c:numRef>
          </c:val>
          <c:smooth val="1"/>
        </c:ser>
        <c:ser>
          <c:idx val="2"/>
          <c:order val="2"/>
          <c:tx>
            <c:v>Net Income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Valuation!$G$20:$K$20</c:f>
              <c:numCache/>
            </c:numRef>
          </c:val>
          <c:smooth val="1"/>
        </c:ser>
        <c:ser>
          <c:idx val="3"/>
          <c:order val="3"/>
          <c:tx>
            <c:v>Free Cash Flow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Valuation!$G$41:$K$41</c:f>
              <c:numCache/>
            </c:numRef>
          </c:val>
          <c:smooth val="1"/>
        </c:ser>
        <c:axId val="921746954"/>
        <c:axId val="1331601166"/>
      </c:lineChart>
      <c:catAx>
        <c:axId val="921746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1601166"/>
      </c:catAx>
      <c:valAx>
        <c:axId val="1331601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17469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Margins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Profit Margin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Valuation!$G$7:$K$7</c:f>
              <c:numCache/>
            </c:numRef>
          </c:val>
          <c:smooth val="1"/>
        </c:ser>
        <c:ser>
          <c:idx val="1"/>
          <c:order val="1"/>
          <c:tx>
            <c:v>Operating Margin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Valuation!$G$15:$K$15</c:f>
              <c:numCache/>
            </c:numRef>
          </c:val>
          <c:smooth val="1"/>
        </c:ser>
        <c:axId val="369251646"/>
        <c:axId val="573771597"/>
      </c:lineChart>
      <c:catAx>
        <c:axId val="369251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3771597"/>
      </c:catAx>
      <c:valAx>
        <c:axId val="5737715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2516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Balances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Debt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Valuation!$G$25:$K$25</c:f>
              <c:numCache/>
            </c:numRef>
          </c:val>
          <c:smooth val="1"/>
        </c:ser>
        <c:ser>
          <c:idx val="1"/>
          <c:order val="1"/>
          <c:tx>
            <c:v>Cash and Equivalents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Valuation!$G$28:$K$28</c:f>
              <c:numCache/>
            </c:numRef>
          </c:val>
          <c:smooth val="1"/>
        </c:ser>
        <c:ser>
          <c:idx val="2"/>
          <c:order val="2"/>
          <c:tx>
            <c:v>Outstanding Shares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Valuation!$G$23:$K$23</c:f>
              <c:numCache/>
            </c:numRef>
          </c:val>
          <c:smooth val="1"/>
        </c:ser>
        <c:axId val="1230280665"/>
        <c:axId val="1134221597"/>
      </c:lineChart>
      <c:catAx>
        <c:axId val="12302806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4221597"/>
      </c:catAx>
      <c:valAx>
        <c:axId val="11342215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02806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Cash Flows</a:t>
            </a:r>
          </a:p>
        </c:rich>
      </c:tx>
      <c:overlay val="0"/>
    </c:title>
    <c:plotArea>
      <c:layout/>
      <c:lineChart>
        <c:ser>
          <c:idx val="0"/>
          <c:order val="0"/>
          <c:tx>
            <c:v>Operating CF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Valuation!$G$37:$K$37</c:f>
              <c:numCache/>
            </c:numRef>
          </c:val>
          <c:smooth val="1"/>
        </c:ser>
        <c:ser>
          <c:idx val="1"/>
          <c:order val="1"/>
          <c:tx>
            <c:v>Investing CF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Valuation!$G$38:$K$38</c:f>
              <c:numCache/>
            </c:numRef>
          </c:val>
          <c:smooth val="1"/>
        </c:ser>
        <c:ser>
          <c:idx val="2"/>
          <c:order val="2"/>
          <c:tx>
            <c:v>Financing CF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Valuation!$G$39:$K$39</c:f>
              <c:numCache/>
            </c:numRef>
          </c:val>
          <c:smooth val="1"/>
        </c:ser>
        <c:ser>
          <c:idx val="3"/>
          <c:order val="3"/>
          <c:tx>
            <c:v>Net Cash Change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Valuation!$G$40:$K$40</c:f>
              <c:numCache/>
            </c:numRef>
          </c:val>
          <c:smooth val="1"/>
        </c:ser>
        <c:ser>
          <c:idx val="4"/>
          <c:order val="4"/>
          <c:tx>
            <c:v>Free Cash Flow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Valuation!$G$41:$K$41</c:f>
              <c:numCache/>
            </c:numRef>
          </c:val>
          <c:smooth val="1"/>
        </c:ser>
        <c:axId val="1993781052"/>
        <c:axId val="933851666"/>
      </c:lineChart>
      <c:catAx>
        <c:axId val="1993781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3851666"/>
      </c:catAx>
      <c:valAx>
        <c:axId val="933851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7810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77</xdr:row>
      <xdr:rowOff>180975</xdr:rowOff>
    </xdr:from>
    <xdr:ext cx="4981575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161925</xdr:colOff>
      <xdr:row>77</xdr:row>
      <xdr:rowOff>180975</xdr:rowOff>
    </xdr:from>
    <xdr:ext cx="4981575" cy="3095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161925</xdr:colOff>
      <xdr:row>94</xdr:row>
      <xdr:rowOff>171450</xdr:rowOff>
    </xdr:from>
    <xdr:ext cx="4981575" cy="30956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285750</xdr:colOff>
      <xdr:row>94</xdr:row>
      <xdr:rowOff>171450</xdr:rowOff>
    </xdr:from>
    <xdr:ext cx="4981575" cy="30956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gurufocus.com/term/wacc/PDD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0"/>
    <col customWidth="1" min="7" max="7" width="11.13"/>
    <col customWidth="1" min="8" max="8" width="11.25"/>
    <col customWidth="1" min="9" max="9" width="10.5"/>
    <col customWidth="1" min="10" max="10" width="10.0"/>
    <col customWidth="1" min="12" max="12" width="8.88"/>
    <col hidden="1" min="13" max="25" width="12.6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4" t="s">
        <v>0</v>
      </c>
      <c r="C2" s="5">
        <v>45674.0</v>
      </c>
      <c r="D2" s="6"/>
      <c r="E2" s="7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9" t="s">
        <v>7</v>
      </c>
      <c r="L2" s="6"/>
      <c r="M2" s="10"/>
      <c r="N2" s="11"/>
    </row>
    <row r="3">
      <c r="A3" s="1"/>
      <c r="B3" s="12"/>
      <c r="C3" s="13"/>
      <c r="D3" s="14"/>
      <c r="E3" s="15"/>
      <c r="F3" s="6"/>
      <c r="G3" s="6"/>
      <c r="H3" s="6"/>
      <c r="I3" s="6"/>
      <c r="J3" s="6"/>
      <c r="K3" s="16"/>
      <c r="L3" s="16"/>
      <c r="M3" s="17"/>
      <c r="N3" s="11"/>
    </row>
    <row r="4">
      <c r="A4" s="3"/>
      <c r="B4" s="18" t="s">
        <v>8</v>
      </c>
      <c r="C4" s="19"/>
      <c r="D4" s="20"/>
      <c r="E4" s="13" t="s">
        <v>9</v>
      </c>
      <c r="F4" s="21"/>
      <c r="G4" s="22"/>
      <c r="H4" s="22">
        <v>2.83021E9</v>
      </c>
      <c r="I4" s="22">
        <v>2.74452E9</v>
      </c>
      <c r="J4" s="22">
        <v>3.774468E9</v>
      </c>
      <c r="K4" s="23">
        <v>4.702947E9</v>
      </c>
      <c r="L4" s="16"/>
      <c r="M4" s="11"/>
      <c r="N4" s="11"/>
    </row>
    <row r="5">
      <c r="A5" s="3"/>
      <c r="B5" s="24"/>
      <c r="C5" s="25"/>
      <c r="D5" s="20"/>
      <c r="E5" s="26" t="s">
        <v>10</v>
      </c>
      <c r="F5" s="27"/>
      <c r="G5" s="28"/>
      <c r="H5" s="28"/>
      <c r="I5" s="28">
        <f t="shared" ref="I5:K5" si="1">(I4-H4)/H4</f>
        <v>-0.03027690525</v>
      </c>
      <c r="J5" s="28">
        <f t="shared" si="1"/>
        <v>0.3752743649</v>
      </c>
      <c r="K5" s="29">
        <f t="shared" si="1"/>
        <v>0.2459893686</v>
      </c>
      <c r="L5" s="16"/>
      <c r="M5" s="11"/>
      <c r="N5" s="11"/>
    </row>
    <row r="6">
      <c r="A6" s="3"/>
      <c r="B6" s="24"/>
      <c r="C6" s="25"/>
      <c r="D6" s="6"/>
      <c r="E6" s="13" t="s">
        <v>11</v>
      </c>
      <c r="F6" s="30"/>
      <c r="G6" s="31"/>
      <c r="H6" s="31">
        <v>2.337614E9</v>
      </c>
      <c r="I6" s="31">
        <v>2.240595E9</v>
      </c>
      <c r="J6" s="31">
        <v>3.037993E9</v>
      </c>
      <c r="K6" s="32">
        <v>3.710521E9</v>
      </c>
      <c r="L6" s="16"/>
      <c r="M6" s="11"/>
      <c r="N6" s="11"/>
    </row>
    <row r="7">
      <c r="A7" s="3"/>
      <c r="B7" s="24"/>
      <c r="C7" s="25"/>
      <c r="D7" s="33"/>
      <c r="E7" s="13" t="s">
        <v>12</v>
      </c>
      <c r="F7" s="34"/>
      <c r="G7" s="35"/>
      <c r="H7" s="35">
        <f t="shared" ref="H7:K7" si="2">(H4-H6)/H4</f>
        <v>0.1740492755</v>
      </c>
      <c r="I7" s="35">
        <f t="shared" si="2"/>
        <v>0.1836113419</v>
      </c>
      <c r="J7" s="35">
        <f t="shared" si="2"/>
        <v>0.195120213</v>
      </c>
      <c r="K7" s="36">
        <f t="shared" si="2"/>
        <v>0.2110221527</v>
      </c>
      <c r="L7" s="37"/>
      <c r="M7" s="17"/>
      <c r="N7" s="17"/>
    </row>
    <row r="8">
      <c r="A8" s="1"/>
      <c r="B8" s="24"/>
      <c r="C8" s="25"/>
      <c r="D8" s="6"/>
      <c r="E8" s="13" t="s">
        <v>13</v>
      </c>
      <c r="F8" s="38"/>
      <c r="G8" s="39"/>
      <c r="H8" s="40">
        <f t="shared" ref="H8:K8" si="3">H4-H6</f>
        <v>492596000</v>
      </c>
      <c r="I8" s="40">
        <f t="shared" si="3"/>
        <v>503925000</v>
      </c>
      <c r="J8" s="40">
        <f t="shared" si="3"/>
        <v>736475000</v>
      </c>
      <c r="K8" s="41">
        <f t="shared" si="3"/>
        <v>992426000</v>
      </c>
      <c r="L8" s="6"/>
      <c r="M8" s="11"/>
      <c r="N8" s="11"/>
    </row>
    <row r="9">
      <c r="A9" s="1"/>
      <c r="B9" s="24"/>
      <c r="C9" s="25"/>
      <c r="D9" s="6"/>
      <c r="E9" s="13" t="s">
        <v>14</v>
      </c>
      <c r="F9" s="42"/>
      <c r="G9" s="43"/>
      <c r="H9" s="35"/>
      <c r="I9" s="35">
        <f t="shared" ref="I9:K9" si="4">(I8-H8)/H8</f>
        <v>0.02299856272</v>
      </c>
      <c r="J9" s="35">
        <f t="shared" si="4"/>
        <v>0.4614774024</v>
      </c>
      <c r="K9" s="36">
        <f t="shared" si="4"/>
        <v>0.3475352184</v>
      </c>
      <c r="L9" s="6"/>
      <c r="M9" s="11"/>
      <c r="N9" s="11"/>
    </row>
    <row r="10">
      <c r="A10" s="3"/>
      <c r="B10" s="24"/>
      <c r="C10" s="25"/>
      <c r="D10" s="6"/>
      <c r="E10" s="44" t="s">
        <v>15</v>
      </c>
      <c r="F10" s="45"/>
      <c r="G10" s="31"/>
      <c r="H10" s="46">
        <v>2.79867E8</v>
      </c>
      <c r="I10" s="46">
        <v>3.03136E8</v>
      </c>
      <c r="J10" s="47">
        <v>3.42015E8</v>
      </c>
      <c r="K10" s="48">
        <v>3.96864E8</v>
      </c>
      <c r="L10" s="6"/>
      <c r="M10" s="11"/>
      <c r="N10" s="11"/>
    </row>
    <row r="11">
      <c r="A11" s="1"/>
      <c r="B11" s="24"/>
      <c r="C11" s="25"/>
      <c r="D11" s="49"/>
      <c r="E11" s="44" t="s">
        <v>16</v>
      </c>
      <c r="F11" s="30"/>
      <c r="G11" s="31"/>
      <c r="H11" s="31">
        <v>1.04157E8</v>
      </c>
      <c r="I11" s="31">
        <v>1.03587E8</v>
      </c>
      <c r="J11" s="47">
        <v>1.144E8</v>
      </c>
      <c r="K11" s="48">
        <v>1.13508E8</v>
      </c>
      <c r="L11" s="6"/>
      <c r="M11" s="11"/>
      <c r="N11" s="11"/>
    </row>
    <row r="12">
      <c r="A12" s="1"/>
      <c r="B12" s="24"/>
      <c r="C12" s="25"/>
      <c r="D12" s="49"/>
      <c r="E12" s="44" t="s">
        <v>17</v>
      </c>
      <c r="F12" s="30"/>
      <c r="G12" s="31"/>
      <c r="H12" s="31">
        <v>1.1057E7</v>
      </c>
      <c r="I12" s="31">
        <v>1.3887E7</v>
      </c>
      <c r="J12" s="47">
        <v>1.9076E7</v>
      </c>
      <c r="K12" s="48">
        <v>1.7792E7</v>
      </c>
      <c r="L12" s="6"/>
      <c r="M12" s="11"/>
      <c r="N12" s="11"/>
    </row>
    <row r="13">
      <c r="A13" s="1"/>
      <c r="B13" s="24"/>
      <c r="C13" s="25"/>
      <c r="D13" s="50"/>
      <c r="E13" s="51" t="s">
        <v>18</v>
      </c>
      <c r="F13" s="52"/>
      <c r="G13" s="53"/>
      <c r="H13" s="46">
        <f t="shared" ref="H13:K13" si="5">SUM(H10:H12)</f>
        <v>395081000</v>
      </c>
      <c r="I13" s="46">
        <f t="shared" si="5"/>
        <v>420610000</v>
      </c>
      <c r="J13" s="46">
        <f t="shared" si="5"/>
        <v>475491000</v>
      </c>
      <c r="K13" s="54">
        <f t="shared" si="5"/>
        <v>528164000</v>
      </c>
      <c r="L13" s="6"/>
      <c r="M13" s="11"/>
      <c r="N13" s="11"/>
    </row>
    <row r="14">
      <c r="A14" s="1"/>
      <c r="B14" s="24"/>
      <c r="C14" s="25"/>
      <c r="D14" s="55"/>
      <c r="E14" s="51" t="s">
        <v>19</v>
      </c>
      <c r="F14" s="38"/>
      <c r="G14" s="39"/>
      <c r="H14" s="40">
        <f t="shared" ref="H14:K14" si="6">H4-H6-H13</f>
        <v>97515000</v>
      </c>
      <c r="I14" s="40">
        <f t="shared" si="6"/>
        <v>83315000</v>
      </c>
      <c r="J14" s="40">
        <f t="shared" si="6"/>
        <v>260984000</v>
      </c>
      <c r="K14" s="41">
        <f t="shared" si="6"/>
        <v>464262000</v>
      </c>
      <c r="L14" s="6"/>
      <c r="M14" s="11"/>
      <c r="N14" s="11"/>
    </row>
    <row r="15">
      <c r="A15" s="1"/>
      <c r="B15" s="24"/>
      <c r="C15" s="25"/>
      <c r="D15" s="56"/>
      <c r="E15" s="44" t="s">
        <v>20</v>
      </c>
      <c r="F15" s="34"/>
      <c r="G15" s="35"/>
      <c r="H15" s="35">
        <f t="shared" ref="H15:K15" si="7">H14/H4</f>
        <v>0.03445504044</v>
      </c>
      <c r="I15" s="35">
        <f t="shared" si="7"/>
        <v>0.03035685657</v>
      </c>
      <c r="J15" s="35">
        <f t="shared" si="7"/>
        <v>0.06914457879</v>
      </c>
      <c r="K15" s="36">
        <f t="shared" si="7"/>
        <v>0.09871725112</v>
      </c>
      <c r="L15" s="6"/>
      <c r="M15" s="11"/>
      <c r="N15" s="11"/>
    </row>
    <row r="16">
      <c r="A16" s="1"/>
      <c r="B16" s="24"/>
      <c r="C16" s="25"/>
      <c r="D16" s="56"/>
      <c r="E16" s="51" t="s">
        <v>21</v>
      </c>
      <c r="F16" s="57"/>
      <c r="G16" s="31"/>
      <c r="H16" s="31">
        <v>2.1003E7</v>
      </c>
      <c r="I16" s="31">
        <v>1.972E7</v>
      </c>
      <c r="J16" s="31">
        <v>3.6796E7</v>
      </c>
      <c r="K16" s="32">
        <v>8.0406E7</v>
      </c>
      <c r="L16" s="6"/>
      <c r="M16" s="11"/>
      <c r="N16" s="11"/>
    </row>
    <row r="17">
      <c r="A17" s="1"/>
      <c r="B17" s="24"/>
      <c r="C17" s="25"/>
      <c r="D17" s="56"/>
      <c r="E17" s="44" t="s">
        <v>22</v>
      </c>
      <c r="F17" s="57"/>
      <c r="G17" s="31"/>
      <c r="H17" s="31">
        <v>-9517000.0</v>
      </c>
      <c r="I17" s="31">
        <v>-3200000.0</v>
      </c>
      <c r="J17" s="31">
        <v>-2.5913E7</v>
      </c>
      <c r="K17" s="32">
        <v>-1.603E7</v>
      </c>
      <c r="L17" s="6"/>
      <c r="M17" s="11"/>
      <c r="N17" s="11"/>
    </row>
    <row r="18">
      <c r="A18" s="1"/>
      <c r="B18" s="24"/>
      <c r="C18" s="25"/>
      <c r="D18" s="58"/>
      <c r="E18" s="51" t="s">
        <v>23</v>
      </c>
      <c r="F18" s="30"/>
      <c r="G18" s="31"/>
      <c r="H18" s="31">
        <f t="shared" ref="H18:K18" si="8">H14+H16+H17</f>
        <v>109001000</v>
      </c>
      <c r="I18" s="31">
        <f t="shared" si="8"/>
        <v>99835000</v>
      </c>
      <c r="J18" s="47">
        <f t="shared" si="8"/>
        <v>271867000</v>
      </c>
      <c r="K18" s="48">
        <f t="shared" si="8"/>
        <v>528638000</v>
      </c>
      <c r="L18" s="59"/>
      <c r="M18" s="60"/>
      <c r="N18" s="60"/>
      <c r="O18" s="61"/>
    </row>
    <row r="19">
      <c r="A19" s="1"/>
      <c r="B19" s="24"/>
      <c r="C19" s="25"/>
      <c r="D19" s="62"/>
      <c r="E19" s="51" t="s">
        <v>24</v>
      </c>
      <c r="F19" s="30"/>
      <c r="G19" s="31"/>
      <c r="H19" s="31">
        <v>3.6634E7</v>
      </c>
      <c r="I19" s="31">
        <v>3.6376E7</v>
      </c>
      <c r="J19" s="31">
        <v>7.9282E7</v>
      </c>
      <c r="K19" s="32">
        <v>1.48004E8</v>
      </c>
      <c r="L19" s="59"/>
      <c r="M19" s="60"/>
      <c r="N19" s="60"/>
      <c r="O19" s="61"/>
    </row>
    <row r="20">
      <c r="A20" s="1"/>
      <c r="B20" s="24"/>
      <c r="C20" s="25"/>
      <c r="D20" s="62"/>
      <c r="E20" s="51" t="s">
        <v>25</v>
      </c>
      <c r="F20" s="63"/>
      <c r="G20" s="40"/>
      <c r="H20" s="40">
        <f t="shared" ref="H20:K20" si="9">H18-H19</f>
        <v>72367000</v>
      </c>
      <c r="I20" s="40">
        <f t="shared" si="9"/>
        <v>63459000</v>
      </c>
      <c r="J20" s="40">
        <f t="shared" si="9"/>
        <v>192585000</v>
      </c>
      <c r="K20" s="41">
        <f t="shared" si="9"/>
        <v>380634000</v>
      </c>
      <c r="L20" s="59"/>
      <c r="M20" s="64"/>
      <c r="N20" s="60"/>
      <c r="O20" s="61"/>
    </row>
    <row r="21">
      <c r="A21" s="3"/>
      <c r="B21" s="65"/>
      <c r="C21" s="66"/>
      <c r="D21" s="6"/>
      <c r="E21" s="44" t="s">
        <v>26</v>
      </c>
      <c r="F21" s="67"/>
      <c r="G21" s="28"/>
      <c r="H21" s="68"/>
      <c r="I21" s="68">
        <f t="shared" ref="I21:K21" si="10">(I20-H20)/ABS(H20)</f>
        <v>-0.1230947808</v>
      </c>
      <c r="J21" s="68">
        <f t="shared" si="10"/>
        <v>2.034794119</v>
      </c>
      <c r="K21" s="69">
        <f t="shared" si="10"/>
        <v>0.9764467638</v>
      </c>
      <c r="L21" s="59"/>
      <c r="M21" s="60"/>
      <c r="N21" s="60"/>
      <c r="O21" s="61"/>
    </row>
    <row r="22">
      <c r="A22" s="3"/>
      <c r="B22" s="6"/>
      <c r="C22" s="70"/>
      <c r="D22" s="58"/>
      <c r="E22" s="51" t="s">
        <v>27</v>
      </c>
      <c r="F22" s="30"/>
      <c r="G22" s="71"/>
      <c r="H22" s="71">
        <f t="shared" ref="H22:K22" si="11">H20/H23</f>
        <v>94.36843423</v>
      </c>
      <c r="I22" s="71">
        <f t="shared" si="11"/>
        <v>82.74623783</v>
      </c>
      <c r="J22" s="71">
        <f t="shared" si="11"/>
        <v>251.101425</v>
      </c>
      <c r="K22" s="72">
        <f t="shared" si="11"/>
        <v>503.3116961</v>
      </c>
      <c r="L22" s="59"/>
      <c r="M22" s="60"/>
      <c r="N22" s="60"/>
      <c r="O22" s="61"/>
    </row>
    <row r="23">
      <c r="A23" s="1"/>
      <c r="B23" s="4" t="s">
        <v>28</v>
      </c>
      <c r="C23" s="73" t="s">
        <v>29</v>
      </c>
      <c r="D23" s="6"/>
      <c r="E23" s="51" t="s">
        <v>30</v>
      </c>
      <c r="F23" s="74"/>
      <c r="G23" s="75"/>
      <c r="H23" s="75">
        <v>766856.0</v>
      </c>
      <c r="I23" s="75">
        <v>766911.0</v>
      </c>
      <c r="J23" s="75">
        <v>766961.0</v>
      </c>
      <c r="K23" s="76">
        <v>756259.0</v>
      </c>
      <c r="L23" s="59"/>
      <c r="M23" s="60"/>
      <c r="N23" s="60"/>
      <c r="O23" s="61"/>
    </row>
    <row r="24">
      <c r="A24" s="1"/>
      <c r="B24" s="77" t="s">
        <v>31</v>
      </c>
      <c r="C24" s="6"/>
      <c r="D24" s="6"/>
      <c r="E24" s="26"/>
      <c r="F24" s="78"/>
      <c r="G24" s="78"/>
      <c r="H24" s="37"/>
      <c r="I24" s="37"/>
      <c r="J24" s="37"/>
      <c r="K24" s="6"/>
      <c r="L24" s="59"/>
      <c r="M24" s="60"/>
      <c r="N24" s="60"/>
      <c r="O24" s="61"/>
    </row>
    <row r="25">
      <c r="A25" s="1"/>
      <c r="B25" s="26" t="s">
        <v>32</v>
      </c>
      <c r="C25" s="79">
        <f>IFERROR(__xludf.DUMMYFUNCTION("GOOGLEFINANCE(B23)*156"),2613.0)</f>
        <v>2613</v>
      </c>
      <c r="D25" s="6"/>
      <c r="E25" s="26" t="s">
        <v>33</v>
      </c>
      <c r="F25" s="80"/>
      <c r="G25" s="81"/>
      <c r="H25" s="81">
        <v>3.33883E8</v>
      </c>
      <c r="I25" s="82">
        <v>3.34045E8</v>
      </c>
      <c r="J25" s="82">
        <v>3.12596E8</v>
      </c>
      <c r="K25" s="83">
        <v>3.995E8</v>
      </c>
      <c r="L25" s="59"/>
      <c r="M25" s="60"/>
      <c r="N25" s="60"/>
      <c r="O25" s="61"/>
    </row>
    <row r="26">
      <c r="A26" s="1"/>
      <c r="B26" s="13" t="s">
        <v>34</v>
      </c>
      <c r="C26" s="84">
        <f>IFERROR(__xludf.DUMMYFUNCTION("GOOGLEFINANCE(B23, ""marketcap"")/1000"),1.88432378965E9)</f>
        <v>1884323790</v>
      </c>
      <c r="D26" s="6"/>
      <c r="E26" s="26" t="s">
        <v>35</v>
      </c>
      <c r="F26" s="85"/>
      <c r="G26" s="86"/>
      <c r="H26" s="86">
        <v>1.777735E9</v>
      </c>
      <c r="I26" s="87">
        <v>1.890789E9</v>
      </c>
      <c r="J26" s="87">
        <v>2.100973E9</v>
      </c>
      <c r="K26" s="88">
        <v>2.563204E9</v>
      </c>
      <c r="L26" s="59"/>
      <c r="M26" s="60"/>
      <c r="N26" s="60"/>
      <c r="O26" s="61"/>
    </row>
    <row r="27">
      <c r="A27" s="1"/>
      <c r="B27" s="13" t="s">
        <v>36</v>
      </c>
      <c r="C27" s="84">
        <f>C38</f>
        <v>4099153380</v>
      </c>
      <c r="D27" s="6"/>
      <c r="E27" s="26" t="s">
        <v>37</v>
      </c>
      <c r="F27" s="85"/>
      <c r="G27" s="86"/>
      <c r="H27" s="86"/>
      <c r="I27" s="87"/>
      <c r="J27" s="87"/>
      <c r="K27" s="88"/>
      <c r="L27" s="59"/>
      <c r="M27" s="60"/>
      <c r="N27" s="60"/>
      <c r="O27" s="61"/>
    </row>
    <row r="28">
      <c r="A28" s="1"/>
      <c r="B28" s="13" t="s">
        <v>38</v>
      </c>
      <c r="C28" s="89">
        <f>K20/K29</f>
        <v>0.2128550506</v>
      </c>
      <c r="D28" s="6"/>
      <c r="E28" s="26" t="s">
        <v>39</v>
      </c>
      <c r="F28" s="85"/>
      <c r="G28" s="86"/>
      <c r="H28" s="86">
        <v>1.135605E9</v>
      </c>
      <c r="I28" s="86">
        <v>1.126278E9</v>
      </c>
      <c r="J28" s="87">
        <v>1.368163E9</v>
      </c>
      <c r="K28" s="88">
        <v>1.922651E9</v>
      </c>
      <c r="L28" s="59"/>
      <c r="M28" s="60"/>
      <c r="N28" s="60"/>
      <c r="O28" s="61"/>
    </row>
    <row r="29">
      <c r="A29" s="1"/>
      <c r="B29" s="26" t="s">
        <v>40</v>
      </c>
      <c r="C29" s="84">
        <f>C26+K25-K28</f>
        <v>361172789.7</v>
      </c>
      <c r="D29" s="6"/>
      <c r="E29" s="26" t="s">
        <v>41</v>
      </c>
      <c r="F29" s="90"/>
      <c r="G29" s="91"/>
      <c r="H29" s="91">
        <v>1.107692E9</v>
      </c>
      <c r="I29" s="91">
        <v>1.189988E9</v>
      </c>
      <c r="J29" s="91">
        <v>1.416283E9</v>
      </c>
      <c r="K29" s="92">
        <v>1.788231E9</v>
      </c>
      <c r="L29" s="59"/>
      <c r="M29" s="60"/>
      <c r="N29" s="60"/>
      <c r="O29" s="61"/>
    </row>
    <row r="30">
      <c r="A30" s="1"/>
      <c r="B30" s="93" t="s">
        <v>42</v>
      </c>
      <c r="C30" s="94">
        <f>C26/K20</f>
        <v>4.950487318</v>
      </c>
      <c r="D30" s="6"/>
      <c r="E30" s="26"/>
      <c r="F30" s="78"/>
      <c r="G30" s="78"/>
      <c r="H30" s="37"/>
      <c r="I30" s="37"/>
      <c r="J30" s="37"/>
      <c r="K30" s="6"/>
      <c r="L30" s="59"/>
      <c r="M30" s="60"/>
      <c r="N30" s="60"/>
      <c r="O30" s="61"/>
    </row>
    <row r="31">
      <c r="A31" s="3"/>
      <c r="B31" s="51" t="s">
        <v>43</v>
      </c>
      <c r="C31" s="94">
        <f>C26/K4</f>
        <v>0.4006687274</v>
      </c>
      <c r="D31" s="6"/>
      <c r="E31" s="13" t="s">
        <v>44</v>
      </c>
      <c r="F31" s="95"/>
      <c r="G31" s="96"/>
      <c r="H31" s="97"/>
      <c r="I31" s="97"/>
      <c r="J31" s="98"/>
      <c r="K31" s="99"/>
      <c r="L31" s="59"/>
      <c r="M31" s="60"/>
      <c r="N31" s="60"/>
      <c r="O31" s="61"/>
    </row>
    <row r="32">
      <c r="A32" s="3"/>
      <c r="B32" s="100" t="s">
        <v>45</v>
      </c>
      <c r="C32" s="101">
        <f>C26/K26</f>
        <v>0.7351439018</v>
      </c>
      <c r="D32" s="6"/>
      <c r="E32" s="102" t="s">
        <v>46</v>
      </c>
      <c r="F32" s="103"/>
      <c r="G32" s="104"/>
      <c r="H32" s="104"/>
      <c r="I32" s="105"/>
      <c r="J32" s="106"/>
      <c r="K32" s="107"/>
      <c r="L32" s="6"/>
      <c r="M32" s="11"/>
      <c r="N32" s="11"/>
    </row>
    <row r="33">
      <c r="A33" s="3"/>
      <c r="B33" s="100" t="s">
        <v>47</v>
      </c>
      <c r="C33" s="94">
        <f>C29/K4</f>
        <v>0.07679712096</v>
      </c>
      <c r="D33" s="6"/>
      <c r="E33" s="26" t="s">
        <v>48</v>
      </c>
      <c r="F33" s="103"/>
      <c r="G33" s="104"/>
      <c r="H33" s="104"/>
      <c r="I33" s="104"/>
      <c r="J33" s="104"/>
      <c r="K33" s="107"/>
      <c r="L33" s="59"/>
      <c r="M33" s="60"/>
      <c r="N33" s="60"/>
      <c r="O33" s="61"/>
    </row>
    <row r="34">
      <c r="A34" s="3"/>
      <c r="B34" s="51" t="s">
        <v>49</v>
      </c>
      <c r="C34" s="108">
        <f>C29/K18</f>
        <v>0.6832138243</v>
      </c>
      <c r="D34" s="12"/>
      <c r="E34" s="102" t="s">
        <v>50</v>
      </c>
      <c r="F34" s="103"/>
      <c r="G34" s="105"/>
      <c r="H34" s="105"/>
      <c r="I34" s="105"/>
      <c r="J34" s="106"/>
      <c r="K34" s="107"/>
      <c r="L34" s="59"/>
      <c r="M34" s="60"/>
      <c r="N34" s="60"/>
      <c r="O34" s="61"/>
    </row>
    <row r="35">
      <c r="A35" s="1"/>
      <c r="B35" s="12"/>
      <c r="C35" s="109"/>
      <c r="D35" s="110"/>
      <c r="E35" s="102" t="s">
        <v>51</v>
      </c>
      <c r="F35" s="111"/>
      <c r="G35" s="112"/>
      <c r="H35" s="112"/>
      <c r="I35" s="112"/>
      <c r="J35" s="113"/>
      <c r="K35" s="114"/>
      <c r="L35" s="59"/>
      <c r="M35" s="60"/>
      <c r="N35" s="60"/>
      <c r="O35" s="61"/>
    </row>
    <row r="36">
      <c r="A36" s="1"/>
      <c r="B36" s="44" t="s">
        <v>52</v>
      </c>
      <c r="C36" s="115">
        <f>WACC!F47</f>
        <v>0.08119465039</v>
      </c>
      <c r="D36" s="116"/>
      <c r="E36" s="102"/>
      <c r="F36" s="117"/>
      <c r="G36" s="117"/>
      <c r="H36" s="117"/>
      <c r="I36" s="78"/>
      <c r="J36" s="6"/>
      <c r="K36" s="6"/>
      <c r="L36" s="6"/>
      <c r="M36" s="11"/>
      <c r="N36" s="11"/>
    </row>
    <row r="37">
      <c r="A37" s="3"/>
      <c r="B37" s="44" t="s">
        <v>53</v>
      </c>
      <c r="C37" s="118">
        <v>0.06</v>
      </c>
      <c r="D37" s="12"/>
      <c r="E37" s="13" t="s">
        <v>54</v>
      </c>
      <c r="F37" s="119"/>
      <c r="G37" s="120"/>
      <c r="H37" s="121">
        <v>2.89376E8</v>
      </c>
      <c r="I37" s="121">
        <v>1.95651E8</v>
      </c>
      <c r="J37" s="122">
        <v>5.03759E8</v>
      </c>
      <c r="K37" s="123">
        <v>7.67665E8</v>
      </c>
      <c r="L37" s="6"/>
      <c r="M37" s="11"/>
      <c r="N37" s="11"/>
    </row>
    <row r="38">
      <c r="A38" s="3"/>
      <c r="B38" s="51" t="s">
        <v>55</v>
      </c>
      <c r="C38" s="124">
        <f t="array" ref="C38">NPV(C36, J50:J60)</f>
        <v>4099153380</v>
      </c>
      <c r="D38" s="12"/>
      <c r="E38" s="102" t="s">
        <v>56</v>
      </c>
      <c r="F38" s="125"/>
      <c r="G38" s="126"/>
      <c r="H38" s="126">
        <v>-2.72174E8</v>
      </c>
      <c r="I38" s="126">
        <v>-1.79723E8</v>
      </c>
      <c r="J38" s="127">
        <v>-3.36813E8</v>
      </c>
      <c r="K38" s="128">
        <v>-7.03699E8</v>
      </c>
      <c r="L38" s="6"/>
      <c r="M38" s="11"/>
      <c r="N38" s="11"/>
    </row>
    <row r="39">
      <c r="A39" s="3"/>
      <c r="B39" s="51" t="s">
        <v>57</v>
      </c>
      <c r="C39" s="124">
        <f>C38+K28-K25</f>
        <v>5622304380</v>
      </c>
      <c r="D39" s="12"/>
      <c r="E39" s="102" t="s">
        <v>58</v>
      </c>
      <c r="F39" s="125"/>
      <c r="G39" s="126"/>
      <c r="H39" s="126">
        <v>1.3966E7</v>
      </c>
      <c r="I39" s="126">
        <v>-9.8502E7</v>
      </c>
      <c r="J39" s="127">
        <v>-1.22307E8</v>
      </c>
      <c r="K39" s="128">
        <v>-6.6469E7</v>
      </c>
      <c r="L39" s="6"/>
      <c r="M39" s="11"/>
      <c r="N39" s="11"/>
    </row>
    <row r="40">
      <c r="A40" s="3"/>
      <c r="B40" s="51" t="s">
        <v>30</v>
      </c>
      <c r="C40" s="129">
        <f>K23</f>
        <v>756259</v>
      </c>
      <c r="D40" s="12"/>
      <c r="E40" s="102" t="s">
        <v>59</v>
      </c>
      <c r="F40" s="125"/>
      <c r="G40" s="126"/>
      <c r="H40" s="126">
        <v>3.1168E7</v>
      </c>
      <c r="I40" s="126">
        <v>-8.2574E7</v>
      </c>
      <c r="J40" s="127">
        <v>4.4639E7</v>
      </c>
      <c r="K40" s="128">
        <v>-2503000.0</v>
      </c>
      <c r="L40" s="6"/>
      <c r="M40" s="11"/>
      <c r="N40" s="11"/>
    </row>
    <row r="41">
      <c r="A41" s="1"/>
      <c r="B41" s="44" t="s">
        <v>60</v>
      </c>
      <c r="C41" s="130">
        <f>C38/C40</f>
        <v>5420.3036</v>
      </c>
      <c r="D41" s="131"/>
      <c r="E41" s="102" t="s">
        <v>61</v>
      </c>
      <c r="F41" s="132"/>
      <c r="G41" s="133"/>
      <c r="H41" s="133">
        <v>9.6853E7</v>
      </c>
      <c r="I41" s="133">
        <v>9409000.0</v>
      </c>
      <c r="J41" s="133">
        <v>3.08893E8</v>
      </c>
      <c r="K41" s="134">
        <v>4.67787E8</v>
      </c>
      <c r="L41" s="6"/>
      <c r="M41" s="11"/>
      <c r="N41" s="11"/>
    </row>
    <row r="42">
      <c r="A42" s="1"/>
      <c r="B42" s="26" t="s">
        <v>62</v>
      </c>
      <c r="C42" s="135">
        <f>(C41-C25)/C41</f>
        <v>0.5179236823</v>
      </c>
      <c r="D42" s="116"/>
      <c r="E42" s="136"/>
      <c r="F42" s="58"/>
      <c r="G42" s="58"/>
      <c r="H42" s="137"/>
      <c r="I42" s="6"/>
      <c r="J42" s="6"/>
      <c r="K42" s="6"/>
      <c r="L42" s="6"/>
      <c r="M42" s="11"/>
      <c r="N42" s="11"/>
    </row>
    <row r="43">
      <c r="A43" s="3"/>
      <c r="B43" s="26"/>
      <c r="C43" s="138"/>
      <c r="D43" s="58"/>
      <c r="E43" s="139" t="s">
        <v>63</v>
      </c>
      <c r="F43" s="140" t="s">
        <v>9</v>
      </c>
      <c r="G43" s="141" t="s">
        <v>64</v>
      </c>
      <c r="H43" s="142" t="s">
        <v>25</v>
      </c>
      <c r="I43" s="140" t="s">
        <v>65</v>
      </c>
      <c r="J43" s="143" t="s">
        <v>66</v>
      </c>
      <c r="K43" s="144" t="s">
        <v>67</v>
      </c>
      <c r="L43" s="59"/>
      <c r="M43" s="11"/>
      <c r="N43" s="11"/>
    </row>
    <row r="44">
      <c r="A44" s="1"/>
      <c r="B44" s="13" t="s">
        <v>68</v>
      </c>
      <c r="C44" s="145">
        <f>C38+K28-K60</f>
        <v>5732811027</v>
      </c>
      <c r="D44" s="58"/>
      <c r="E44" s="146"/>
      <c r="F44" s="147"/>
      <c r="G44" s="147"/>
      <c r="H44" s="148"/>
      <c r="I44" s="149"/>
      <c r="J44" s="59"/>
      <c r="K44" s="59"/>
      <c r="L44" s="59"/>
      <c r="M44" s="11"/>
      <c r="N44" s="11"/>
    </row>
    <row r="45">
      <c r="A45" s="1"/>
      <c r="B45" s="13" t="s">
        <v>69</v>
      </c>
      <c r="C45" s="150">
        <f>C44/K23</f>
        <v>7580.48635</v>
      </c>
      <c r="D45" s="58"/>
      <c r="E45" s="151">
        <v>2019.0</v>
      </c>
      <c r="F45" s="152" t="str">
        <f>F4</f>
        <v/>
      </c>
      <c r="G45" s="153" t="str">
        <f>F5</f>
        <v/>
      </c>
      <c r="H45" s="154" t="str">
        <f>F20</f>
        <v/>
      </c>
      <c r="I45" s="155">
        <v>0.0</v>
      </c>
      <c r="J45" s="156" t="str">
        <f>F41</f>
        <v/>
      </c>
      <c r="K45" s="157" t="str">
        <f>F25</f>
        <v/>
      </c>
      <c r="L45" s="59"/>
      <c r="M45" s="11"/>
      <c r="N45" s="11"/>
    </row>
    <row r="46">
      <c r="A46" s="1"/>
      <c r="B46" s="1"/>
      <c r="C46" s="138"/>
      <c r="D46" s="58"/>
      <c r="E46" s="151">
        <v>2020.0</v>
      </c>
      <c r="F46" s="158" t="str">
        <f>G4</f>
        <v/>
      </c>
      <c r="G46" s="159" t="str">
        <f>G5</f>
        <v/>
      </c>
      <c r="H46" s="160" t="str">
        <f>G20</f>
        <v/>
      </c>
      <c r="I46" s="161">
        <v>0.0</v>
      </c>
      <c r="J46" s="162" t="str">
        <f>G41</f>
        <v/>
      </c>
      <c r="K46" s="163" t="str">
        <f>G25</f>
        <v/>
      </c>
      <c r="L46" s="164">
        <v>1.0</v>
      </c>
      <c r="M46" s="165"/>
      <c r="N46" s="165"/>
    </row>
    <row r="47">
      <c r="A47" s="1"/>
      <c r="B47" s="44" t="s">
        <v>70</v>
      </c>
      <c r="C47" s="166">
        <f>C37</f>
        <v>0.06</v>
      </c>
      <c r="D47" s="93"/>
      <c r="E47" s="167">
        <v>2021.0</v>
      </c>
      <c r="F47" s="168">
        <f>H4</f>
        <v>2830210000</v>
      </c>
      <c r="G47" s="169" t="str">
        <f>H5</f>
        <v/>
      </c>
      <c r="H47" s="160">
        <f>H20</f>
        <v>72367000</v>
      </c>
      <c r="I47" s="161">
        <v>0.0</v>
      </c>
      <c r="J47" s="162">
        <f>H41</f>
        <v>96853000</v>
      </c>
      <c r="K47" s="163">
        <f>H25</f>
        <v>333883000</v>
      </c>
      <c r="L47" s="164" t="str">
        <f>(K47/K46)</f>
        <v>#DIV/0!</v>
      </c>
      <c r="M47" s="165"/>
      <c r="N47" s="165"/>
    </row>
    <row r="48">
      <c r="A48" s="3"/>
      <c r="B48" s="26" t="s">
        <v>71</v>
      </c>
      <c r="C48" s="170">
        <f t="array" ref="C48">NPV(C36, I64:I74)</f>
        <v>7297101442</v>
      </c>
      <c r="D48" s="171"/>
      <c r="E48" s="167">
        <v>2022.0</v>
      </c>
      <c r="F48" s="168">
        <f>I4</f>
        <v>2744520000</v>
      </c>
      <c r="G48" s="169">
        <f>I5</f>
        <v>-0.03027690525</v>
      </c>
      <c r="H48" s="160">
        <f>I20</f>
        <v>63459000</v>
      </c>
      <c r="I48" s="161">
        <v>0.0</v>
      </c>
      <c r="J48" s="162">
        <f>I41</f>
        <v>9409000</v>
      </c>
      <c r="K48" s="163">
        <f>I25</f>
        <v>334045000</v>
      </c>
      <c r="L48" s="164">
        <f t="shared" ref="L48:L49" si="12">K48/K47</f>
        <v>1.0004852</v>
      </c>
      <c r="M48" s="165"/>
      <c r="N48" s="165"/>
    </row>
    <row r="49">
      <c r="A49" s="3"/>
      <c r="B49" s="13" t="s">
        <v>72</v>
      </c>
      <c r="C49" s="172">
        <f>C48/K64</f>
        <v>9784.149757</v>
      </c>
      <c r="D49" s="171"/>
      <c r="E49" s="167">
        <v>2023.0</v>
      </c>
      <c r="F49" s="168">
        <f>J4</f>
        <v>3774468000</v>
      </c>
      <c r="G49" s="169">
        <f>J5</f>
        <v>0.3752743649</v>
      </c>
      <c r="H49" s="160">
        <f>J20</f>
        <v>192585000</v>
      </c>
      <c r="I49" s="161">
        <v>0.0</v>
      </c>
      <c r="J49" s="162">
        <f>J41</f>
        <v>308893000</v>
      </c>
      <c r="K49" s="163">
        <f>J25</f>
        <v>312596000</v>
      </c>
      <c r="L49" s="164">
        <f t="shared" si="12"/>
        <v>0.9357900882</v>
      </c>
      <c r="M49" s="165"/>
      <c r="N49" s="165"/>
    </row>
    <row r="50">
      <c r="A50" s="3"/>
      <c r="B50" s="13" t="s">
        <v>73</v>
      </c>
      <c r="C50" s="173">
        <f>(C49/C25)^(1/10)-1</f>
        <v>0.1411385269</v>
      </c>
      <c r="D50" s="171"/>
      <c r="E50" s="167">
        <v>2024.0</v>
      </c>
      <c r="F50" s="158">
        <f>K4</f>
        <v>4702947000</v>
      </c>
      <c r="G50" s="159">
        <f>K5</f>
        <v>0.2459893686</v>
      </c>
      <c r="H50" s="160">
        <f>K20</f>
        <v>380634000</v>
      </c>
      <c r="I50" s="161">
        <v>0.0</v>
      </c>
      <c r="J50" s="162">
        <f>K41</f>
        <v>467787000</v>
      </c>
      <c r="K50" s="163">
        <f>K25</f>
        <v>399500000</v>
      </c>
      <c r="L50" s="138">
        <f>AVERAGE(L48:L49)</f>
        <v>0.968137644</v>
      </c>
      <c r="M50" s="165"/>
      <c r="N50" s="165"/>
    </row>
    <row r="51">
      <c r="A51" s="1"/>
      <c r="B51" s="44"/>
      <c r="C51" s="3"/>
      <c r="D51" s="171"/>
      <c r="E51" s="167">
        <v>2025.0</v>
      </c>
      <c r="F51" s="158">
        <f t="shared" ref="F51:F60" si="13">F50*(1+G51)</f>
        <v>4985123820</v>
      </c>
      <c r="G51" s="159">
        <f>G60</f>
        <v>0.06</v>
      </c>
      <c r="H51" s="160">
        <f t="shared" ref="H51:H60" si="14">H50*(1+G51)</f>
        <v>403472040</v>
      </c>
      <c r="I51" s="161">
        <f>G51</f>
        <v>0.06</v>
      </c>
      <c r="J51" s="174">
        <f>J50</f>
        <v>467787000</v>
      </c>
      <c r="K51" s="175">
        <f>L50*K50</f>
        <v>386770988.8</v>
      </c>
      <c r="L51" s="6"/>
      <c r="M51" s="11"/>
      <c r="N51" s="11"/>
    </row>
    <row r="52">
      <c r="A52" s="1"/>
      <c r="B52" s="13" t="s">
        <v>74</v>
      </c>
      <c r="C52" s="176">
        <f>I52</f>
        <v>0.0636</v>
      </c>
      <c r="D52" s="59"/>
      <c r="E52" s="177">
        <v>2026.0</v>
      </c>
      <c r="F52" s="158">
        <f t="shared" si="13"/>
        <v>5284231249</v>
      </c>
      <c r="G52" s="159">
        <f>G51-(G51-G60) / 10</f>
        <v>0.06</v>
      </c>
      <c r="H52" s="160">
        <f t="shared" si="14"/>
        <v>427680362.4</v>
      </c>
      <c r="I52" s="178">
        <f t="shared" ref="I52:I60" si="15">I51 * (1+G51)</f>
        <v>0.0636</v>
      </c>
      <c r="J52" s="162">
        <f t="shared" ref="J52:J60" si="16">J51*(1+G52)</f>
        <v>495854220</v>
      </c>
      <c r="K52" s="163">
        <f>L50*K51</f>
        <v>374447553.9</v>
      </c>
      <c r="L52" s="59"/>
      <c r="M52" s="11"/>
      <c r="N52" s="11"/>
    </row>
    <row r="53">
      <c r="A53" s="1"/>
      <c r="B53" s="13" t="s">
        <v>75</v>
      </c>
      <c r="C53" s="179">
        <f>J60/H60</f>
        <v>1.159403759</v>
      </c>
      <c r="D53" s="59"/>
      <c r="E53" s="177">
        <v>2027.0</v>
      </c>
      <c r="F53" s="158">
        <f t="shared" si="13"/>
        <v>5601285124</v>
      </c>
      <c r="G53" s="159">
        <f>G52-(G51-G60) / 10</f>
        <v>0.06</v>
      </c>
      <c r="H53" s="160">
        <f t="shared" si="14"/>
        <v>453341184.1</v>
      </c>
      <c r="I53" s="178">
        <f t="shared" si="15"/>
        <v>0.067416</v>
      </c>
      <c r="J53" s="162">
        <f t="shared" si="16"/>
        <v>525605473.2</v>
      </c>
      <c r="K53" s="163">
        <f>L50*K52</f>
        <v>362516772.6</v>
      </c>
      <c r="L53" s="59"/>
      <c r="M53" s="11"/>
      <c r="N53" s="11"/>
    </row>
    <row r="54">
      <c r="A54" s="1"/>
      <c r="B54" s="13" t="s">
        <v>76</v>
      </c>
      <c r="C54" s="180">
        <f>C53*(1+C52)^10</f>
        <v>2.147919451</v>
      </c>
      <c r="D54" s="59"/>
      <c r="E54" s="177">
        <v>2028.0</v>
      </c>
      <c r="F54" s="158">
        <f t="shared" si="13"/>
        <v>5937362232</v>
      </c>
      <c r="G54" s="159">
        <f>G53-(G51-G60) / 10</f>
        <v>0.06</v>
      </c>
      <c r="H54" s="160">
        <f t="shared" si="14"/>
        <v>480541655.2</v>
      </c>
      <c r="I54" s="178">
        <f t="shared" si="15"/>
        <v>0.07146096</v>
      </c>
      <c r="J54" s="162">
        <f t="shared" si="16"/>
        <v>557141801.6</v>
      </c>
      <c r="K54" s="163">
        <f>L50*K53</f>
        <v>350966134.2</v>
      </c>
      <c r="L54" s="59"/>
      <c r="M54" s="11"/>
      <c r="N54" s="11"/>
    </row>
    <row r="55">
      <c r="A55" s="3"/>
      <c r="B55" s="13" t="s">
        <v>77</v>
      </c>
      <c r="C55" s="181">
        <f t="array" ref="C55">NPV(C36, J64:J74)</f>
        <v>13518660772</v>
      </c>
      <c r="D55" s="70"/>
      <c r="E55" s="177">
        <v>2029.0</v>
      </c>
      <c r="F55" s="158">
        <f t="shared" si="13"/>
        <v>6293603965</v>
      </c>
      <c r="G55" s="159">
        <f>G54-(G51-G60) / 10</f>
        <v>0.06</v>
      </c>
      <c r="H55" s="160">
        <f t="shared" si="14"/>
        <v>509374154.5</v>
      </c>
      <c r="I55" s="178">
        <f t="shared" si="15"/>
        <v>0.0757486176</v>
      </c>
      <c r="J55" s="162">
        <f t="shared" si="16"/>
        <v>590570309.7</v>
      </c>
      <c r="K55" s="163">
        <f>L50*K54</f>
        <v>339783526.3</v>
      </c>
      <c r="L55" s="59"/>
      <c r="M55" s="11"/>
      <c r="N55" s="11"/>
    </row>
    <row r="56">
      <c r="A56" s="3"/>
      <c r="B56" s="13" t="s">
        <v>72</v>
      </c>
      <c r="C56" s="182">
        <f>C55/K64</f>
        <v>18126.18374</v>
      </c>
      <c r="D56" s="59"/>
      <c r="E56" s="177">
        <v>2030.0</v>
      </c>
      <c r="F56" s="158">
        <f t="shared" si="13"/>
        <v>6671220203</v>
      </c>
      <c r="G56" s="159">
        <f>G55-(G51-G60) / 10</f>
        <v>0.06</v>
      </c>
      <c r="H56" s="160">
        <f t="shared" si="14"/>
        <v>539936603.8</v>
      </c>
      <c r="I56" s="178">
        <f t="shared" si="15"/>
        <v>0.08029353466</v>
      </c>
      <c r="J56" s="162">
        <f t="shared" si="16"/>
        <v>626004528.3</v>
      </c>
      <c r="K56" s="163">
        <f>L50*K55</f>
        <v>328957222.6</v>
      </c>
      <c r="L56" s="59"/>
      <c r="M56" s="11"/>
      <c r="N56" s="11"/>
    </row>
    <row r="57">
      <c r="A57" s="1"/>
      <c r="B57" s="13" t="s">
        <v>73</v>
      </c>
      <c r="C57" s="183">
        <f>(C56/C25)^(1/10)-1</f>
        <v>0.2137149372</v>
      </c>
      <c r="D57" s="59"/>
      <c r="E57" s="136">
        <v>2031.0</v>
      </c>
      <c r="F57" s="158">
        <f t="shared" si="13"/>
        <v>7071493416</v>
      </c>
      <c r="G57" s="159">
        <f>G56-(G51-G60) / 10</f>
        <v>0.06</v>
      </c>
      <c r="H57" s="160">
        <f t="shared" si="14"/>
        <v>572332800</v>
      </c>
      <c r="I57" s="178">
        <f t="shared" si="15"/>
        <v>0.08511114674</v>
      </c>
      <c r="J57" s="162">
        <f t="shared" si="16"/>
        <v>663564800</v>
      </c>
      <c r="K57" s="175">
        <f>L50*K56</f>
        <v>318475870.5</v>
      </c>
      <c r="L57" s="6"/>
      <c r="M57" s="11"/>
      <c r="N57" s="11"/>
    </row>
    <row r="58">
      <c r="A58" s="1"/>
      <c r="B58" s="44"/>
      <c r="C58" s="138"/>
      <c r="D58" s="59"/>
      <c r="E58" s="136">
        <v>2032.0</v>
      </c>
      <c r="F58" s="158">
        <f t="shared" si="13"/>
        <v>7495783021</v>
      </c>
      <c r="G58" s="159">
        <f>G57-(G51-G60) / 10</f>
        <v>0.06</v>
      </c>
      <c r="H58" s="160">
        <f t="shared" si="14"/>
        <v>606672768</v>
      </c>
      <c r="I58" s="178">
        <f t="shared" si="15"/>
        <v>0.09021781554</v>
      </c>
      <c r="J58" s="162">
        <f t="shared" si="16"/>
        <v>703378688</v>
      </c>
      <c r="K58" s="175">
        <f>L50*K57</f>
        <v>308328478.9</v>
      </c>
      <c r="L58" s="6"/>
      <c r="M58" s="11"/>
      <c r="N58" s="11"/>
    </row>
    <row r="59">
      <c r="A59" s="1"/>
      <c r="B59" s="184" t="s">
        <v>78</v>
      </c>
      <c r="C59" s="19"/>
      <c r="D59" s="70"/>
      <c r="E59" s="136">
        <v>2033.0</v>
      </c>
      <c r="F59" s="158">
        <f t="shared" si="13"/>
        <v>7945530002</v>
      </c>
      <c r="G59" s="159">
        <f>G58-(G51-G60) / 10</f>
        <v>0.06</v>
      </c>
      <c r="H59" s="160">
        <f t="shared" si="14"/>
        <v>643073134.1</v>
      </c>
      <c r="I59" s="178">
        <f t="shared" si="15"/>
        <v>0.09563088447</v>
      </c>
      <c r="J59" s="162">
        <f t="shared" si="16"/>
        <v>745581409.2</v>
      </c>
      <c r="K59" s="175">
        <f>L50*K58</f>
        <v>298504407.2</v>
      </c>
      <c r="L59" s="6"/>
      <c r="M59" s="11"/>
      <c r="N59" s="11"/>
    </row>
    <row r="60">
      <c r="A60" s="1"/>
      <c r="B60" s="24"/>
      <c r="C60" s="25"/>
      <c r="D60" s="70"/>
      <c r="E60" s="136">
        <v>2034.0</v>
      </c>
      <c r="F60" s="185">
        <f t="shared" si="13"/>
        <v>8422261802</v>
      </c>
      <c r="G60" s="186">
        <f>C37</f>
        <v>0.06</v>
      </c>
      <c r="H60" s="187">
        <f t="shared" si="14"/>
        <v>681657522.1</v>
      </c>
      <c r="I60" s="188">
        <f t="shared" si="15"/>
        <v>0.1013687375</v>
      </c>
      <c r="J60" s="189">
        <f t="shared" si="16"/>
        <v>790316293.8</v>
      </c>
      <c r="K60" s="190">
        <f>L50*K59</f>
        <v>288993353.5</v>
      </c>
      <c r="L60" s="6"/>
      <c r="M60" s="11"/>
      <c r="N60" s="11"/>
    </row>
    <row r="61" ht="21.75" customHeight="1">
      <c r="A61" s="1"/>
      <c r="B61" s="24"/>
      <c r="C61" s="25"/>
      <c r="D61" s="171"/>
      <c r="E61" s="6"/>
      <c r="F61" s="191"/>
      <c r="G61" s="191"/>
      <c r="H61" s="6"/>
      <c r="I61" s="6"/>
      <c r="J61" s="6"/>
      <c r="K61" s="6"/>
      <c r="L61" s="6"/>
      <c r="M61" s="11"/>
      <c r="N61" s="11"/>
    </row>
    <row r="62">
      <c r="A62" s="1"/>
      <c r="B62" s="65"/>
      <c r="C62" s="66"/>
      <c r="D62" s="171"/>
      <c r="E62" s="139" t="s">
        <v>63</v>
      </c>
      <c r="F62" s="140" t="s">
        <v>79</v>
      </c>
      <c r="G62" s="140" t="s">
        <v>64</v>
      </c>
      <c r="H62" s="192" t="s">
        <v>25</v>
      </c>
      <c r="I62" s="143" t="s">
        <v>66</v>
      </c>
      <c r="J62" s="143" t="s">
        <v>80</v>
      </c>
      <c r="K62" s="144" t="s">
        <v>30</v>
      </c>
      <c r="L62" s="6"/>
      <c r="M62" s="11"/>
      <c r="N62" s="11"/>
    </row>
    <row r="63">
      <c r="A63" s="1"/>
      <c r="B63" s="59"/>
      <c r="C63" s="59"/>
      <c r="D63" s="171"/>
      <c r="E63" s="146"/>
      <c r="F63" s="147"/>
      <c r="G63" s="147"/>
      <c r="H63" s="148"/>
      <c r="I63" s="149"/>
      <c r="J63" s="59"/>
      <c r="K63" s="3"/>
      <c r="L63" s="6"/>
      <c r="M63" s="11"/>
      <c r="N63" s="11"/>
    </row>
    <row r="64">
      <c r="A64" s="138"/>
      <c r="B64" s="59"/>
      <c r="C64" s="59"/>
      <c r="D64" s="37"/>
      <c r="E64" s="136">
        <v>2034.0</v>
      </c>
      <c r="F64" s="193">
        <f>F60*C54</f>
        <v>18090339945</v>
      </c>
      <c r="G64" s="194">
        <f t="shared" ref="G64:H64" si="17">G60</f>
        <v>0.06</v>
      </c>
      <c r="H64" s="195">
        <f t="shared" si="17"/>
        <v>681657522.1</v>
      </c>
      <c r="I64" s="196">
        <f>J60</f>
        <v>790316293.8</v>
      </c>
      <c r="J64" s="197">
        <f>H64*C54</f>
        <v>1464145451</v>
      </c>
      <c r="K64" s="198">
        <f>L64*K23</f>
        <v>745808.4374</v>
      </c>
      <c r="L64" s="199">
        <f>((K23-H23)/H23 + 1)</f>
        <v>0.9861812387</v>
      </c>
      <c r="M64" s="11"/>
      <c r="N64" s="11"/>
    </row>
    <row r="65">
      <c r="A65" s="138"/>
      <c r="B65" s="1"/>
      <c r="C65" s="138"/>
      <c r="D65" s="37"/>
      <c r="E65" s="136">
        <v>2035.0</v>
      </c>
      <c r="F65" s="200">
        <f t="shared" ref="F65:F74" si="18">F64*(1+G65)</f>
        <v>19175760341</v>
      </c>
      <c r="G65" s="201">
        <f>G64-(G64-G74) / 10</f>
        <v>0.06</v>
      </c>
      <c r="H65" s="202">
        <f t="shared" ref="H65:H74" si="19">H64*(1+G65)</f>
        <v>722556973.5</v>
      </c>
      <c r="I65" s="203">
        <f t="shared" ref="I65:I74" si="20">I64*(1+G65)</f>
        <v>837735271.4</v>
      </c>
      <c r="J65" s="204">
        <f>H65*C54</f>
        <v>1551994178</v>
      </c>
      <c r="K65" s="41">
        <f t="shared" ref="K65:K68" si="21">L65*K64</f>
        <v>728147.2658</v>
      </c>
      <c r="L65" s="199">
        <f t="shared" ref="L65:L67" si="22">L64*0.99</f>
        <v>0.9763194263</v>
      </c>
      <c r="M65" s="11"/>
      <c r="N65" s="11"/>
    </row>
    <row r="66">
      <c r="A66" s="138"/>
      <c r="B66" s="1"/>
      <c r="C66" s="205"/>
      <c r="D66" s="37"/>
      <c r="E66" s="136">
        <v>2036.0</v>
      </c>
      <c r="F66" s="200">
        <f t="shared" si="18"/>
        <v>20326305962</v>
      </c>
      <c r="G66" s="201">
        <f>G65-(G64-G74) / 10</f>
        <v>0.06</v>
      </c>
      <c r="H66" s="202">
        <f t="shared" si="19"/>
        <v>765910391.9</v>
      </c>
      <c r="I66" s="203">
        <f t="shared" si="20"/>
        <v>887999387.7</v>
      </c>
      <c r="J66" s="206">
        <f>H66*C54</f>
        <v>1645113828</v>
      </c>
      <c r="K66" s="48">
        <f t="shared" si="21"/>
        <v>703795.2776</v>
      </c>
      <c r="L66" s="199">
        <f t="shared" si="22"/>
        <v>0.9665562321</v>
      </c>
      <c r="M66" s="11"/>
      <c r="N66" s="11"/>
    </row>
    <row r="67">
      <c r="A67" s="138"/>
      <c r="B67" s="1"/>
      <c r="C67" s="205"/>
      <c r="D67" s="37"/>
      <c r="E67" s="136">
        <v>2037.0</v>
      </c>
      <c r="F67" s="200">
        <f t="shared" si="18"/>
        <v>21545884320</v>
      </c>
      <c r="G67" s="201">
        <f>G66-(G64-G74) / 10</f>
        <v>0.06</v>
      </c>
      <c r="H67" s="202">
        <f t="shared" si="19"/>
        <v>811865015.4</v>
      </c>
      <c r="I67" s="203">
        <f t="shared" si="20"/>
        <v>941279351</v>
      </c>
      <c r="J67" s="204">
        <f>H67*C54</f>
        <v>1743820658</v>
      </c>
      <c r="K67" s="41">
        <f t="shared" si="21"/>
        <v>673455.1345</v>
      </c>
      <c r="L67" s="199">
        <f t="shared" si="22"/>
        <v>0.9568906697</v>
      </c>
      <c r="M67" s="11"/>
      <c r="N67" s="11"/>
    </row>
    <row r="68">
      <c r="A68" s="1"/>
      <c r="B68" s="1"/>
      <c r="C68" s="138"/>
      <c r="D68" s="70"/>
      <c r="E68" s="136">
        <v>2038.0</v>
      </c>
      <c r="F68" s="200">
        <f t="shared" si="18"/>
        <v>22838637379</v>
      </c>
      <c r="G68" s="201">
        <f>G67-(G64-G74) / 10</f>
        <v>0.06</v>
      </c>
      <c r="H68" s="202">
        <f t="shared" si="19"/>
        <v>860576916.3</v>
      </c>
      <c r="I68" s="203">
        <f t="shared" si="20"/>
        <v>997756112</v>
      </c>
      <c r="J68" s="206">
        <f>H68*C54</f>
        <v>1848449897</v>
      </c>
      <c r="K68" s="48">
        <f t="shared" si="21"/>
        <v>644422.9347</v>
      </c>
      <c r="L68" s="199">
        <f>L67</f>
        <v>0.9568906697</v>
      </c>
      <c r="M68" s="11"/>
      <c r="N68" s="11"/>
    </row>
    <row r="69">
      <c r="A69" s="1"/>
      <c r="B69" s="13"/>
      <c r="C69" s="70"/>
      <c r="D69" s="70"/>
      <c r="E69" s="136">
        <v>2039.0</v>
      </c>
      <c r="F69" s="200">
        <f t="shared" si="18"/>
        <v>24208955621</v>
      </c>
      <c r="G69" s="201">
        <f>G68-(G64-G74) / 10</f>
        <v>0.06</v>
      </c>
      <c r="H69" s="202">
        <f t="shared" si="19"/>
        <v>912211531.3</v>
      </c>
      <c r="I69" s="203">
        <f t="shared" si="20"/>
        <v>1057621479</v>
      </c>
      <c r="J69" s="204">
        <f>H69*C54</f>
        <v>1959356891</v>
      </c>
      <c r="K69" s="41">
        <f>L68*K68</f>
        <v>616642.2936</v>
      </c>
      <c r="L69" s="6"/>
      <c r="M69" s="11"/>
      <c r="N69" s="11"/>
    </row>
    <row r="70">
      <c r="A70" s="1"/>
      <c r="B70" s="13"/>
      <c r="C70" s="207"/>
      <c r="D70" s="70"/>
      <c r="E70" s="136">
        <v>2040.0</v>
      </c>
      <c r="F70" s="200">
        <f t="shared" si="18"/>
        <v>25661492959</v>
      </c>
      <c r="G70" s="201">
        <f>G69-(G64-G74) / 10</f>
        <v>0.06</v>
      </c>
      <c r="H70" s="202">
        <f t="shared" si="19"/>
        <v>966944223.1</v>
      </c>
      <c r="I70" s="203">
        <f t="shared" si="20"/>
        <v>1121078767</v>
      </c>
      <c r="J70" s="204">
        <f>H70*C54</f>
        <v>2076918305</v>
      </c>
      <c r="K70" s="41">
        <f>L68*K69</f>
        <v>590059.2573</v>
      </c>
      <c r="L70" s="6"/>
      <c r="M70" s="11"/>
      <c r="N70" s="11"/>
    </row>
    <row r="71">
      <c r="A71" s="1"/>
      <c r="B71" s="70"/>
      <c r="C71" s="70"/>
      <c r="D71" s="70"/>
      <c r="E71" s="136">
        <v>2041.0</v>
      </c>
      <c r="F71" s="200">
        <f t="shared" si="18"/>
        <v>27201182536</v>
      </c>
      <c r="G71" s="201">
        <f>G70-(G64-G74) / 10</f>
        <v>0.06</v>
      </c>
      <c r="H71" s="202">
        <f t="shared" si="19"/>
        <v>1024960877</v>
      </c>
      <c r="I71" s="203">
        <f t="shared" si="20"/>
        <v>1188343494</v>
      </c>
      <c r="J71" s="204">
        <f>H71*C54</f>
        <v>2201533403</v>
      </c>
      <c r="K71" s="41">
        <f>L68*K70</f>
        <v>564622.1979</v>
      </c>
      <c r="L71" s="6"/>
      <c r="M71" s="11"/>
      <c r="N71" s="11"/>
    </row>
    <row r="72">
      <c r="A72" s="1"/>
      <c r="B72" s="70"/>
      <c r="C72" s="70"/>
      <c r="D72" s="70"/>
      <c r="E72" s="136">
        <v>2042.0</v>
      </c>
      <c r="F72" s="200">
        <f t="shared" si="18"/>
        <v>28833253488</v>
      </c>
      <c r="G72" s="201">
        <f>G71-(G64-G74) / 10</f>
        <v>0.06</v>
      </c>
      <c r="H72" s="202">
        <f t="shared" si="19"/>
        <v>1086458529</v>
      </c>
      <c r="I72" s="203">
        <f t="shared" si="20"/>
        <v>1259644103</v>
      </c>
      <c r="J72" s="204">
        <f>H72*C54</f>
        <v>2333625407</v>
      </c>
      <c r="K72" s="41">
        <f>L68*K71</f>
        <v>540281.7132</v>
      </c>
      <c r="L72" s="6"/>
      <c r="M72" s="11"/>
      <c r="N72" s="11"/>
    </row>
    <row r="73">
      <c r="A73" s="1"/>
      <c r="B73" s="70"/>
      <c r="C73" s="70"/>
      <c r="D73" s="70"/>
      <c r="E73" s="136">
        <v>2043.0</v>
      </c>
      <c r="F73" s="200">
        <f t="shared" si="18"/>
        <v>30563248698</v>
      </c>
      <c r="G73" s="201">
        <f>G72-(G64-G74) / 10</f>
        <v>0.06</v>
      </c>
      <c r="H73" s="202">
        <f t="shared" si="19"/>
        <v>1151646041</v>
      </c>
      <c r="I73" s="203">
        <f t="shared" si="20"/>
        <v>1335222749</v>
      </c>
      <c r="J73" s="204">
        <f>H73*C54</f>
        <v>2473642932</v>
      </c>
      <c r="K73" s="41">
        <f>L68*K72</f>
        <v>516990.5303</v>
      </c>
      <c r="L73" s="6"/>
      <c r="M73" s="11"/>
      <c r="N73" s="11"/>
    </row>
    <row r="74">
      <c r="A74" s="138"/>
      <c r="B74" s="37"/>
      <c r="C74" s="37"/>
      <c r="D74" s="70"/>
      <c r="E74" s="136">
        <v>2044.0</v>
      </c>
      <c r="F74" s="208">
        <f t="shared" si="18"/>
        <v>32397043620</v>
      </c>
      <c r="G74" s="209">
        <f>C47</f>
        <v>0.06</v>
      </c>
      <c r="H74" s="210">
        <f t="shared" si="19"/>
        <v>1220744803</v>
      </c>
      <c r="I74" s="211">
        <f t="shared" si="20"/>
        <v>1415336114</v>
      </c>
      <c r="J74" s="212">
        <f>H74*C54</f>
        <v>2622061508</v>
      </c>
      <c r="K74" s="213">
        <f>L68*K73</f>
        <v>494703.4148</v>
      </c>
      <c r="L74" s="6"/>
      <c r="M74" s="11"/>
      <c r="N74" s="11"/>
    </row>
    <row r="75">
      <c r="A75" s="3"/>
      <c r="B75" s="6"/>
      <c r="C75" s="70"/>
      <c r="D75" s="70"/>
      <c r="E75" s="214"/>
      <c r="F75" s="214">
        <v>2019.0</v>
      </c>
      <c r="G75" s="214">
        <v>2020.0</v>
      </c>
      <c r="H75" s="214">
        <v>2021.0</v>
      </c>
      <c r="I75" s="214">
        <v>2022.0</v>
      </c>
      <c r="J75" s="214">
        <v>2023.0</v>
      </c>
      <c r="K75" s="6"/>
      <c r="L75" s="6"/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6"/>
      <c r="C76" s="70"/>
      <c r="D76" s="70"/>
      <c r="E76" s="6"/>
      <c r="F76" s="6"/>
      <c r="G76" s="6"/>
      <c r="H76" s="6"/>
      <c r="I76" s="6"/>
      <c r="J76" s="6"/>
      <c r="K76" s="6"/>
      <c r="L76" s="6"/>
      <c r="M76" s="6"/>
      <c r="N76" s="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21.75" customHeight="1">
      <c r="A77" s="3"/>
      <c r="B77" s="215" t="s">
        <v>81</v>
      </c>
      <c r="C77" s="216"/>
      <c r="D77" s="216"/>
      <c r="E77" s="216"/>
      <c r="F77" s="216"/>
      <c r="G77" s="216"/>
      <c r="H77" s="216"/>
      <c r="I77" s="216"/>
      <c r="J77" s="216"/>
      <c r="K77" s="217"/>
      <c r="L77" s="6"/>
      <c r="M77" s="11"/>
      <c r="N77" s="11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idden="1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1"/>
      <c r="N130" s="11"/>
    </row>
    <row r="131" hidden="1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1"/>
      <c r="N131" s="11"/>
    </row>
    <row r="132" hidden="1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1"/>
      <c r="N132" s="11"/>
    </row>
    <row r="133" hidden="1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1"/>
      <c r="N133" s="11"/>
    </row>
    <row r="134" hidden="1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1"/>
      <c r="N134" s="11"/>
    </row>
    <row r="135" hidden="1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1"/>
      <c r="N135" s="11"/>
    </row>
    <row r="136" hidden="1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1"/>
      <c r="N136" s="11"/>
    </row>
    <row r="137" hidden="1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1"/>
      <c r="N137" s="11"/>
    </row>
    <row r="138" hidden="1">
      <c r="A138" s="3"/>
      <c r="L138" s="3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  <row r="984" hidden="1">
      <c r="A984" s="3"/>
      <c r="L984" s="3"/>
    </row>
    <row r="985" hidden="1">
      <c r="A985" s="3"/>
      <c r="L985" s="3"/>
    </row>
    <row r="986" hidden="1">
      <c r="A986" s="3"/>
      <c r="L986" s="3"/>
    </row>
    <row r="987" hidden="1">
      <c r="A987" s="3"/>
      <c r="L987" s="3"/>
    </row>
    <row r="988" hidden="1">
      <c r="A988" s="3"/>
      <c r="L988" s="3"/>
    </row>
    <row r="989" hidden="1">
      <c r="A989" s="3"/>
      <c r="L989" s="3"/>
    </row>
    <row r="990" hidden="1">
      <c r="A990" s="3"/>
      <c r="L990" s="3"/>
    </row>
    <row r="991" hidden="1">
      <c r="A991" s="3"/>
      <c r="L991" s="3"/>
    </row>
    <row r="992" hidden="1">
      <c r="A992" s="3"/>
      <c r="L992" s="3"/>
    </row>
    <row r="993" hidden="1">
      <c r="A993" s="3"/>
      <c r="L993" s="3"/>
    </row>
    <row r="994" hidden="1">
      <c r="A994" s="3"/>
      <c r="L994" s="3"/>
    </row>
    <row r="995" hidden="1">
      <c r="A995" s="3"/>
      <c r="L995" s="3"/>
    </row>
    <row r="996" hidden="1">
      <c r="A996" s="3"/>
      <c r="L996" s="3"/>
    </row>
    <row r="997" hidden="1">
      <c r="A997" s="3"/>
      <c r="L997" s="3"/>
    </row>
    <row r="998" hidden="1">
      <c r="A998" s="3"/>
      <c r="L998" s="3"/>
    </row>
    <row r="999" hidden="1">
      <c r="A999" s="3"/>
      <c r="L999" s="3"/>
    </row>
    <row r="1000" hidden="1">
      <c r="A1000" s="3"/>
      <c r="L1000" s="3"/>
    </row>
    <row r="1001" hidden="1">
      <c r="A1001" s="3"/>
      <c r="L1001" s="3"/>
    </row>
    <row r="1002" hidden="1">
      <c r="A1002" s="3"/>
      <c r="L1002" s="3"/>
    </row>
    <row r="1003" hidden="1">
      <c r="A1003" s="3"/>
      <c r="L1003" s="3"/>
    </row>
    <row r="1004" hidden="1">
      <c r="A1004" s="3"/>
      <c r="L1004" s="3"/>
    </row>
    <row r="1005" hidden="1">
      <c r="A1005" s="3"/>
      <c r="L1005" s="3"/>
    </row>
    <row r="1006" hidden="1">
      <c r="A1006" s="3"/>
      <c r="L1006" s="3"/>
    </row>
    <row r="1007" hidden="1">
      <c r="A1007" s="3"/>
      <c r="L1007" s="3"/>
    </row>
    <row r="1008" hidden="1">
      <c r="A1008" s="3"/>
      <c r="L1008" s="3"/>
    </row>
    <row r="1009" hidden="1">
      <c r="A1009" s="3"/>
      <c r="L1009" s="3"/>
    </row>
    <row r="1010" hidden="1">
      <c r="A1010" s="3"/>
      <c r="L1010" s="3"/>
    </row>
    <row r="1011" hidden="1">
      <c r="A1011" s="3"/>
      <c r="L1011" s="3"/>
    </row>
    <row r="1012" hidden="1">
      <c r="A1012" s="3"/>
      <c r="L1012" s="3"/>
    </row>
    <row r="1013" hidden="1">
      <c r="A1013" s="3"/>
      <c r="L1013" s="3"/>
    </row>
    <row r="1014" hidden="1">
      <c r="A1014" s="3"/>
      <c r="L1014" s="3"/>
    </row>
    <row r="1015" hidden="1">
      <c r="A1015" s="3"/>
      <c r="L1015" s="3"/>
    </row>
    <row r="1016" hidden="1">
      <c r="A1016" s="3"/>
      <c r="L1016" s="3"/>
    </row>
    <row r="1017" hidden="1">
      <c r="A1017" s="3"/>
      <c r="L1017" s="3"/>
    </row>
    <row r="1018" hidden="1">
      <c r="A1018" s="3"/>
      <c r="L1018" s="3"/>
    </row>
  </sheetData>
  <mergeCells count="3">
    <mergeCell ref="B4:C21"/>
    <mergeCell ref="B59:C62"/>
    <mergeCell ref="B77:K77"/>
  </mergeCells>
  <printOptions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7.75"/>
    <col customWidth="1" min="2" max="2" width="13.5"/>
    <col customWidth="1" min="3" max="3" width="14.38"/>
    <col customWidth="1" min="4" max="11" width="11.13"/>
    <col customWidth="1" min="12" max="12" width="12.0"/>
    <col customWidth="1" hidden="1" min="13" max="25" width="11.1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4" t="str">
        <f>Valuation!B23</f>
        <v>FUJHF</v>
      </c>
      <c r="C2" s="5">
        <v>45659.0</v>
      </c>
      <c r="D2" s="6"/>
      <c r="E2" s="218" t="s">
        <v>82</v>
      </c>
      <c r="F2" s="216"/>
      <c r="G2" s="216"/>
      <c r="H2" s="216"/>
      <c r="I2" s="216"/>
      <c r="J2" s="216"/>
      <c r="K2" s="217"/>
      <c r="L2" s="6"/>
      <c r="M2" s="10"/>
      <c r="N2" s="11"/>
    </row>
    <row r="3">
      <c r="A3" s="1"/>
      <c r="B3" s="12"/>
      <c r="C3" s="13"/>
      <c r="D3" s="14"/>
      <c r="E3" s="1"/>
      <c r="F3" s="3"/>
      <c r="G3" s="3"/>
      <c r="H3" s="3"/>
      <c r="I3" s="3"/>
      <c r="J3" s="3"/>
      <c r="K3" s="1"/>
      <c r="L3" s="16"/>
      <c r="M3" s="17"/>
      <c r="N3" s="11"/>
    </row>
    <row r="4">
      <c r="A4" s="3"/>
      <c r="B4" s="219" t="s">
        <v>83</v>
      </c>
      <c r="D4" s="20"/>
      <c r="E4" s="220" t="s">
        <v>84</v>
      </c>
      <c r="F4" s="221"/>
      <c r="G4" s="221"/>
      <c r="H4" s="221"/>
      <c r="I4" s="221"/>
      <c r="J4" s="221"/>
      <c r="K4" s="19"/>
      <c r="L4" s="16"/>
      <c r="M4" s="11"/>
      <c r="N4" s="11"/>
    </row>
    <row r="5">
      <c r="A5" s="3"/>
      <c r="B5" s="222" t="s">
        <v>85</v>
      </c>
      <c r="C5" s="223">
        <v>0.06</v>
      </c>
      <c r="D5" s="20"/>
      <c r="E5" s="65"/>
      <c r="F5" s="224"/>
      <c r="G5" s="224"/>
      <c r="H5" s="224"/>
      <c r="I5" s="224"/>
      <c r="J5" s="224"/>
      <c r="K5" s="66"/>
      <c r="L5" s="16"/>
      <c r="M5" s="11"/>
      <c r="N5" s="11"/>
    </row>
    <row r="6">
      <c r="A6" s="3"/>
      <c r="B6" s="222" t="s">
        <v>86</v>
      </c>
      <c r="C6" s="222">
        <v>1.0</v>
      </c>
      <c r="D6" s="6"/>
      <c r="E6" s="1"/>
      <c r="F6" s="225"/>
      <c r="G6" s="226"/>
      <c r="H6" s="226"/>
      <c r="I6" s="226"/>
      <c r="J6" s="226"/>
      <c r="K6" s="226"/>
      <c r="L6" s="16"/>
      <c r="M6" s="11"/>
      <c r="N6" s="11"/>
    </row>
    <row r="7">
      <c r="A7" s="3"/>
      <c r="B7" s="222"/>
      <c r="C7" s="222"/>
      <c r="D7" s="33"/>
      <c r="E7" s="227" t="s">
        <v>87</v>
      </c>
      <c r="G7" s="228"/>
      <c r="H7" s="228"/>
      <c r="I7" s="228"/>
      <c r="J7" s="228"/>
      <c r="K7" s="228"/>
      <c r="L7" s="37"/>
      <c r="M7" s="17"/>
      <c r="N7" s="17"/>
    </row>
    <row r="8">
      <c r="A8" s="1"/>
      <c r="B8" s="222"/>
      <c r="C8" s="222"/>
      <c r="D8" s="6"/>
      <c r="E8" s="1"/>
      <c r="F8" s="3"/>
      <c r="G8" s="3"/>
      <c r="H8" s="3"/>
      <c r="I8" s="3"/>
      <c r="J8" s="3"/>
      <c r="K8" s="3"/>
      <c r="L8" s="6"/>
      <c r="M8" s="11"/>
      <c r="N8" s="11"/>
    </row>
    <row r="9">
      <c r="A9" s="1"/>
      <c r="B9" s="219" t="s">
        <v>88</v>
      </c>
      <c r="D9" s="6"/>
      <c r="E9" s="1"/>
      <c r="F9" s="229" t="s">
        <v>89</v>
      </c>
      <c r="G9" s="228"/>
      <c r="H9" s="228"/>
      <c r="I9" s="230">
        <f>Valuation!C26</f>
        <v>1884323790</v>
      </c>
      <c r="K9" s="231" t="s">
        <v>90</v>
      </c>
      <c r="L9" s="6"/>
      <c r="M9" s="11"/>
      <c r="N9" s="11"/>
    </row>
    <row r="10">
      <c r="A10" s="3"/>
      <c r="B10" s="222" t="s">
        <v>91</v>
      </c>
      <c r="D10" s="6"/>
      <c r="E10" s="1"/>
      <c r="F10" s="232" t="s">
        <v>92</v>
      </c>
      <c r="G10" s="226"/>
      <c r="H10" s="226"/>
      <c r="I10" s="230">
        <f>Valuation!K25</f>
        <v>399500000</v>
      </c>
      <c r="K10" s="231" t="s">
        <v>90</v>
      </c>
      <c r="L10" s="6"/>
      <c r="M10" s="11"/>
      <c r="N10" s="11"/>
    </row>
    <row r="11">
      <c r="A11" s="1"/>
      <c r="D11" s="49"/>
      <c r="E11" s="1"/>
      <c r="F11" s="225"/>
      <c r="G11" s="226"/>
      <c r="H11" s="226"/>
      <c r="I11" s="226"/>
      <c r="J11" s="226"/>
      <c r="K11" s="226"/>
      <c r="L11" s="6"/>
      <c r="M11" s="11"/>
      <c r="N11" s="11"/>
    </row>
    <row r="12">
      <c r="A12" s="1"/>
      <c r="B12" s="222" t="s">
        <v>93</v>
      </c>
      <c r="D12" s="50"/>
      <c r="E12" s="3"/>
      <c r="F12" s="229" t="s">
        <v>94</v>
      </c>
      <c r="G12" s="1"/>
      <c r="H12" s="229" t="s">
        <v>95</v>
      </c>
      <c r="I12" s="1"/>
      <c r="J12" s="229"/>
      <c r="K12" s="1"/>
      <c r="L12" s="6"/>
      <c r="M12" s="11"/>
      <c r="N12" s="11"/>
    </row>
    <row r="13">
      <c r="A13" s="1"/>
      <c r="B13" s="222" t="s">
        <v>96</v>
      </c>
      <c r="D13" s="55"/>
      <c r="E13" s="3"/>
      <c r="F13" s="229" t="s">
        <v>94</v>
      </c>
      <c r="G13" s="3"/>
      <c r="H13" s="233">
        <f>I9/(I9+I10)</f>
        <v>0.8250740702</v>
      </c>
      <c r="I13" s="3"/>
      <c r="J13" s="3"/>
      <c r="K13" s="3"/>
      <c r="L13" s="6"/>
      <c r="M13" s="11"/>
      <c r="N13" s="11"/>
    </row>
    <row r="14">
      <c r="A14" s="1"/>
      <c r="D14" s="56"/>
      <c r="E14" s="1"/>
      <c r="F14" s="1"/>
      <c r="G14" s="228"/>
      <c r="H14" s="228"/>
      <c r="I14" s="228"/>
      <c r="J14" s="228"/>
      <c r="K14" s="228"/>
      <c r="L14" s="3"/>
      <c r="M14" s="11"/>
      <c r="N14" s="11"/>
    </row>
    <row r="15">
      <c r="A15" s="1"/>
      <c r="D15" s="56"/>
      <c r="E15" s="3"/>
      <c r="F15" s="234" t="s">
        <v>97</v>
      </c>
      <c r="G15" s="226"/>
      <c r="H15" s="234" t="s">
        <v>98</v>
      </c>
      <c r="I15" s="226"/>
      <c r="J15" s="226"/>
      <c r="K15" s="226"/>
      <c r="L15" s="6"/>
      <c r="M15" s="11"/>
      <c r="N15" s="11"/>
    </row>
    <row r="16">
      <c r="A16" s="1"/>
      <c r="D16" s="56"/>
      <c r="E16" s="1"/>
      <c r="F16" s="234" t="s">
        <v>97</v>
      </c>
      <c r="G16" s="226"/>
      <c r="H16" s="235">
        <f>I10/(I9+I10)</f>
        <v>0.1749259298</v>
      </c>
      <c r="I16" s="226"/>
      <c r="J16" s="226"/>
      <c r="K16" s="226"/>
      <c r="L16" s="6"/>
      <c r="M16" s="11"/>
      <c r="N16" s="11"/>
    </row>
    <row r="17">
      <c r="A17" s="1"/>
      <c r="B17" s="222"/>
      <c r="C17" s="222"/>
      <c r="D17" s="58"/>
      <c r="E17" s="3"/>
      <c r="F17" s="225"/>
      <c r="G17" s="226"/>
      <c r="H17" s="226"/>
      <c r="I17" s="226"/>
      <c r="J17" s="226"/>
      <c r="K17" s="226"/>
      <c r="L17" s="59"/>
      <c r="M17" s="60"/>
      <c r="N17" s="60"/>
      <c r="O17" s="61"/>
    </row>
    <row r="18">
      <c r="A18" s="1"/>
      <c r="B18" s="222"/>
      <c r="C18" s="222"/>
      <c r="D18" s="62"/>
      <c r="E18" s="227" t="s">
        <v>99</v>
      </c>
      <c r="G18" s="226"/>
      <c r="H18" s="226"/>
      <c r="I18" s="226"/>
      <c r="J18" s="226"/>
      <c r="K18" s="226"/>
      <c r="L18" s="59"/>
      <c r="M18" s="60"/>
      <c r="N18" s="60"/>
      <c r="O18" s="61"/>
    </row>
    <row r="19">
      <c r="A19" s="1"/>
      <c r="B19" s="222"/>
      <c r="C19" s="222"/>
      <c r="D19" s="62"/>
      <c r="E19" s="229"/>
      <c r="F19" s="225"/>
      <c r="G19" s="226"/>
      <c r="H19" s="226"/>
      <c r="I19" s="226"/>
      <c r="J19" s="226"/>
      <c r="K19" s="226"/>
      <c r="L19" s="59"/>
      <c r="M19" s="60"/>
      <c r="N19" s="60"/>
      <c r="O19" s="61"/>
    </row>
    <row r="20">
      <c r="A20" s="1"/>
      <c r="B20" s="222"/>
      <c r="C20" s="222"/>
      <c r="D20" s="236"/>
      <c r="E20" s="1"/>
      <c r="F20" s="229" t="s">
        <v>100</v>
      </c>
      <c r="G20" s="226"/>
      <c r="H20" s="226"/>
      <c r="I20" s="226"/>
      <c r="J20" s="226"/>
      <c r="K20" s="226"/>
      <c r="L20" s="1"/>
      <c r="M20" s="64"/>
      <c r="N20" s="60"/>
      <c r="O20" s="61"/>
    </row>
    <row r="21">
      <c r="A21" s="3"/>
      <c r="B21" s="222"/>
      <c r="C21" s="222"/>
      <c r="D21" s="6"/>
      <c r="E21" s="229"/>
      <c r="F21" s="1"/>
      <c r="G21" s="138"/>
      <c r="H21" s="237"/>
      <c r="I21" s="138"/>
      <c r="J21" s="237"/>
      <c r="K21" s="237"/>
      <c r="L21" s="59"/>
      <c r="M21" s="60"/>
      <c r="N21" s="60"/>
      <c r="O21" s="61"/>
    </row>
    <row r="22">
      <c r="A22" s="3"/>
      <c r="B22" s="6"/>
      <c r="C22" s="70"/>
      <c r="D22" s="58"/>
      <c r="E22" s="3"/>
      <c r="F22" s="232" t="s">
        <v>101</v>
      </c>
      <c r="G22" s="225"/>
      <c r="H22" s="238">
        <f>IFERROR(__xludf.DUMMYFUNCTION("GOOGLEFINANCE(""INDEXCBOE:TNX"")/1000"),0.046090000000000006)</f>
        <v>0.04609</v>
      </c>
      <c r="I22" s="138"/>
      <c r="J22" s="225"/>
      <c r="K22" s="138">
        <f>IFERROR(__xludf.DUMMYFUNCTION("INDEX(importhtml(""https://www.multpl.com/10-year-treasury-rate/table/by-year"",""table"",1),2,2)"),0.0461)</f>
        <v>0.0461</v>
      </c>
      <c r="L22" s="59" t="s">
        <v>102</v>
      </c>
      <c r="M22" s="60"/>
      <c r="N22" s="60"/>
      <c r="O22" s="61"/>
    </row>
    <row r="23">
      <c r="A23" s="1"/>
      <c r="B23" s="1"/>
      <c r="C23" s="1"/>
      <c r="D23" s="3"/>
      <c r="E23" s="3"/>
      <c r="F23" s="229" t="s">
        <v>103</v>
      </c>
      <c r="G23" s="226"/>
      <c r="H23" s="239">
        <f>C6</f>
        <v>1</v>
      </c>
      <c r="I23" s="226"/>
      <c r="J23" s="226"/>
      <c r="K23" s="226"/>
      <c r="L23" s="1"/>
      <c r="M23" s="60"/>
      <c r="N23" s="60"/>
      <c r="O23" s="61"/>
    </row>
    <row r="24">
      <c r="A24" s="1"/>
      <c r="B24" s="1"/>
      <c r="C24" s="3"/>
      <c r="D24" s="3"/>
      <c r="E24" s="1"/>
      <c r="F24" s="229" t="s">
        <v>104</v>
      </c>
      <c r="G24" s="1"/>
      <c r="H24" s="240">
        <f>H22+C5</f>
        <v>0.10609</v>
      </c>
      <c r="I24" s="241" t="s">
        <v>105</v>
      </c>
      <c r="M24" s="60"/>
      <c r="N24" s="60"/>
      <c r="O24" s="61"/>
    </row>
    <row r="25">
      <c r="A25" s="1"/>
      <c r="B25" s="1"/>
      <c r="C25" s="230"/>
      <c r="D25" s="3"/>
      <c r="E25" s="1"/>
      <c r="F25" s="225"/>
      <c r="G25" s="226"/>
      <c r="H25" s="226"/>
      <c r="M25" s="60"/>
      <c r="N25" s="60"/>
      <c r="O25" s="61"/>
    </row>
    <row r="26">
      <c r="A26" s="1"/>
      <c r="B26" s="1"/>
      <c r="C26" s="230"/>
      <c r="D26" s="3"/>
      <c r="E26" s="1"/>
      <c r="F26" s="232" t="s">
        <v>106</v>
      </c>
      <c r="G26" s="226"/>
      <c r="H26" s="242">
        <f>H22+H23*(H24-H22)</f>
        <v>0.10609</v>
      </c>
      <c r="I26" s="226"/>
      <c r="J26" s="226"/>
      <c r="K26" s="226"/>
      <c r="L26" s="1"/>
      <c r="M26" s="60"/>
      <c r="N26" s="60"/>
      <c r="O26" s="61"/>
    </row>
    <row r="27">
      <c r="A27" s="1"/>
      <c r="B27" s="1"/>
      <c r="C27" s="230"/>
      <c r="D27" s="3"/>
      <c r="E27" s="1"/>
      <c r="F27" s="225"/>
      <c r="G27" s="226"/>
      <c r="H27" s="226"/>
      <c r="I27" s="226"/>
      <c r="J27" s="226"/>
      <c r="K27" s="226"/>
      <c r="L27" s="1"/>
      <c r="M27" s="60"/>
      <c r="N27" s="60"/>
      <c r="O27" s="61"/>
    </row>
    <row r="28">
      <c r="A28" s="1"/>
      <c r="B28" s="1"/>
      <c r="C28" s="138"/>
      <c r="D28" s="3"/>
      <c r="E28" s="227" t="s">
        <v>107</v>
      </c>
      <c r="H28" s="226"/>
      <c r="I28" s="226"/>
      <c r="J28" s="226"/>
      <c r="K28" s="226"/>
      <c r="L28" s="1"/>
      <c r="M28" s="60"/>
      <c r="N28" s="60"/>
      <c r="O28" s="61"/>
    </row>
    <row r="29">
      <c r="A29" s="1"/>
      <c r="B29" s="1"/>
      <c r="C29" s="230"/>
      <c r="D29" s="3"/>
      <c r="E29" s="1"/>
      <c r="F29" s="225"/>
      <c r="G29" s="226"/>
      <c r="H29" s="226"/>
      <c r="I29" s="226"/>
      <c r="J29" s="226"/>
      <c r="K29" s="226"/>
      <c r="L29" s="1"/>
      <c r="M29" s="60"/>
      <c r="N29" s="60"/>
      <c r="O29" s="61"/>
    </row>
    <row r="30">
      <c r="A30" s="1"/>
      <c r="B30" s="3"/>
      <c r="C30" s="225"/>
      <c r="D30" s="3"/>
      <c r="E30" s="1"/>
      <c r="F30" s="229" t="s">
        <v>108</v>
      </c>
      <c r="G30" s="1"/>
      <c r="H30" s="138"/>
      <c r="I30" s="138"/>
      <c r="J30" s="138"/>
      <c r="K30" s="3"/>
      <c r="L30" s="1"/>
      <c r="M30" s="60"/>
      <c r="N30" s="60"/>
      <c r="O30" s="61"/>
    </row>
    <row r="31">
      <c r="A31" s="3"/>
      <c r="B31" s="3"/>
      <c r="C31" s="225"/>
      <c r="D31" s="3"/>
      <c r="E31" s="1"/>
      <c r="F31" s="236"/>
      <c r="G31" s="226"/>
      <c r="H31" s="226"/>
      <c r="I31" s="226"/>
      <c r="J31" s="226"/>
      <c r="K31" s="226"/>
      <c r="L31" s="1"/>
      <c r="M31" s="60"/>
      <c r="N31" s="60"/>
      <c r="O31" s="61"/>
    </row>
    <row r="32">
      <c r="A32" s="3"/>
      <c r="B32" s="1"/>
      <c r="C32" s="225"/>
      <c r="D32" s="3"/>
      <c r="E32" s="1"/>
      <c r="F32" s="243" t="s">
        <v>109</v>
      </c>
      <c r="G32" s="226"/>
      <c r="H32" s="205">
        <f>-Valuation!K16 / 4</f>
        <v>-20101500</v>
      </c>
      <c r="I32" s="226"/>
      <c r="J32" s="226"/>
      <c r="K32" s="226"/>
      <c r="L32" s="3"/>
      <c r="M32" s="11"/>
      <c r="N32" s="11"/>
    </row>
    <row r="33">
      <c r="A33" s="3"/>
      <c r="B33" s="1"/>
      <c r="C33" s="225"/>
      <c r="D33" s="3"/>
      <c r="E33" s="1"/>
      <c r="F33" s="243" t="s">
        <v>110</v>
      </c>
      <c r="G33" s="226"/>
      <c r="H33" s="205">
        <f>I10</f>
        <v>399500000</v>
      </c>
      <c r="I33" s="226"/>
      <c r="J33" s="226"/>
      <c r="K33" s="226"/>
      <c r="L33" s="1"/>
      <c r="M33" s="60"/>
      <c r="N33" s="60"/>
      <c r="O33" s="61"/>
    </row>
    <row r="34">
      <c r="A34" s="3"/>
      <c r="B34" s="3"/>
      <c r="C34" s="225"/>
      <c r="D34" s="1"/>
      <c r="E34" s="1"/>
      <c r="F34" s="236"/>
      <c r="G34" s="226"/>
      <c r="H34" s="226"/>
      <c r="I34" s="226"/>
      <c r="J34" s="226"/>
      <c r="K34" s="226"/>
      <c r="L34" s="1"/>
      <c r="M34" s="60"/>
      <c r="N34" s="60"/>
      <c r="O34" s="61"/>
    </row>
    <row r="35">
      <c r="A35" s="1"/>
      <c r="B35" s="1"/>
      <c r="C35" s="109"/>
      <c r="D35" s="138"/>
      <c r="E35" s="1"/>
      <c r="F35" s="243" t="s">
        <v>111</v>
      </c>
      <c r="G35" s="226"/>
      <c r="H35" s="242">
        <f>H32/H33</f>
        <v>-0.05031664581</v>
      </c>
      <c r="I35" s="226"/>
      <c r="J35" s="226"/>
      <c r="K35" s="226"/>
      <c r="L35" s="1"/>
      <c r="M35" s="60"/>
      <c r="N35" s="60"/>
      <c r="O35" s="61"/>
    </row>
    <row r="36">
      <c r="A36" s="1"/>
      <c r="B36" s="1"/>
      <c r="C36" s="138"/>
      <c r="D36" s="1"/>
      <c r="E36" s="1"/>
      <c r="F36" s="244"/>
      <c r="G36" s="244"/>
      <c r="H36" s="244"/>
      <c r="I36" s="1"/>
      <c r="J36" s="3"/>
      <c r="K36" s="3"/>
      <c r="L36" s="3"/>
      <c r="M36" s="11"/>
      <c r="N36" s="11"/>
    </row>
    <row r="37">
      <c r="A37" s="3"/>
      <c r="B37" s="1"/>
      <c r="C37" s="138"/>
      <c r="D37" s="1"/>
      <c r="E37" s="227" t="s">
        <v>112</v>
      </c>
      <c r="G37" s="245" t="s">
        <v>113</v>
      </c>
      <c r="H37" s="226"/>
      <c r="I37" s="226"/>
      <c r="J37" s="226"/>
      <c r="K37" s="226"/>
      <c r="L37" s="3"/>
      <c r="M37" s="11"/>
      <c r="N37" s="11"/>
    </row>
    <row r="38">
      <c r="A38" s="3"/>
      <c r="B38" s="3"/>
      <c r="C38" s="230"/>
      <c r="D38" s="1"/>
      <c r="E38" s="1"/>
      <c r="F38" s="236"/>
      <c r="G38" s="226"/>
      <c r="H38" s="226"/>
      <c r="I38" s="226"/>
      <c r="J38" s="226"/>
      <c r="K38" s="226"/>
      <c r="L38" s="3"/>
      <c r="M38" s="11"/>
      <c r="N38" s="11"/>
    </row>
    <row r="39">
      <c r="A39" s="3"/>
      <c r="B39" s="3"/>
      <c r="C39" s="230"/>
      <c r="D39" s="1"/>
      <c r="E39" s="1"/>
      <c r="F39" s="243" t="s">
        <v>114</v>
      </c>
      <c r="G39" s="226"/>
      <c r="H39" s="226"/>
      <c r="I39" s="226"/>
      <c r="J39" s="226"/>
      <c r="K39" s="226"/>
      <c r="L39" s="3"/>
      <c r="M39" s="11"/>
      <c r="N39" s="11"/>
    </row>
    <row r="40">
      <c r="A40" s="3"/>
      <c r="B40" s="3"/>
      <c r="C40" s="1"/>
      <c r="D40" s="1"/>
      <c r="E40" s="1"/>
      <c r="F40" s="236"/>
      <c r="G40" s="226"/>
      <c r="H40" s="226"/>
      <c r="I40" s="226"/>
      <c r="J40" s="226"/>
      <c r="K40" s="226"/>
      <c r="L40" s="3"/>
      <c r="M40" s="11"/>
      <c r="N40" s="11"/>
    </row>
    <row r="41">
      <c r="A41" s="1"/>
      <c r="B41" s="1"/>
      <c r="C41" s="230"/>
      <c r="D41" s="1"/>
      <c r="E41" s="1"/>
      <c r="F41" s="243" t="s">
        <v>115</v>
      </c>
      <c r="G41" s="226"/>
      <c r="H41" s="205">
        <f>Valuation!K19</f>
        <v>148004000</v>
      </c>
      <c r="I41" s="226"/>
      <c r="J41" s="226"/>
      <c r="K41" s="226"/>
      <c r="L41" s="3"/>
      <c r="M41" s="11"/>
      <c r="N41" s="11"/>
    </row>
    <row r="42">
      <c r="A42" s="1"/>
      <c r="B42" s="1"/>
      <c r="C42" s="138"/>
      <c r="D42" s="1"/>
      <c r="E42" s="1"/>
      <c r="F42" s="229" t="s">
        <v>116</v>
      </c>
      <c r="G42" s="138"/>
      <c r="H42" s="205">
        <f>Valuation!K18</f>
        <v>528638000</v>
      </c>
      <c r="I42" s="3"/>
      <c r="J42" s="3"/>
      <c r="K42" s="3"/>
      <c r="L42" s="3"/>
      <c r="M42" s="11"/>
      <c r="N42" s="11"/>
    </row>
    <row r="43">
      <c r="A43" s="3"/>
      <c r="B43" s="1"/>
      <c r="C43" s="138"/>
      <c r="D43" s="138"/>
      <c r="E43" s="1"/>
      <c r="F43" s="1"/>
      <c r="G43" s="138"/>
      <c r="H43" s="230"/>
      <c r="I43" s="1"/>
      <c r="J43" s="1"/>
      <c r="K43" s="1"/>
      <c r="L43" s="1"/>
      <c r="M43" s="11"/>
      <c r="N43" s="11"/>
    </row>
    <row r="44">
      <c r="A44" s="1"/>
      <c r="B44" s="1"/>
      <c r="C44" s="1"/>
      <c r="D44" s="138"/>
      <c r="E44" s="1"/>
      <c r="F44" s="229" t="s">
        <v>117</v>
      </c>
      <c r="G44" s="138"/>
      <c r="H44" s="242">
        <f>H41/H42</f>
        <v>0.2799723062</v>
      </c>
      <c r="I44" s="1"/>
      <c r="J44" s="1"/>
      <c r="K44" s="1"/>
      <c r="L44" s="1"/>
      <c r="M44" s="11"/>
      <c r="N44" s="11"/>
    </row>
    <row r="45">
      <c r="A45" s="1"/>
      <c r="B45" s="1"/>
      <c r="C45" s="230"/>
      <c r="D45" s="138"/>
      <c r="E45" s="1"/>
      <c r="F45" s="205"/>
      <c r="G45" s="1"/>
      <c r="H45" s="205"/>
      <c r="I45" s="138"/>
      <c r="J45" s="205"/>
      <c r="K45" s="205"/>
      <c r="L45" s="1"/>
      <c r="M45" s="11"/>
      <c r="N45" s="11"/>
    </row>
    <row r="46">
      <c r="A46" s="1"/>
      <c r="B46" s="1"/>
      <c r="C46" s="138"/>
      <c r="D46" s="138"/>
      <c r="E46" s="1"/>
      <c r="F46" s="205"/>
      <c r="G46" s="1"/>
      <c r="H46" s="205"/>
      <c r="I46" s="138"/>
      <c r="J46" s="205"/>
      <c r="K46" s="205"/>
      <c r="L46" s="138"/>
      <c r="M46" s="165"/>
      <c r="N46" s="165"/>
    </row>
    <row r="47">
      <c r="A47" s="1"/>
      <c r="B47" s="1"/>
      <c r="C47" s="138"/>
      <c r="D47" s="3"/>
      <c r="E47" s="227" t="s">
        <v>118</v>
      </c>
      <c r="F47" s="242">
        <f>H13*H26+H16*H35*(1-H44)</f>
        <v>0.08119465039</v>
      </c>
      <c r="G47" s="138"/>
      <c r="H47" s="205"/>
      <c r="I47" s="138"/>
      <c r="J47" s="205"/>
      <c r="K47" s="205"/>
      <c r="L47" s="138"/>
      <c r="M47" s="165"/>
      <c r="N47" s="165"/>
    </row>
    <row r="48">
      <c r="A48" s="3"/>
      <c r="B48" s="1"/>
      <c r="C48" s="230"/>
      <c r="D48" s="1"/>
      <c r="E48" s="1"/>
      <c r="F48" s="205"/>
      <c r="G48" s="138"/>
      <c r="H48" s="205"/>
      <c r="I48" s="138"/>
      <c r="J48" s="205"/>
      <c r="K48" s="205"/>
      <c r="L48" s="138"/>
      <c r="M48" s="165"/>
      <c r="N48" s="165"/>
    </row>
    <row r="49">
      <c r="A49" s="3"/>
      <c r="B49" s="1"/>
      <c r="C49" s="230"/>
      <c r="D49" s="1"/>
      <c r="E49" s="1"/>
      <c r="F49" s="205"/>
      <c r="G49" s="138"/>
      <c r="H49" s="205"/>
      <c r="I49" s="138"/>
      <c r="J49" s="205"/>
      <c r="K49" s="205"/>
      <c r="L49" s="138"/>
      <c r="M49" s="165"/>
      <c r="N49" s="165"/>
    </row>
    <row r="50">
      <c r="A50" s="3"/>
      <c r="B50" s="229" t="s">
        <v>119</v>
      </c>
      <c r="C50" s="138"/>
      <c r="D50" s="1"/>
      <c r="E50" s="1"/>
      <c r="F50" s="205"/>
      <c r="G50" s="138"/>
      <c r="H50" s="205"/>
      <c r="I50" s="138"/>
      <c r="J50" s="205"/>
      <c r="K50" s="205"/>
      <c r="L50" s="138"/>
      <c r="M50" s="165"/>
      <c r="N50" s="165"/>
    </row>
    <row r="51">
      <c r="A51" s="1"/>
      <c r="B51" s="229" t="s">
        <v>120</v>
      </c>
      <c r="C51" s="3"/>
      <c r="D51" s="1"/>
      <c r="E51" s="1"/>
      <c r="F51" s="205"/>
      <c r="G51" s="138"/>
      <c r="H51" s="205"/>
      <c r="I51" s="138"/>
      <c r="J51" s="205"/>
      <c r="K51" s="205"/>
      <c r="L51" s="3"/>
      <c r="M51" s="11"/>
      <c r="N51" s="11"/>
    </row>
    <row r="52">
      <c r="A52" s="1"/>
      <c r="B52" s="229" t="s">
        <v>121</v>
      </c>
      <c r="C52" s="237"/>
      <c r="D52" s="1"/>
      <c r="E52" s="3"/>
      <c r="F52" s="205"/>
      <c r="G52" s="138"/>
      <c r="H52" s="205"/>
      <c r="I52" s="138"/>
      <c r="J52" s="205"/>
      <c r="K52" s="205"/>
      <c r="L52" s="1"/>
      <c r="M52" s="11"/>
      <c r="N52" s="11"/>
    </row>
    <row r="53">
      <c r="A53" s="1"/>
      <c r="B53" s="1"/>
      <c r="C53" s="138"/>
      <c r="D53" s="1"/>
      <c r="E53" s="3"/>
      <c r="F53" s="205"/>
      <c r="G53" s="1"/>
      <c r="H53" s="205"/>
      <c r="I53" s="138"/>
      <c r="J53" s="205"/>
      <c r="K53" s="205"/>
      <c r="L53" s="1"/>
      <c r="M53" s="11"/>
      <c r="N53" s="11"/>
    </row>
    <row r="54">
      <c r="A54" s="1"/>
      <c r="B54" s="1"/>
      <c r="C54" s="227" t="s">
        <v>118</v>
      </c>
      <c r="D54" s="242">
        <f>F47</f>
        <v>0.08119465039</v>
      </c>
      <c r="E54" s="3"/>
      <c r="F54" s="205"/>
      <c r="G54" s="138"/>
      <c r="H54" s="205"/>
      <c r="I54" s="138"/>
      <c r="J54" s="205"/>
      <c r="K54" s="205"/>
      <c r="L54" s="1"/>
      <c r="M54" s="11"/>
      <c r="N54" s="11"/>
    </row>
    <row r="55">
      <c r="A55" s="3"/>
      <c r="B55" s="1"/>
      <c r="C55" s="246" t="s">
        <v>38</v>
      </c>
      <c r="D55" s="242">
        <f>Valuation!C28</f>
        <v>0.2128550506</v>
      </c>
      <c r="E55" s="3"/>
      <c r="F55" s="205"/>
      <c r="G55" s="138"/>
      <c r="H55" s="205"/>
      <c r="I55" s="138"/>
      <c r="J55" s="205"/>
      <c r="K55" s="205"/>
      <c r="L55" s="1"/>
      <c r="M55" s="11"/>
      <c r="N55" s="11"/>
    </row>
    <row r="56">
      <c r="A56" s="3"/>
      <c r="B56" s="1"/>
      <c r="C56" s="246"/>
      <c r="D56" s="247"/>
      <c r="E56" s="3"/>
      <c r="F56" s="205"/>
      <c r="G56" s="138"/>
      <c r="H56" s="205"/>
      <c r="I56" s="138"/>
      <c r="J56" s="205"/>
      <c r="K56" s="205"/>
      <c r="L56" s="1"/>
      <c r="M56" s="11"/>
      <c r="N56" s="11"/>
    </row>
    <row r="57">
      <c r="A57" s="1"/>
      <c r="B57" s="1"/>
      <c r="C57" s="138"/>
      <c r="D57" s="1"/>
      <c r="E57" s="1"/>
      <c r="F57" s="205"/>
      <c r="G57" s="138"/>
      <c r="H57" s="205"/>
      <c r="I57" s="138"/>
      <c r="J57" s="205"/>
      <c r="K57" s="205"/>
      <c r="L57" s="3"/>
      <c r="M57" s="11"/>
      <c r="N57" s="11"/>
    </row>
    <row r="58">
      <c r="A58" s="1"/>
      <c r="B58" s="229" t="s">
        <v>122</v>
      </c>
      <c r="C58" s="138"/>
      <c r="D58" s="1"/>
      <c r="E58" s="1"/>
      <c r="F58" s="205"/>
      <c r="G58" s="138"/>
      <c r="H58" s="205"/>
      <c r="I58" s="138"/>
      <c r="J58" s="205"/>
      <c r="K58" s="205"/>
      <c r="L58" s="3"/>
      <c r="M58" s="11"/>
      <c r="N58" s="11"/>
    </row>
    <row r="59">
      <c r="A59" s="1"/>
      <c r="B59" s="229" t="s">
        <v>123</v>
      </c>
      <c r="C59" s="1"/>
      <c r="D59" s="1"/>
      <c r="E59" s="1"/>
      <c r="F59" s="205"/>
      <c r="G59" s="138"/>
      <c r="H59" s="205"/>
      <c r="I59" s="138"/>
      <c r="J59" s="205"/>
      <c r="K59" s="205"/>
      <c r="L59" s="3"/>
      <c r="M59" s="11"/>
      <c r="N59" s="11"/>
    </row>
    <row r="60">
      <c r="A60" s="1"/>
      <c r="B60" s="229" t="s">
        <v>124</v>
      </c>
      <c r="C60" s="1"/>
      <c r="D60" s="1"/>
      <c r="E60" s="1"/>
      <c r="F60" s="205"/>
      <c r="G60" s="138"/>
      <c r="H60" s="205"/>
      <c r="I60" s="138"/>
      <c r="J60" s="205"/>
      <c r="K60" s="205"/>
      <c r="L60" s="3"/>
      <c r="M60" s="11"/>
      <c r="N60" s="11"/>
    </row>
    <row r="61">
      <c r="A61" s="1"/>
      <c r="B61" s="1"/>
      <c r="C61" s="1"/>
      <c r="D61" s="1"/>
      <c r="E61" s="1"/>
      <c r="F61" s="1"/>
      <c r="G61" s="1"/>
      <c r="H61" s="230"/>
      <c r="I61" s="1"/>
      <c r="J61" s="1"/>
      <c r="K61" s="1"/>
      <c r="L61" s="3"/>
      <c r="M61" s="11"/>
      <c r="N61" s="11"/>
    </row>
    <row r="62">
      <c r="A62" s="1"/>
      <c r="B62" s="1"/>
      <c r="C62" s="1"/>
      <c r="D62" s="1"/>
      <c r="E62" s="1"/>
      <c r="F62" s="138"/>
      <c r="G62" s="138"/>
      <c r="H62" s="230"/>
      <c r="I62" s="1"/>
      <c r="J62" s="1"/>
      <c r="K62" s="3"/>
      <c r="L62" s="3"/>
      <c r="M62" s="11"/>
      <c r="N62" s="11"/>
    </row>
    <row r="63">
      <c r="A63" s="138"/>
      <c r="B63" s="1"/>
      <c r="C63" s="1"/>
      <c r="D63" s="138"/>
      <c r="E63" s="1"/>
      <c r="F63" s="205"/>
      <c r="G63" s="138"/>
      <c r="H63" s="205"/>
      <c r="I63" s="205"/>
      <c r="J63" s="205"/>
      <c r="K63" s="225"/>
      <c r="L63" s="248"/>
      <c r="M63" s="11"/>
      <c r="N63" s="11"/>
    </row>
    <row r="64">
      <c r="A64" s="138"/>
      <c r="B64" s="1"/>
      <c r="C64" s="138"/>
      <c r="D64" s="138"/>
      <c r="E64" s="1"/>
      <c r="F64" s="205"/>
      <c r="G64" s="138"/>
      <c r="H64" s="205"/>
      <c r="I64" s="205"/>
      <c r="J64" s="205"/>
      <c r="K64" s="226"/>
      <c r="L64" s="248"/>
      <c r="M64" s="11"/>
      <c r="N64" s="11"/>
    </row>
    <row r="65">
      <c r="A65" s="138"/>
      <c r="B65" s="1"/>
      <c r="C65" s="205"/>
      <c r="D65" s="138"/>
      <c r="E65" s="1"/>
      <c r="F65" s="205"/>
      <c r="G65" s="138"/>
      <c r="H65" s="205"/>
      <c r="I65" s="205"/>
      <c r="J65" s="205"/>
      <c r="K65" s="226"/>
      <c r="L65" s="248"/>
      <c r="M65" s="11"/>
      <c r="N65" s="11"/>
    </row>
    <row r="66">
      <c r="A66" s="138"/>
      <c r="B66" s="1"/>
      <c r="C66" s="205"/>
      <c r="D66" s="138"/>
      <c r="E66" s="1"/>
      <c r="F66" s="205"/>
      <c r="G66" s="138"/>
      <c r="H66" s="205"/>
      <c r="I66" s="205"/>
      <c r="J66" s="205"/>
      <c r="K66" s="226"/>
      <c r="L66" s="248"/>
      <c r="M66" s="11"/>
      <c r="N66" s="11"/>
    </row>
    <row r="67">
      <c r="A67" s="1"/>
      <c r="B67" s="1"/>
      <c r="C67" s="138"/>
      <c r="D67" s="1"/>
      <c r="E67" s="1"/>
      <c r="F67" s="205"/>
      <c r="G67" s="138"/>
      <c r="H67" s="205"/>
      <c r="I67" s="205"/>
      <c r="J67" s="205"/>
      <c r="K67" s="226"/>
      <c r="L67" s="248"/>
      <c r="M67" s="11"/>
      <c r="N67" s="11"/>
    </row>
    <row r="68">
      <c r="A68" s="1"/>
      <c r="B68" s="1"/>
      <c r="C68" s="1"/>
      <c r="D68" s="1"/>
      <c r="E68" s="1"/>
      <c r="F68" s="205"/>
      <c r="G68" s="138"/>
      <c r="H68" s="205"/>
      <c r="I68" s="205"/>
      <c r="J68" s="205"/>
      <c r="K68" s="226"/>
      <c r="L68" s="3"/>
      <c r="M68" s="11"/>
      <c r="N68" s="11"/>
    </row>
    <row r="69">
      <c r="A69" s="1"/>
      <c r="B69" s="1"/>
      <c r="C69" s="138"/>
      <c r="D69" s="1"/>
      <c r="E69" s="1"/>
      <c r="F69" s="205"/>
      <c r="G69" s="138"/>
      <c r="H69" s="205"/>
      <c r="I69" s="205"/>
      <c r="J69" s="205"/>
      <c r="K69" s="226"/>
      <c r="L69" s="3"/>
      <c r="M69" s="11"/>
      <c r="N69" s="11"/>
    </row>
    <row r="70">
      <c r="A70" s="1"/>
      <c r="B70" s="1"/>
      <c r="C70" s="1"/>
      <c r="D70" s="1"/>
      <c r="E70" s="1"/>
      <c r="F70" s="205"/>
      <c r="G70" s="138"/>
      <c r="H70" s="205"/>
      <c r="I70" s="205"/>
      <c r="J70" s="205"/>
      <c r="K70" s="226"/>
      <c r="L70" s="3"/>
      <c r="M70" s="11"/>
      <c r="N70" s="11"/>
    </row>
    <row r="71">
      <c r="A71" s="1"/>
      <c r="B71" s="1"/>
      <c r="C71" s="1"/>
      <c r="D71" s="1"/>
      <c r="E71" s="1"/>
      <c r="F71" s="205"/>
      <c r="G71" s="138"/>
      <c r="H71" s="205"/>
      <c r="I71" s="205"/>
      <c r="J71" s="205"/>
      <c r="K71" s="226"/>
      <c r="L71" s="3"/>
      <c r="M71" s="11"/>
      <c r="N71" s="11"/>
    </row>
    <row r="72">
      <c r="A72" s="1"/>
      <c r="B72" s="1"/>
      <c r="C72" s="1"/>
      <c r="D72" s="1"/>
      <c r="E72" s="1"/>
      <c r="F72" s="205"/>
      <c r="G72" s="138"/>
      <c r="H72" s="205"/>
      <c r="I72" s="205"/>
      <c r="J72" s="205"/>
      <c r="K72" s="226"/>
      <c r="L72" s="3"/>
      <c r="M72" s="11"/>
      <c r="N72" s="11"/>
    </row>
    <row r="73">
      <c r="A73" s="138"/>
      <c r="B73" s="138"/>
      <c r="C73" s="138"/>
      <c r="D73" s="1"/>
      <c r="E73" s="1"/>
      <c r="F73" s="205"/>
      <c r="G73" s="138"/>
      <c r="H73" s="205"/>
      <c r="I73" s="205"/>
      <c r="J73" s="205"/>
      <c r="K73" s="226"/>
      <c r="L73" s="3"/>
      <c r="M73" s="11"/>
      <c r="N73" s="11"/>
    </row>
    <row r="74">
      <c r="A74" s="3"/>
      <c r="B74" s="3"/>
      <c r="C74" s="1"/>
      <c r="D74" s="1"/>
      <c r="E74" s="1"/>
      <c r="F74" s="1"/>
      <c r="G74" s="1"/>
      <c r="H74" s="1"/>
      <c r="I74" s="1"/>
      <c r="J74" s="1"/>
      <c r="K74" s="3"/>
      <c r="L74" s="3"/>
      <c r="M74" s="6"/>
      <c r="N74" s="6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1"/>
      <c r="D75" s="1"/>
      <c r="E75" s="3"/>
      <c r="F75" s="3"/>
      <c r="G75" s="3"/>
      <c r="H75" s="3"/>
      <c r="I75" s="3"/>
      <c r="J75" s="3"/>
      <c r="K75" s="3"/>
      <c r="L75" s="3"/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231" t="s">
        <v>125</v>
      </c>
      <c r="C92" s="249" t="s">
        <v>126</v>
      </c>
      <c r="D92" s="250"/>
      <c r="E92" s="250"/>
      <c r="F92" s="250"/>
      <c r="G92" s="250"/>
      <c r="H92" s="250"/>
      <c r="I92" s="250"/>
      <c r="J92" s="250"/>
      <c r="K92" s="25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idden="1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1"/>
      <c r="N95" s="11"/>
    </row>
    <row r="96" hidden="1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1"/>
      <c r="N96" s="11"/>
    </row>
    <row r="97" hidden="1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1"/>
      <c r="N97" s="11"/>
    </row>
    <row r="98" hidden="1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1"/>
      <c r="N98" s="11"/>
    </row>
    <row r="99" hidden="1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1"/>
      <c r="N99" s="11"/>
    </row>
    <row r="100" hidden="1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1"/>
      <c r="N100" s="11"/>
    </row>
    <row r="101" hidden="1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1"/>
      <c r="N101" s="11"/>
    </row>
    <row r="102" hidden="1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1"/>
      <c r="N102" s="11"/>
    </row>
    <row r="103" hidden="1">
      <c r="A103" s="3"/>
      <c r="L103" s="3"/>
    </row>
    <row r="104" hidden="1">
      <c r="A104" s="3"/>
      <c r="L104" s="3"/>
    </row>
    <row r="105" hidden="1">
      <c r="A105" s="3"/>
      <c r="L105" s="3"/>
    </row>
    <row r="106" hidden="1">
      <c r="A106" s="3"/>
      <c r="L106" s="3"/>
    </row>
    <row r="107" hidden="1">
      <c r="A107" s="3"/>
      <c r="L107" s="3"/>
    </row>
    <row r="108" hidden="1">
      <c r="A108" s="3"/>
      <c r="L108" s="3"/>
    </row>
    <row r="109" hidden="1">
      <c r="A109" s="3"/>
      <c r="L109" s="3"/>
    </row>
    <row r="110" hidden="1">
      <c r="A110" s="3"/>
      <c r="L110" s="3"/>
    </row>
    <row r="111" hidden="1">
      <c r="A111" s="3"/>
      <c r="L111" s="3"/>
    </row>
    <row r="112" hidden="1">
      <c r="A112" s="3"/>
      <c r="L112" s="3"/>
    </row>
    <row r="113" hidden="1">
      <c r="A113" s="3"/>
      <c r="L113" s="3"/>
    </row>
    <row r="114" hidden="1">
      <c r="A114" s="3"/>
      <c r="L114" s="3"/>
    </row>
    <row r="115" hidden="1">
      <c r="A115" s="3"/>
      <c r="L115" s="3"/>
    </row>
    <row r="116" hidden="1">
      <c r="A116" s="3"/>
      <c r="L116" s="3"/>
    </row>
    <row r="117" hidden="1">
      <c r="A117" s="3"/>
      <c r="L117" s="3"/>
    </row>
    <row r="118" hidden="1">
      <c r="A118" s="3"/>
      <c r="L118" s="3"/>
    </row>
    <row r="119" hidden="1">
      <c r="A119" s="3"/>
      <c r="L119" s="3"/>
    </row>
    <row r="120" hidden="1">
      <c r="A120" s="3"/>
      <c r="L120" s="3"/>
    </row>
    <row r="121" hidden="1">
      <c r="A121" s="3"/>
      <c r="L121" s="3"/>
    </row>
    <row r="122" hidden="1">
      <c r="A122" s="3"/>
      <c r="L122" s="3"/>
    </row>
    <row r="123" hidden="1">
      <c r="A123" s="3"/>
      <c r="L123" s="3"/>
    </row>
    <row r="124" hidden="1">
      <c r="A124" s="3"/>
      <c r="L124" s="3"/>
    </row>
    <row r="125" hidden="1">
      <c r="A125" s="3"/>
      <c r="L125" s="3"/>
    </row>
    <row r="126" hidden="1">
      <c r="A126" s="3"/>
      <c r="L126" s="3"/>
    </row>
    <row r="127" hidden="1">
      <c r="A127" s="3"/>
      <c r="L127" s="3"/>
    </row>
    <row r="128" hidden="1">
      <c r="A128" s="3"/>
      <c r="L128" s="3"/>
    </row>
    <row r="129" hidden="1">
      <c r="A129" s="3"/>
      <c r="L129" s="3"/>
    </row>
    <row r="130" hidden="1">
      <c r="A130" s="3"/>
      <c r="L130" s="3"/>
    </row>
    <row r="131" hidden="1">
      <c r="A131" s="3"/>
      <c r="L131" s="3"/>
    </row>
    <row r="132" hidden="1">
      <c r="A132" s="3"/>
      <c r="L132" s="3"/>
    </row>
    <row r="133" hidden="1">
      <c r="A133" s="3"/>
      <c r="L133" s="3"/>
    </row>
    <row r="134" hidden="1">
      <c r="A134" s="3"/>
      <c r="L134" s="3"/>
    </row>
    <row r="135" hidden="1">
      <c r="A135" s="3"/>
      <c r="L135" s="3"/>
    </row>
    <row r="136" hidden="1">
      <c r="A136" s="3"/>
      <c r="L136" s="3"/>
    </row>
    <row r="137" hidden="1">
      <c r="A137" s="3"/>
      <c r="L137" s="3"/>
    </row>
    <row r="138" hidden="1">
      <c r="A138" s="3"/>
      <c r="L138" s="3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</sheetData>
  <mergeCells count="14">
    <mergeCell ref="B10:C11"/>
    <mergeCell ref="B12:C12"/>
    <mergeCell ref="B13:C16"/>
    <mergeCell ref="E18:F18"/>
    <mergeCell ref="I24:L25"/>
    <mergeCell ref="E28:G28"/>
    <mergeCell ref="E37:F37"/>
    <mergeCell ref="E2:K2"/>
    <mergeCell ref="B4:C4"/>
    <mergeCell ref="E4:K5"/>
    <mergeCell ref="E7:F7"/>
    <mergeCell ref="B9:C9"/>
    <mergeCell ref="I9:J9"/>
    <mergeCell ref="I10:J10"/>
  </mergeCells>
  <hyperlinks>
    <hyperlink r:id="rId2" location=":~:text=What%20is%20PDD%20Holdings%20WACC,capital%20needed%20for%20that%20investment." ref="C92"/>
  </hyperlinks>
  <printOptions horizontalCentered="1"/>
  <pageMargins bottom="0.75" footer="0.0" header="0.0" left="0.7" right="0.7" top="0.75"/>
  <pageSetup fitToHeight="0" cellComments="atEnd" orientation="portrait" pageOrder="overThenDown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5"/>
    <col customWidth="1" min="2" max="2" width="1.88"/>
    <col customWidth="1" min="3" max="6" width="16.0"/>
    <col hidden="1" min="8" max="28" width="12.63"/>
  </cols>
  <sheetData>
    <row r="1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251"/>
      <c r="B3" s="252"/>
      <c r="C3" s="253" t="s">
        <v>127</v>
      </c>
      <c r="D3" s="254"/>
      <c r="E3" s="254"/>
      <c r="F3" s="25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256"/>
      <c r="B4" s="256"/>
      <c r="C4" s="256"/>
      <c r="D4" s="25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257"/>
      <c r="B5" s="258" t="s">
        <v>128</v>
      </c>
      <c r="C5" s="257" t="s">
        <v>129</v>
      </c>
      <c r="G5" s="25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257"/>
      <c r="B6" s="258"/>
      <c r="C6" s="257"/>
      <c r="D6" s="257"/>
      <c r="E6" s="257"/>
      <c r="F6" s="257"/>
      <c r="G6" s="25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257"/>
      <c r="B7" s="258" t="s">
        <v>128</v>
      </c>
      <c r="C7" s="259" t="s">
        <v>130</v>
      </c>
      <c r="G7" s="26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257"/>
      <c r="B8" s="258"/>
      <c r="C8" s="260"/>
      <c r="D8" s="260"/>
      <c r="E8" s="260"/>
      <c r="F8" s="260"/>
      <c r="G8" s="26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261"/>
      <c r="B9" s="258" t="s">
        <v>128</v>
      </c>
      <c r="C9" s="261" t="s">
        <v>131</v>
      </c>
      <c r="G9" s="26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261"/>
      <c r="B10" s="258"/>
      <c r="C10" s="261"/>
      <c r="D10" s="261"/>
      <c r="E10" s="261"/>
      <c r="F10" s="261"/>
      <c r="G10" s="26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261"/>
      <c r="B11" s="258" t="s">
        <v>128</v>
      </c>
      <c r="C11" s="262" t="s">
        <v>132</v>
      </c>
      <c r="G11" s="26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261"/>
      <c r="B12" s="258"/>
      <c r="C12" s="261"/>
      <c r="D12" s="261"/>
      <c r="E12" s="261"/>
      <c r="F12" s="261"/>
      <c r="G12" s="26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257"/>
      <c r="B13" s="258" t="s">
        <v>128</v>
      </c>
      <c r="C13" s="261" t="s">
        <v>133</v>
      </c>
      <c r="G13" s="26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257"/>
      <c r="B14" s="258"/>
      <c r="C14" s="261"/>
      <c r="D14" s="261"/>
      <c r="E14" s="261"/>
      <c r="F14" s="261"/>
      <c r="G14" s="26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257"/>
      <c r="B15" s="258" t="s">
        <v>128</v>
      </c>
      <c r="C15" s="262" t="s">
        <v>134</v>
      </c>
      <c r="G15" s="26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257"/>
      <c r="B16" s="258"/>
      <c r="C16" s="261"/>
      <c r="D16" s="261"/>
      <c r="E16" s="261"/>
      <c r="F16" s="261"/>
      <c r="G16" s="26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257"/>
      <c r="B17" s="258" t="s">
        <v>128</v>
      </c>
      <c r="C17" s="261" t="s">
        <v>135</v>
      </c>
      <c r="G17" s="26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257"/>
      <c r="B18" s="258"/>
      <c r="C18" s="261"/>
      <c r="D18" s="261"/>
      <c r="E18" s="261"/>
      <c r="F18" s="261"/>
      <c r="G18" s="26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257"/>
      <c r="B19" s="258" t="s">
        <v>128</v>
      </c>
      <c r="C19" s="262" t="s">
        <v>136</v>
      </c>
      <c r="G19" s="26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261"/>
      <c r="B20" s="261"/>
      <c r="C20" s="261"/>
      <c r="D20" s="261"/>
      <c r="E20" s="261"/>
      <c r="F20" s="26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261"/>
      <c r="B21" s="261"/>
      <c r="C21" s="261"/>
      <c r="D21" s="261"/>
      <c r="E21" s="261"/>
      <c r="F21" s="26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261"/>
      <c r="B22" s="261"/>
      <c r="C22" s="261"/>
      <c r="D22" s="261"/>
      <c r="E22" s="261"/>
      <c r="F22" s="26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261"/>
      <c r="B23" s="261"/>
      <c r="C23" s="261"/>
      <c r="D23" s="261"/>
      <c r="E23" s="261"/>
      <c r="F23" s="26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261"/>
      <c r="B24" s="261"/>
      <c r="C24" s="261"/>
      <c r="D24" s="261"/>
      <c r="E24" s="261"/>
      <c r="F24" s="26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>
      <c r="A25" s="261"/>
      <c r="B25" s="261"/>
      <c r="C25" s="261"/>
      <c r="D25" s="261"/>
      <c r="E25" s="261"/>
      <c r="F25" s="26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customHeight="1">
      <c r="A26" s="263"/>
      <c r="B26" s="261"/>
      <c r="C26" s="261"/>
      <c r="D26" s="261"/>
      <c r="E26" s="261"/>
      <c r="F26" s="26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263"/>
      <c r="B27" s="261"/>
      <c r="C27" s="261"/>
      <c r="D27" s="261"/>
      <c r="E27" s="261"/>
      <c r="F27" s="26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6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6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6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t="16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6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t="16.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6.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mergeCells count="8">
    <mergeCell ref="C5:F5"/>
    <mergeCell ref="C7:F7"/>
    <mergeCell ref="C9:F9"/>
    <mergeCell ref="C11:F11"/>
    <mergeCell ref="C13:F13"/>
    <mergeCell ref="C15:F15"/>
    <mergeCell ref="C17:F17"/>
    <mergeCell ref="C19:F19"/>
  </mergeCells>
  <drawing r:id="rId1"/>
</worksheet>
</file>