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<sst xmlns="http://schemas.openxmlformats.org/spreadsheetml/2006/main" count="95" uniqueCount="81">
  <si>
    <t>Airbnb</t>
  </si>
  <si>
    <r>
      <rPr>
        <rFont val="Helvetica Neue"/>
        <i/>
        <color theme="1"/>
        <sz val="9.0"/>
      </rPr>
      <t>(in millions</t>
    </r>
    <r>
      <rPr>
        <rFont val="Helvetica Neue"/>
        <color theme="1"/>
        <sz val="9.0"/>
      </rPr>
      <t>, exept per shares)</t>
    </r>
  </si>
  <si>
    <t>Y18</t>
  </si>
  <si>
    <t>Y19</t>
  </si>
  <si>
    <t>Y20</t>
  </si>
  <si>
    <t>Y21</t>
  </si>
  <si>
    <t>Y22</t>
  </si>
  <si>
    <t>Revenue</t>
  </si>
  <si>
    <t>Revenue Growth</t>
  </si>
  <si>
    <t>COGS</t>
  </si>
  <si>
    <t>Profit Margin</t>
  </si>
  <si>
    <t>Gross Profit</t>
  </si>
  <si>
    <t>Gross Profit Growth</t>
  </si>
  <si>
    <t>R&amp;D</t>
  </si>
  <si>
    <t>SG&amp;A</t>
  </si>
  <si>
    <t>Other expense, net</t>
  </si>
  <si>
    <t>Operating Expenses</t>
  </si>
  <si>
    <t>Operating Income</t>
  </si>
  <si>
    <t>Operating Margin</t>
  </si>
  <si>
    <t>Interest Income</t>
  </si>
  <si>
    <t>Pretax Income</t>
  </si>
  <si>
    <t>Taxes</t>
  </si>
  <si>
    <t>Net Income</t>
  </si>
  <si>
    <t>Net Income Growth</t>
  </si>
  <si>
    <t>EPS</t>
  </si>
  <si>
    <t>ABNB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</si>
  <si>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</si>
  <si>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</si>
  <si>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</si>
  <si>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</si>
  <si>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</si>
  <si>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</si>
  <si>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</si>
  <si>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</si>
  <si>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</si>
  <si>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</si>
  <si>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</si>
  <si>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$215 - $325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</si>
  <si>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</si>
  <si>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</si>
  <si>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</si>
  <si>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</si>
  <si>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</si>
  <si>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</si>
  <si>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</si>
  <si>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</si>
  <si>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</si>
  <si>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</si>
  <si>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</si>
  <si>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</si>
  <si>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</si>
  <si>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</si>
  <si>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</si>
  <si>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</si>
  <si>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</si>
  <si>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</si>
  <si>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</si>
  <si>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</si>
  <si>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</si>
  <si>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</si>
  <si>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</si>
  <si>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</si>
  <si>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-Debt NPV Share Price</t>
  </si>
  <si>
    <t>Terminal + 10 Growth Rate</t>
  </si>
  <si>
    <t>Terminal NPV</t>
  </si>
  <si>
    <t>Terminal Share Price</t>
  </si>
  <si>
    <t>Reversed ROR</t>
  </si>
  <si>
    <t>Discounted NI</t>
  </si>
  <si>
    <t>Net Income Margin GR</t>
  </si>
  <si>
    <t>2022 Net Income Margin</t>
  </si>
  <si>
    <t>2033 Net Income Margin</t>
  </si>
  <si>
    <t>Terminal Discounted NPV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</si>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</sst>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0.0%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b/>
      <strike/>
      <color theme="1"/>
      <name val="Helvetica Neue"/>
    </font>
    <font>
      <strike/>
      <color theme="1"/>
      <name val="Helvetica Neue"/>
    </font>
    <font>
      <u/>
      <color rgb="FF0000FF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right" vertical="bottom"/>
    </xf>
    <xf borderId="3" fillId="3" fontId="5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5" fillId="4" fontId="6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0" fillId="4" fontId="6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0" fillId="4" fontId="6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0" fillId="4" fontId="6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0" fillId="4" fontId="6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0" fillId="4" fontId="6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6" numFmtId="9" xfId="0" applyFont="1" applyNumberFormat="1"/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0" fillId="4" fontId="6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7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0" fillId="4" fontId="6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6" numFmtId="10" xfId="0" applyFont="1" applyNumberFormat="1"/>
    <xf borderId="0" fillId="0" fontId="2" numFmtId="0" xfId="0" applyAlignment="1" applyFont="1">
      <alignment vertical="bottom"/>
    </xf>
    <xf borderId="12" fillId="3" fontId="2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6" numFmtId="3" xfId="0" applyAlignment="1" applyBorder="1" applyFont="1" applyNumberFormat="1">
      <alignment horizontal="right" readingOrder="0" vertical="bottom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0" xfId="0" applyAlignment="1" applyBorder="1" applyFon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0" fillId="5" fontId="6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0" xfId="0" applyAlignment="1" applyBorder="1" applyFon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0" fillId="5" fontId="6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0" fillId="5" fontId="6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0" fillId="0" fontId="6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5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6" numFmtId="3" xfId="0" applyAlignment="1" applyBorder="1" applyFont="1" applyNumberFormat="1">
      <alignment horizontal="right" readingOrder="0" vertical="bottom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5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0" fillId="7" fontId="6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0" fillId="7" fontId="6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0" xfId="0" applyAlignment="1" applyBorder="1" applyFon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5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3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5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5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3" xfId="0" applyAlignment="1" applyBorder="1" applyFont="1" applyNumberFormat="1">
      <alignment readingOrder="0" shrinkToFit="0" vertical="top" wrapText="1"/>
    </xf>
    <xf borderId="13" fillId="4" fontId="3" numFmtId="165" xfId="0" applyAlignment="1" applyBorder="1" applyFont="1" applyNumberFormat="1">
      <alignment readingOrder="0" shrinkToFit="0" vertical="bottom" wrapText="1"/>
    </xf>
    <xf borderId="0" fillId="0" fontId="6" numFmtId="0" xfId="0" applyAlignment="1" applyFont="1">
      <alignment horizontal="left" readingOrder="0" vertical="bottom"/>
    </xf>
    <xf borderId="7" fillId="6" fontId="6" numFmtId="165" xfId="0" applyAlignment="1" applyBorder="1" applyFont="1" applyNumberFormat="1">
      <alignment horizontal="right" vertical="bottom"/>
    </xf>
    <xf borderId="0" fillId="6" fontId="6" numFmtId="10" xfId="0" applyAlignment="1" applyFont="1" applyNumberFormat="1">
      <alignment horizontal="right" vertical="bottom"/>
    </xf>
    <xf borderId="0" fillId="6" fontId="6" numFmtId="165" xfId="0" applyAlignment="1" applyFont="1" applyNumberFormat="1">
      <alignment horizontal="right" vertical="bottom"/>
    </xf>
    <xf borderId="0" fillId="6" fontId="6" numFmtId="10" xfId="0" applyAlignment="1" applyFont="1" applyNumberFormat="1">
      <alignment readingOrder="0" vertical="bottom"/>
    </xf>
    <xf borderId="8" fillId="6" fontId="6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7" fillId="6" fontId="3" numFmtId="165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4" fontId="3" numFmtId="0" xfId="0" applyAlignment="1" applyBorder="1" applyFont="1">
      <alignment readingOrder="0" shrinkToFit="0" vertical="bottom" wrapText="1"/>
    </xf>
    <xf borderId="14" fillId="4" fontId="2" numFmtId="165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horizontal="right" readingOrder="0" vertical="bottom"/>
    </xf>
    <xf borderId="0" fillId="6" fontId="3" numFmtId="10" xfId="0" applyAlignment="1" applyFont="1" applyNumberFormat="1">
      <alignment vertical="bottom"/>
    </xf>
    <xf borderId="8" fillId="6" fontId="3" numFmtId="3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5" xfId="0" applyBorder="1" applyFill="1" applyFont="1" applyNumberFormat="1"/>
    <xf borderId="14" fillId="10" fontId="3" numFmtId="165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shrinkToFit="0" vertical="top" wrapText="1"/>
    </xf>
    <xf borderId="13" fillId="5" fontId="8" numFmtId="165" xfId="0" applyAlignment="1" applyBorder="1" applyFont="1" applyNumberFormat="1">
      <alignment horizontal="right" readingOrder="0"/>
    </xf>
    <xf borderId="9" fillId="6" fontId="3" numFmtId="165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5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3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4" fillId="6" fontId="3" numFmtId="165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5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13" fillId="9" fontId="3" numFmtId="165" xfId="0" applyBorder="1" applyFont="1" applyNumberFormat="1"/>
    <xf borderId="13" fillId="9" fontId="1" numFmtId="165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10" xfId="0" applyAlignment="1" applyFont="1" applyNumberFormat="1">
      <alignment shrinkToFit="0" vertical="bottom" wrapText="1"/>
    </xf>
    <xf borderId="0" fillId="11" fontId="11" numFmtId="0" xfId="0" applyAlignment="1" applyFill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180975</xdr:rowOff>
    </xdr:from>
    <xdr:ext cx="3009900" cy="3409950"/>
    <xdr:sp>
      <xdr:nvSpPr>
        <xdr:cNvPr id="3" name="Shape 3"/>
        <xdr:cNvSpPr txBox="1"/>
      </xdr:nvSpPr>
      <xdr:spPr>
        <a:xfrm>
          <a:off x="2096250" y="1308875"/>
          <a:ext cx="2832600" cy="3401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Airbnb is the market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incumbent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for getaway home rentals, experiences, and trip lodging outside hotels. Maintaining a clear moat, Airbnb is already doing what its competitors are not yet: experiences and the intersection of social interaction and homes.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Intangibles aside, the company is well poised for strong future growth with tremendous </a:t>
          </a:r>
          <a:r>
            <a:rPr b="1" lang="en-US" sz="1100">
              <a:latin typeface="Helvetica Neue"/>
              <a:ea typeface="Helvetica Neue"/>
              <a:cs typeface="Helvetica Neue"/>
              <a:sym typeface="Helvetica Neue"/>
            </a:rPr>
            <a:t>growing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profit margins, carrying little debt and significant cash.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Considering the pessimistic limelight shining on supposed decreased bookings in destination cities, and the company’s strong reiteration of the antithesis, a second level perspective at Airbnb suggests a potential buy.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ix?doc=/Archives/edgar/data/1559720/000155972023000003/abnb-20221231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45109.0</v>
      </c>
      <c r="D2" s="5"/>
      <c r="E2" s="6" t="s">
        <v>1</v>
      </c>
      <c r="F2" s="7" t="s">
        <v>2</v>
      </c>
      <c r="G2" s="8" t="s">
        <v>3</v>
      </c>
      <c r="H2" s="9" t="s">
        <v>4</v>
      </c>
      <c r="I2" s="8" t="s">
        <v>5</v>
      </c>
      <c r="J2" s="10" t="s">
        <v>6</v>
      </c>
      <c r="K2" s="5"/>
      <c r="L2" s="5"/>
      <c r="M2" s="5"/>
      <c r="N2" s="5"/>
    </row>
    <row r="3">
      <c r="A3" s="1"/>
      <c r="B3" s="11"/>
      <c r="C3" s="12"/>
      <c r="D3" s="13"/>
      <c r="E3" s="14"/>
      <c r="F3" s="5"/>
      <c r="G3" s="5"/>
      <c r="H3" s="15"/>
      <c r="I3" s="5"/>
      <c r="J3" s="5"/>
      <c r="K3" s="16"/>
      <c r="L3" s="16"/>
      <c r="M3" s="5"/>
      <c r="N3" s="5"/>
    </row>
    <row r="4">
      <c r="B4" s="5"/>
      <c r="C4" s="17"/>
      <c r="D4" s="18"/>
      <c r="E4" s="12" t="s">
        <v>7</v>
      </c>
      <c r="F4" s="19">
        <v>0.0</v>
      </c>
      <c r="G4" s="20">
        <v>4805.0</v>
      </c>
      <c r="H4" s="21">
        <v>3378.0</v>
      </c>
      <c r="I4" s="20">
        <v>5991.0</v>
      </c>
      <c r="J4" s="22">
        <v>8399.0</v>
      </c>
      <c r="K4" s="16"/>
      <c r="L4" s="16"/>
      <c r="M4" s="5"/>
      <c r="N4" s="5"/>
    </row>
    <row r="5">
      <c r="B5" s="5"/>
      <c r="C5" s="23"/>
      <c r="D5" s="18"/>
      <c r="E5" s="24" t="s">
        <v>8</v>
      </c>
      <c r="F5" s="25">
        <v>0.0</v>
      </c>
      <c r="G5" s="26">
        <v>0.0</v>
      </c>
      <c r="H5" s="27">
        <f>(H4-G4)/G4</f>
        <v>-0.2969823101</v>
      </c>
      <c r="I5" s="26">
        <f>(I4-G4)/G4</f>
        <v>0.2468262227</v>
      </c>
      <c r="J5" s="28">
        <f>(J4-I4)/I4</f>
        <v>0.4019362377</v>
      </c>
      <c r="K5" s="16"/>
      <c r="L5" s="16"/>
      <c r="M5" s="5"/>
      <c r="N5" s="5"/>
    </row>
    <row r="6">
      <c r="B6" s="5"/>
      <c r="C6" s="23"/>
      <c r="D6" s="5"/>
      <c r="E6" s="12" t="s">
        <v>9</v>
      </c>
      <c r="F6" s="29">
        <v>0.0</v>
      </c>
      <c r="G6" s="30">
        <v>1196.0</v>
      </c>
      <c r="H6" s="31">
        <v>876.0</v>
      </c>
      <c r="I6" s="30">
        <v>1155.0</v>
      </c>
      <c r="J6" s="32">
        <v>1499.0</v>
      </c>
      <c r="K6" s="16"/>
      <c r="L6" s="16"/>
      <c r="M6" s="5"/>
      <c r="N6" s="5"/>
    </row>
    <row r="7">
      <c r="B7" s="5"/>
      <c r="C7" s="23"/>
      <c r="D7" s="33"/>
      <c r="E7" s="12" t="s">
        <v>10</v>
      </c>
      <c r="F7" s="34" t="str">
        <f t="shared" ref="F7:J7" si="1">(F4-F6)/F4</f>
        <v>#DIV/0!</v>
      </c>
      <c r="G7" s="35">
        <f t="shared" si="1"/>
        <v>0.7510926119</v>
      </c>
      <c r="H7" s="36">
        <f t="shared" si="1"/>
        <v>0.7406749556</v>
      </c>
      <c r="I7" s="35">
        <f t="shared" si="1"/>
        <v>0.8072108162</v>
      </c>
      <c r="J7" s="37">
        <f t="shared" si="1"/>
        <v>0.8215263722</v>
      </c>
      <c r="K7" s="38"/>
      <c r="L7" s="38"/>
      <c r="M7" s="38"/>
      <c r="N7" s="38"/>
    </row>
    <row r="8">
      <c r="A8" s="1"/>
      <c r="B8" s="23"/>
      <c r="C8" s="17"/>
      <c r="D8" s="5"/>
      <c r="E8" s="12" t="s">
        <v>11</v>
      </c>
      <c r="F8" s="39">
        <f t="shared" ref="F8:J8" si="2">F4-F6</f>
        <v>0</v>
      </c>
      <c r="G8" s="40">
        <f t="shared" si="2"/>
        <v>3609</v>
      </c>
      <c r="H8" s="41">
        <f t="shared" si="2"/>
        <v>2502</v>
      </c>
      <c r="I8" s="40">
        <f t="shared" si="2"/>
        <v>4836</v>
      </c>
      <c r="J8" s="42">
        <f t="shared" si="2"/>
        <v>6900</v>
      </c>
      <c r="K8" s="5"/>
      <c r="L8" s="5"/>
      <c r="M8" s="5"/>
      <c r="N8" s="5"/>
    </row>
    <row r="9">
      <c r="A9" s="1"/>
      <c r="B9" s="23"/>
      <c r="C9" s="17"/>
      <c r="D9" s="5"/>
      <c r="E9" s="12" t="s">
        <v>12</v>
      </c>
      <c r="F9" s="43">
        <v>0.0</v>
      </c>
      <c r="G9" s="44">
        <v>0.0</v>
      </c>
      <c r="H9" s="36">
        <f>(H8-G8)/G8</f>
        <v>-0.3067331671</v>
      </c>
      <c r="I9" s="35">
        <f>(I8-G8)/G8</f>
        <v>0.3399833749</v>
      </c>
      <c r="J9" s="37">
        <f>(J8-I8)/I8</f>
        <v>0.4267990074</v>
      </c>
      <c r="K9" s="5"/>
      <c r="L9" s="5"/>
      <c r="M9" s="5"/>
      <c r="N9" s="5"/>
    </row>
    <row r="10">
      <c r="B10" s="5"/>
      <c r="C10" s="5"/>
      <c r="D10" s="5"/>
      <c r="E10" s="45" t="s">
        <v>13</v>
      </c>
      <c r="F10" s="46">
        <v>0.0</v>
      </c>
      <c r="G10" s="47">
        <v>976.7</v>
      </c>
      <c r="H10" s="48">
        <v>2753.0</v>
      </c>
      <c r="I10" s="47">
        <v>1425.0</v>
      </c>
      <c r="J10" s="49">
        <v>1502.0</v>
      </c>
      <c r="K10" s="50"/>
      <c r="L10" s="5"/>
      <c r="M10" s="5"/>
      <c r="N10" s="5"/>
    </row>
    <row r="11">
      <c r="A11" s="1"/>
      <c r="B11" s="23"/>
      <c r="C11" s="5"/>
      <c r="D11" s="51"/>
      <c r="E11" s="52" t="s">
        <v>14</v>
      </c>
      <c r="F11" s="29">
        <v>0.0</v>
      </c>
      <c r="G11" s="30">
        <v>2319.0</v>
      </c>
      <c r="H11" s="31">
        <v>2310.0</v>
      </c>
      <c r="I11" s="30">
        <v>2022.0</v>
      </c>
      <c r="J11" s="49">
        <v>2466.0</v>
      </c>
      <c r="K11" s="50"/>
      <c r="L11" s="5"/>
      <c r="M11" s="5"/>
      <c r="N11" s="5"/>
    </row>
    <row r="12">
      <c r="A12" s="1"/>
      <c r="B12" s="23"/>
      <c r="C12" s="5"/>
      <c r="D12" s="51"/>
      <c r="E12" s="45" t="s">
        <v>15</v>
      </c>
      <c r="F12" s="29">
        <v>0.0</v>
      </c>
      <c r="G12" s="30">
        <v>815.0</v>
      </c>
      <c r="H12" s="31">
        <v>878.0</v>
      </c>
      <c r="I12" s="30">
        <v>847.0</v>
      </c>
      <c r="J12" s="49">
        <v>1041.0</v>
      </c>
      <c r="K12" s="50"/>
      <c r="L12" s="5"/>
      <c r="M12" s="5"/>
      <c r="N12" s="5"/>
    </row>
    <row r="13">
      <c r="A13" s="1"/>
      <c r="B13" s="23"/>
      <c r="C13" s="51"/>
      <c r="D13" s="53"/>
      <c r="E13" s="52" t="s">
        <v>16</v>
      </c>
      <c r="F13" s="46">
        <f t="shared" ref="F13:J13" si="3">F6+F10+F11+F12</f>
        <v>0</v>
      </c>
      <c r="G13" s="47">
        <f t="shared" si="3"/>
        <v>5306.7</v>
      </c>
      <c r="H13" s="48">
        <f t="shared" si="3"/>
        <v>6817</v>
      </c>
      <c r="I13" s="47">
        <f t="shared" si="3"/>
        <v>5449</v>
      </c>
      <c r="J13" s="54">
        <f t="shared" si="3"/>
        <v>6508</v>
      </c>
      <c r="K13" s="50"/>
      <c r="L13" s="5"/>
      <c r="M13" s="5"/>
      <c r="N13" s="5"/>
    </row>
    <row r="14">
      <c r="A14" s="1"/>
      <c r="B14" s="23"/>
      <c r="C14" s="51"/>
      <c r="D14" s="55"/>
      <c r="E14" s="52" t="s">
        <v>17</v>
      </c>
      <c r="F14" s="39">
        <f t="shared" ref="F14:J14" si="4">F4-F13</f>
        <v>0</v>
      </c>
      <c r="G14" s="40">
        <f t="shared" si="4"/>
        <v>-501.7</v>
      </c>
      <c r="H14" s="41">
        <f t="shared" si="4"/>
        <v>-3439</v>
      </c>
      <c r="I14" s="40">
        <f t="shared" si="4"/>
        <v>542</v>
      </c>
      <c r="J14" s="49">
        <f t="shared" si="4"/>
        <v>1891</v>
      </c>
      <c r="K14" s="50"/>
      <c r="L14" s="5"/>
      <c r="M14" s="5"/>
      <c r="N14" s="5"/>
    </row>
    <row r="15">
      <c r="A15" s="1"/>
      <c r="B15" s="23"/>
      <c r="C15" s="51"/>
      <c r="D15" s="56"/>
      <c r="E15" s="45" t="s">
        <v>18</v>
      </c>
      <c r="F15" s="34" t="str">
        <f t="shared" ref="F15:J15" si="5">F14/F4</f>
        <v>#DIV/0!</v>
      </c>
      <c r="G15" s="35">
        <f t="shared" si="5"/>
        <v>-0.1044120708</v>
      </c>
      <c r="H15" s="36">
        <f t="shared" si="5"/>
        <v>-1.018058022</v>
      </c>
      <c r="I15" s="35">
        <f t="shared" si="5"/>
        <v>0.09046903689</v>
      </c>
      <c r="J15" s="37">
        <f t="shared" si="5"/>
        <v>0.2251458507</v>
      </c>
      <c r="K15" s="50"/>
      <c r="L15" s="5"/>
      <c r="M15" s="5"/>
      <c r="N15" s="5"/>
    </row>
    <row r="16">
      <c r="A16" s="1"/>
      <c r="B16" s="23"/>
      <c r="C16" s="51"/>
      <c r="D16" s="56"/>
      <c r="E16" s="52" t="s">
        <v>19</v>
      </c>
      <c r="F16" s="29">
        <v>0.0</v>
      </c>
      <c r="G16" s="30">
        <v>76.0</v>
      </c>
      <c r="H16" s="31">
        <v>-145.0</v>
      </c>
      <c r="I16" s="30">
        <v>-425.0</v>
      </c>
      <c r="J16" s="32">
        <v>162.0</v>
      </c>
      <c r="K16" s="5"/>
      <c r="L16" s="5"/>
      <c r="M16" s="5"/>
      <c r="N16" s="5"/>
    </row>
    <row r="17">
      <c r="A17" s="1"/>
      <c r="B17" s="23"/>
      <c r="C17" s="51"/>
      <c r="D17" s="56"/>
      <c r="E17" s="45" t="s">
        <v>15</v>
      </c>
      <c r="F17" s="29">
        <v>0.0</v>
      </c>
      <c r="G17" s="30">
        <v>14.0</v>
      </c>
      <c r="H17" s="31">
        <v>-1099.0</v>
      </c>
      <c r="I17" s="30">
        <v>-418.0</v>
      </c>
      <c r="J17" s="32">
        <v>-64.0</v>
      </c>
      <c r="K17" s="5"/>
      <c r="L17" s="5"/>
      <c r="M17" s="5"/>
      <c r="N17" s="5"/>
    </row>
    <row r="18">
      <c r="A18" s="1"/>
      <c r="B18" s="23"/>
      <c r="C18" s="23"/>
      <c r="D18" s="57"/>
      <c r="E18" s="52" t="s">
        <v>20</v>
      </c>
      <c r="F18" s="29">
        <v>0.0</v>
      </c>
      <c r="G18" s="30">
        <v>-412.0</v>
      </c>
      <c r="H18" s="31">
        <v>-4682.0</v>
      </c>
      <c r="I18" s="30">
        <v>-300.0</v>
      </c>
      <c r="J18" s="49">
        <v>1989.0</v>
      </c>
      <c r="K18" s="50"/>
      <c r="L18" s="50"/>
      <c r="M18" s="50"/>
      <c r="N18" s="50"/>
      <c r="O18" s="58"/>
    </row>
    <row r="19">
      <c r="A19" s="1"/>
      <c r="B19" s="23"/>
      <c r="C19" s="38"/>
      <c r="D19" s="59"/>
      <c r="E19" s="52" t="s">
        <v>21</v>
      </c>
      <c r="F19" s="29">
        <v>0.0</v>
      </c>
      <c r="G19" s="30">
        <v>263.0</v>
      </c>
      <c r="H19" s="31">
        <v>-97.0</v>
      </c>
      <c r="I19" s="30">
        <v>52.0</v>
      </c>
      <c r="J19" s="32">
        <v>96.0</v>
      </c>
      <c r="K19" s="50"/>
      <c r="L19" s="50"/>
      <c r="M19" s="50"/>
      <c r="N19" s="50"/>
      <c r="O19" s="58"/>
    </row>
    <row r="20">
      <c r="A20" s="1"/>
      <c r="B20" s="23"/>
      <c r="C20" s="23"/>
      <c r="D20" s="59"/>
      <c r="E20" s="52" t="s">
        <v>22</v>
      </c>
      <c r="F20" s="39">
        <f t="shared" ref="F20:G20" si="6">F18+F19</f>
        <v>0</v>
      </c>
      <c r="G20" s="40">
        <f t="shared" si="6"/>
        <v>-149</v>
      </c>
      <c r="H20" s="41">
        <f t="shared" ref="H20:J20" si="7">H18-H19</f>
        <v>-4585</v>
      </c>
      <c r="I20" s="40">
        <f t="shared" si="7"/>
        <v>-352</v>
      </c>
      <c r="J20" s="49">
        <f t="shared" si="7"/>
        <v>1893</v>
      </c>
      <c r="K20" s="50"/>
      <c r="L20" s="50"/>
      <c r="M20" s="50"/>
      <c r="N20" s="50"/>
      <c r="O20" s="58"/>
    </row>
    <row r="21">
      <c r="B21" s="5"/>
      <c r="C21" s="5"/>
      <c r="D21" s="5"/>
      <c r="E21" s="45" t="s">
        <v>23</v>
      </c>
      <c r="F21" s="60">
        <v>0.0</v>
      </c>
      <c r="G21" s="61">
        <v>0.0</v>
      </c>
      <c r="H21" s="62">
        <f>(H20-G20)/G20</f>
        <v>29.77181208</v>
      </c>
      <c r="I21" s="63">
        <f>(I20-G20)/ABS(G20)</f>
        <v>-1.362416107</v>
      </c>
      <c r="J21" s="64">
        <f>(J20-I20)/ABS(I20)</f>
        <v>6.377840909</v>
      </c>
      <c r="K21" s="50"/>
      <c r="L21" s="50"/>
      <c r="M21" s="50"/>
      <c r="N21" s="50"/>
      <c r="O21" s="58"/>
    </row>
    <row r="22">
      <c r="B22" s="5"/>
      <c r="C22" s="23"/>
      <c r="D22" s="57"/>
      <c r="E22" s="52" t="s">
        <v>24</v>
      </c>
      <c r="F22" s="65">
        <v>0.0</v>
      </c>
      <c r="G22" s="66">
        <v>-1.27</v>
      </c>
      <c r="H22" s="67">
        <v>-16.12</v>
      </c>
      <c r="I22" s="66">
        <v>-0.57</v>
      </c>
      <c r="J22" s="68">
        <v>2.97</v>
      </c>
      <c r="K22" s="5"/>
      <c r="L22" s="50"/>
      <c r="M22" s="50"/>
      <c r="N22" s="50"/>
      <c r="O22" s="58"/>
    </row>
    <row r="23">
      <c r="A23" s="1"/>
      <c r="B23" s="3" t="s">
        <v>25</v>
      </c>
      <c r="C23" s="69" t="s">
        <v>26</v>
      </c>
      <c r="D23" s="5"/>
      <c r="E23" s="52" t="s">
        <v>27</v>
      </c>
      <c r="F23" s="70">
        <v>0.0</v>
      </c>
      <c r="G23" s="71">
        <v>531.0</v>
      </c>
      <c r="H23" s="72">
        <v>284.0</v>
      </c>
      <c r="I23" s="71">
        <v>616.0</v>
      </c>
      <c r="J23" s="73">
        <v>637.0</v>
      </c>
      <c r="K23" s="5"/>
      <c r="L23" s="50"/>
      <c r="M23" s="50"/>
      <c r="N23" s="50"/>
      <c r="O23" s="58"/>
    </row>
    <row r="24">
      <c r="A24" s="1"/>
      <c r="B24" s="23"/>
      <c r="C24" s="5"/>
      <c r="D24" s="5"/>
      <c r="E24" s="24"/>
      <c r="F24" s="74"/>
      <c r="G24" s="74"/>
      <c r="H24" s="75"/>
      <c r="I24" s="38"/>
      <c r="J24" s="38"/>
      <c r="K24" s="5"/>
      <c r="L24" s="50"/>
      <c r="M24" s="50"/>
      <c r="N24" s="50"/>
      <c r="O24" s="58"/>
    </row>
    <row r="25">
      <c r="B25" s="76" t="s">
        <v>28</v>
      </c>
      <c r="C25" s="77">
        <v>125.1</v>
      </c>
      <c r="D25" s="5"/>
      <c r="E25" s="12" t="s">
        <v>29</v>
      </c>
      <c r="F25" s="78">
        <v>0.0</v>
      </c>
      <c r="G25" s="79">
        <v>0.0</v>
      </c>
      <c r="H25" s="80">
        <v>0.0</v>
      </c>
      <c r="I25" s="81">
        <v>0.0</v>
      </c>
      <c r="J25" s="82">
        <v>-1500.0</v>
      </c>
      <c r="K25" s="5"/>
      <c r="L25" s="50"/>
      <c r="M25" s="50"/>
      <c r="N25" s="50"/>
      <c r="O25" s="58"/>
    </row>
    <row r="26">
      <c r="B26" s="83" t="s">
        <v>30</v>
      </c>
      <c r="C26" s="84">
        <v>640.0</v>
      </c>
      <c r="D26" s="5"/>
      <c r="E26" s="85" t="s">
        <v>31</v>
      </c>
      <c r="F26" s="86">
        <v>0.0</v>
      </c>
      <c r="G26" s="87">
        <v>0.0</v>
      </c>
      <c r="H26" s="88">
        <v>0.0</v>
      </c>
      <c r="I26" s="87">
        <v>0.0</v>
      </c>
      <c r="J26" s="89">
        <v>0.0</v>
      </c>
      <c r="K26" s="5"/>
      <c r="L26" s="5"/>
      <c r="M26" s="5"/>
      <c r="N26" s="5"/>
    </row>
    <row r="27">
      <c r="B27" s="76" t="s">
        <v>32</v>
      </c>
      <c r="C27" s="90">
        <v>10600.0</v>
      </c>
      <c r="D27" s="5"/>
      <c r="E27" s="24" t="s">
        <v>33</v>
      </c>
      <c r="F27" s="86">
        <v>0.0</v>
      </c>
      <c r="G27" s="91">
        <v>98.0</v>
      </c>
      <c r="H27" s="92">
        <v>3002.0</v>
      </c>
      <c r="I27" s="91">
        <v>899.0</v>
      </c>
      <c r="J27" s="93">
        <v>930.0</v>
      </c>
      <c r="K27" s="5"/>
      <c r="L27" s="50"/>
      <c r="M27" s="50"/>
      <c r="N27" s="50"/>
      <c r="O27" s="58"/>
    </row>
    <row r="28">
      <c r="B28" s="76" t="s">
        <v>34</v>
      </c>
      <c r="C28" s="84">
        <v>2340.0</v>
      </c>
      <c r="D28" s="11"/>
      <c r="E28" s="85" t="s">
        <v>35</v>
      </c>
      <c r="F28" s="86">
        <v>0.0</v>
      </c>
      <c r="G28" s="87">
        <v>0.0</v>
      </c>
      <c r="H28" s="88">
        <v>1929.0</v>
      </c>
      <c r="I28" s="87">
        <v>1979.0</v>
      </c>
      <c r="J28" s="89">
        <v>0.0</v>
      </c>
      <c r="K28" s="5"/>
      <c r="L28" s="50"/>
      <c r="M28" s="50"/>
      <c r="N28" s="50"/>
      <c r="O28" s="58"/>
    </row>
    <row r="29">
      <c r="A29" s="1"/>
      <c r="B29" s="11" t="s">
        <v>36</v>
      </c>
      <c r="C29" s="94" t="s">
        <v>37</v>
      </c>
      <c r="D29" s="95"/>
      <c r="E29" s="85" t="s">
        <v>38</v>
      </c>
      <c r="F29" s="96">
        <v>0.0</v>
      </c>
      <c r="G29" s="97">
        <v>0.0</v>
      </c>
      <c r="H29" s="98">
        <v>-5.0</v>
      </c>
      <c r="I29" s="97">
        <v>-2208.0</v>
      </c>
      <c r="J29" s="99">
        <v>0.0</v>
      </c>
      <c r="K29" s="5"/>
      <c r="L29" s="50"/>
      <c r="M29" s="50"/>
      <c r="N29" s="50"/>
      <c r="O29" s="58"/>
    </row>
    <row r="30">
      <c r="A30" s="1"/>
      <c r="B30" s="11"/>
      <c r="C30" s="24"/>
      <c r="D30" s="100"/>
      <c r="E30" s="85"/>
      <c r="F30" s="101"/>
      <c r="G30" s="101"/>
      <c r="H30" s="102"/>
      <c r="I30" s="74"/>
      <c r="J30" s="5"/>
      <c r="K30" s="5"/>
      <c r="L30" s="5"/>
      <c r="M30" s="5"/>
      <c r="N30" s="5"/>
    </row>
    <row r="31">
      <c r="B31" s="103" t="s">
        <v>39</v>
      </c>
      <c r="C31" s="104">
        <v>80770.0</v>
      </c>
      <c r="D31" s="11"/>
      <c r="E31" s="12" t="s">
        <v>40</v>
      </c>
      <c r="F31" s="105">
        <v>0.0</v>
      </c>
      <c r="G31" s="106">
        <v>223.0</v>
      </c>
      <c r="H31" s="107">
        <v>-630.0</v>
      </c>
      <c r="I31" s="108">
        <v>2190.0</v>
      </c>
      <c r="J31" s="109">
        <v>3430.0</v>
      </c>
      <c r="K31" s="5"/>
      <c r="L31" s="5"/>
      <c r="M31" s="5"/>
      <c r="N31" s="5"/>
    </row>
    <row r="32">
      <c r="B32" s="103" t="s">
        <v>41</v>
      </c>
      <c r="C32" s="110">
        <f>C31-C27+C28</f>
        <v>72510</v>
      </c>
      <c r="D32" s="11"/>
      <c r="E32" s="85" t="s">
        <v>42</v>
      </c>
      <c r="F32" s="111">
        <v>0.0</v>
      </c>
      <c r="G32" s="112">
        <v>-347.0</v>
      </c>
      <c r="H32" s="113">
        <v>80.0</v>
      </c>
      <c r="I32" s="112">
        <v>-1352.0</v>
      </c>
      <c r="J32" s="114">
        <v>-28.0</v>
      </c>
      <c r="K32" s="5"/>
      <c r="L32" s="5"/>
      <c r="M32" s="5"/>
      <c r="N32" s="5"/>
    </row>
    <row r="33">
      <c r="B33" s="103" t="s">
        <v>43</v>
      </c>
      <c r="C33" s="115">
        <f>C31/J20</f>
        <v>42.66772319</v>
      </c>
      <c r="D33" s="11"/>
      <c r="E33" s="85" t="s">
        <v>44</v>
      </c>
      <c r="F33" s="111">
        <v>0.0</v>
      </c>
      <c r="G33" s="112">
        <v>855.0</v>
      </c>
      <c r="H33" s="113">
        <v>2941.0</v>
      </c>
      <c r="I33" s="112">
        <v>1431.0</v>
      </c>
      <c r="J33" s="114">
        <v>-689.0</v>
      </c>
      <c r="K33" s="5"/>
      <c r="L33" s="5"/>
      <c r="M33" s="5"/>
      <c r="N33" s="5"/>
    </row>
    <row r="34">
      <c r="B34" s="116" t="s">
        <v>45</v>
      </c>
      <c r="C34" s="115">
        <f>C31/J4</f>
        <v>9.616621026</v>
      </c>
      <c r="D34" s="11"/>
      <c r="E34" s="85" t="s">
        <v>46</v>
      </c>
      <c r="F34" s="111">
        <v>0.0</v>
      </c>
      <c r="G34" s="112">
        <v>730.0</v>
      </c>
      <c r="H34" s="113">
        <v>2391.0</v>
      </c>
      <c r="I34" s="112">
        <v>2269.0</v>
      </c>
      <c r="J34" s="114">
        <v>2713.0</v>
      </c>
      <c r="K34" s="5"/>
      <c r="L34" s="5"/>
      <c r="M34" s="5"/>
      <c r="N34" s="5"/>
    </row>
    <row r="35">
      <c r="A35" s="1"/>
      <c r="B35" s="117" t="s">
        <v>47</v>
      </c>
      <c r="C35" s="118">
        <f>C31/C27</f>
        <v>7.619811321</v>
      </c>
      <c r="D35" s="119"/>
      <c r="E35" s="85" t="s">
        <v>48</v>
      </c>
      <c r="F35" s="120">
        <v>0.0</v>
      </c>
      <c r="G35" s="121">
        <v>419.0</v>
      </c>
      <c r="H35" s="122">
        <v>2303.0</v>
      </c>
      <c r="I35" s="121">
        <v>2418.0</v>
      </c>
      <c r="J35" s="123">
        <v>2341.0</v>
      </c>
      <c r="K35" s="5"/>
      <c r="L35" s="5"/>
      <c r="M35" s="5"/>
      <c r="N35" s="5"/>
    </row>
    <row r="36">
      <c r="A36" s="1"/>
      <c r="B36" s="117" t="s">
        <v>49</v>
      </c>
      <c r="C36" s="118">
        <f>C32/J4</f>
        <v>8.633170616</v>
      </c>
      <c r="D36" s="100"/>
      <c r="E36" s="124"/>
      <c r="F36" s="57"/>
      <c r="G36" s="57"/>
      <c r="H36" s="125"/>
      <c r="I36" s="5"/>
      <c r="J36" s="5"/>
      <c r="K36" s="5"/>
      <c r="L36" s="5"/>
      <c r="M36" s="5"/>
      <c r="N36" s="5"/>
    </row>
    <row r="37">
      <c r="B37" s="116" t="s">
        <v>50</v>
      </c>
      <c r="C37" s="126">
        <f>C32/J18</f>
        <v>36.45550528</v>
      </c>
      <c r="D37" s="57"/>
      <c r="E37" s="127" t="s">
        <v>51</v>
      </c>
      <c r="F37" s="128" t="s">
        <v>7</v>
      </c>
      <c r="G37" s="129" t="s">
        <v>52</v>
      </c>
      <c r="H37" s="130" t="s">
        <v>22</v>
      </c>
      <c r="I37" s="128" t="s">
        <v>53</v>
      </c>
      <c r="J37" s="131" t="s">
        <v>34</v>
      </c>
      <c r="K37" s="50"/>
      <c r="L37" s="50"/>
      <c r="M37" s="5"/>
      <c r="N37" s="5"/>
    </row>
    <row r="38">
      <c r="A38" s="1"/>
      <c r="B38" s="23"/>
      <c r="C38" s="5"/>
      <c r="D38" s="57"/>
      <c r="E38" s="132"/>
      <c r="F38" s="133"/>
      <c r="G38" s="133"/>
      <c r="H38" s="134"/>
      <c r="I38" s="135"/>
      <c r="J38" s="50"/>
      <c r="K38" s="50"/>
      <c r="L38" s="50"/>
      <c r="M38" s="5"/>
      <c r="N38" s="5"/>
    </row>
    <row r="39">
      <c r="A39" s="1"/>
      <c r="B39" s="45" t="s">
        <v>54</v>
      </c>
      <c r="C39" s="136">
        <v>0.07</v>
      </c>
      <c r="D39" s="57"/>
      <c r="E39" s="137">
        <v>2018.0</v>
      </c>
      <c r="F39" s="138" t="s">
        <v>55</v>
      </c>
      <c r="G39" s="139" t="s">
        <v>55</v>
      </c>
      <c r="H39" s="140">
        <v>0.0</v>
      </c>
      <c r="I39" s="141">
        <v>0.0</v>
      </c>
      <c r="J39" s="142">
        <v>0.0</v>
      </c>
      <c r="K39" s="143"/>
      <c r="L39" s="50"/>
      <c r="M39" s="5"/>
      <c r="N39" s="5"/>
    </row>
    <row r="40">
      <c r="A40" s="1"/>
      <c r="B40" s="45" t="s">
        <v>56</v>
      </c>
      <c r="C40" s="144">
        <v>0.2</v>
      </c>
      <c r="D40" s="57"/>
      <c r="E40" s="137">
        <v>2019.0</v>
      </c>
      <c r="F40" s="145">
        <f>G4</f>
        <v>4805</v>
      </c>
      <c r="G40" s="146" t="s">
        <v>55</v>
      </c>
      <c r="H40" s="147">
        <f>G20</f>
        <v>-149</v>
      </c>
      <c r="I40" s="148">
        <v>0.0</v>
      </c>
      <c r="J40" s="149">
        <f>G35</f>
        <v>419</v>
      </c>
      <c r="K40" s="143">
        <v>1.0</v>
      </c>
      <c r="L40" s="50"/>
      <c r="M40" s="5"/>
      <c r="N40" s="5"/>
    </row>
    <row r="41">
      <c r="A41" s="1"/>
      <c r="B41" s="52" t="s">
        <v>57</v>
      </c>
      <c r="C41" s="150">
        <f t="array" ref="C41">NPV(C39, H44:H54)</f>
        <v>69689.56593</v>
      </c>
      <c r="D41" s="76"/>
      <c r="E41" s="151">
        <v>2020.0</v>
      </c>
      <c r="F41" s="152">
        <f>H4</f>
        <v>3378</v>
      </c>
      <c r="G41" s="153">
        <f>H5</f>
        <v>-0.2969823101</v>
      </c>
      <c r="H41" s="154">
        <f>H20</f>
        <v>-4585</v>
      </c>
      <c r="I41" s="155">
        <v>0.0</v>
      </c>
      <c r="J41" s="156">
        <f>H35</f>
        <v>2303</v>
      </c>
      <c r="K41" s="143">
        <f>(J41/J40)</f>
        <v>5.496420048</v>
      </c>
      <c r="L41" s="50"/>
      <c r="M41" s="5"/>
      <c r="N41" s="5"/>
    </row>
    <row r="42">
      <c r="B42" s="52" t="s">
        <v>58</v>
      </c>
      <c r="C42" s="150">
        <f>C41+C27-C28</f>
        <v>77949.56593</v>
      </c>
      <c r="D42" s="157"/>
      <c r="E42" s="158">
        <v>2021.0</v>
      </c>
      <c r="F42" s="159">
        <f>I4</f>
        <v>5991</v>
      </c>
      <c r="G42" s="160">
        <f>I5</f>
        <v>0.2468262227</v>
      </c>
      <c r="H42" s="147">
        <f>I20</f>
        <v>-352</v>
      </c>
      <c r="I42" s="148">
        <v>0.0</v>
      </c>
      <c r="J42" s="149">
        <f>I35</f>
        <v>2418</v>
      </c>
      <c r="K42" s="143">
        <f t="shared" ref="K42:K43" si="8">J42/J41</f>
        <v>1.049934868</v>
      </c>
      <c r="L42" s="50"/>
      <c r="M42" s="5"/>
      <c r="N42" s="5"/>
    </row>
    <row r="43">
      <c r="B43" s="52" t="s">
        <v>27</v>
      </c>
      <c r="C43" s="161">
        <f>C26</f>
        <v>640</v>
      </c>
      <c r="D43" s="157"/>
      <c r="E43" s="158">
        <v>2022.0</v>
      </c>
      <c r="F43" s="159">
        <f>J4</f>
        <v>8399</v>
      </c>
      <c r="G43" s="160">
        <f>J5</f>
        <v>0.4019362377</v>
      </c>
      <c r="H43" s="147">
        <f>J20</f>
        <v>1893</v>
      </c>
      <c r="I43" s="148">
        <v>0.0</v>
      </c>
      <c r="J43" s="149">
        <f>J35</f>
        <v>2341</v>
      </c>
      <c r="K43" s="143">
        <f t="shared" si="8"/>
        <v>0.9681555004</v>
      </c>
      <c r="L43" s="50"/>
      <c r="M43" s="5"/>
      <c r="N43" s="5"/>
    </row>
    <row r="44">
      <c r="B44" s="45" t="s">
        <v>59</v>
      </c>
      <c r="C44" s="162">
        <f>C42/C43</f>
        <v>121.7961968</v>
      </c>
      <c r="D44" s="157"/>
      <c r="E44" s="158">
        <v>2023.0</v>
      </c>
      <c r="F44" s="145">
        <f t="shared" ref="F44:F54" si="9">F43*(1+G44)</f>
        <v>11123.47795</v>
      </c>
      <c r="G44" s="163">
        <f>AVERAGE(G42:G43)</f>
        <v>0.3243812302</v>
      </c>
      <c r="H44" s="147">
        <f t="shared" ref="H44:H54" si="10">H43*(1+G44)</f>
        <v>2507.053669</v>
      </c>
      <c r="I44" s="164">
        <f>G43-G44</f>
        <v>0.0775550075</v>
      </c>
      <c r="J44" s="149">
        <f>K44*J43</f>
        <v>2266.452026</v>
      </c>
      <c r="K44" s="143">
        <f>K43</f>
        <v>0.9681555004</v>
      </c>
      <c r="L44" s="50"/>
      <c r="M44" s="5"/>
      <c r="N44" s="5"/>
    </row>
    <row r="45">
      <c r="A45" s="1"/>
      <c r="B45" s="45"/>
      <c r="D45" s="157"/>
      <c r="E45" s="158">
        <v>2024.0</v>
      </c>
      <c r="F45" s="145">
        <f t="shared" si="9"/>
        <v>14593.37023</v>
      </c>
      <c r="G45" s="163">
        <f>G44-(G44-G54) / 10</f>
        <v>0.3119431072</v>
      </c>
      <c r="H45" s="147">
        <f t="shared" si="10"/>
        <v>3289.11178</v>
      </c>
      <c r="I45" s="164">
        <f t="shared" ref="I45:I54" si="11">I44 * (1+G44)</f>
        <v>0.1027123962</v>
      </c>
      <c r="J45" s="165">
        <f>K44*J44</f>
        <v>2194.277996</v>
      </c>
      <c r="K45" s="5"/>
      <c r="L45" s="5"/>
      <c r="M45" s="5"/>
      <c r="N45" s="5"/>
    </row>
    <row r="46">
      <c r="A46" s="1"/>
      <c r="B46" s="24" t="s">
        <v>60</v>
      </c>
      <c r="C46" s="166">
        <f>(C44-C25)/C44</f>
        <v>-0.02712566835</v>
      </c>
      <c r="D46" s="50"/>
      <c r="E46" s="158">
        <v>2025.0</v>
      </c>
      <c r="F46" s="145">
        <f t="shared" si="9"/>
        <v>18964.15735</v>
      </c>
      <c r="G46" s="163">
        <f>G45-(G44-G54) / 10</f>
        <v>0.2995049841</v>
      </c>
      <c r="H46" s="147">
        <f t="shared" si="10"/>
        <v>4274.217152</v>
      </c>
      <c r="I46" s="164">
        <f t="shared" si="11"/>
        <v>0.1347528203</v>
      </c>
      <c r="J46" s="149">
        <f>K44*J45</f>
        <v>2124.402311</v>
      </c>
      <c r="K46" s="50"/>
      <c r="L46" s="50"/>
      <c r="M46" s="5"/>
      <c r="N46" s="5"/>
    </row>
    <row r="47">
      <c r="A47" s="1"/>
      <c r="B47" s="24" t="s">
        <v>60</v>
      </c>
      <c r="C47" s="167">
        <f>I54</f>
        <v>0.8326863356</v>
      </c>
      <c r="D47" s="50"/>
      <c r="E47" s="168">
        <v>2026.0</v>
      </c>
      <c r="F47" s="145">
        <f t="shared" si="9"/>
        <v>24408.13847</v>
      </c>
      <c r="G47" s="163">
        <f>G46-(G44-G54) / 10</f>
        <v>0.2870668611</v>
      </c>
      <c r="H47" s="147">
        <f t="shared" si="10"/>
        <v>5501.203253</v>
      </c>
      <c r="I47" s="164">
        <f t="shared" si="11"/>
        <v>0.1751119616</v>
      </c>
      <c r="J47" s="149">
        <f>K44*J46</f>
        <v>2056.751783</v>
      </c>
      <c r="K47" s="50"/>
      <c r="L47" s="50"/>
      <c r="M47" s="5"/>
      <c r="N47" s="5"/>
    </row>
    <row r="48">
      <c r="A48" s="1"/>
      <c r="B48" s="24"/>
      <c r="C48" s="1"/>
      <c r="D48" s="50"/>
      <c r="E48" s="168">
        <v>2027.0</v>
      </c>
      <c r="F48" s="145">
        <f t="shared" si="9"/>
        <v>31111.31474</v>
      </c>
      <c r="G48" s="163">
        <f>G47-(G44-G54) / 10</f>
        <v>0.2746287381</v>
      </c>
      <c r="H48" s="147">
        <f t="shared" si="10"/>
        <v>7011.991761</v>
      </c>
      <c r="I48" s="164">
        <f t="shared" si="11"/>
        <v>0.2253808027</v>
      </c>
      <c r="J48" s="149">
        <f>K44*J47</f>
        <v>1991.255551</v>
      </c>
      <c r="K48" s="50"/>
      <c r="L48" s="50"/>
      <c r="M48" s="5"/>
      <c r="N48" s="5"/>
    </row>
    <row r="49">
      <c r="B49" s="12" t="s">
        <v>61</v>
      </c>
      <c r="C49" s="169">
        <f>C41+C27-J54</f>
        <v>78649.74017</v>
      </c>
      <c r="D49" s="23"/>
      <c r="E49" s="168">
        <v>2028.0</v>
      </c>
      <c r="F49" s="145">
        <f t="shared" si="9"/>
        <v>39268.40948</v>
      </c>
      <c r="G49" s="163">
        <f>G48-(G44-G54) / 10</f>
        <v>0.2621906151</v>
      </c>
      <c r="H49" s="147">
        <f t="shared" si="10"/>
        <v>8850.470193</v>
      </c>
      <c r="I49" s="164">
        <f t="shared" si="11"/>
        <v>0.2872768482</v>
      </c>
      <c r="J49" s="149">
        <f>K44*J48</f>
        <v>1927.845015</v>
      </c>
      <c r="K49" s="50"/>
      <c r="L49" s="50"/>
      <c r="M49" s="5"/>
      <c r="N49" s="5"/>
    </row>
    <row r="50">
      <c r="B50" s="12" t="s">
        <v>62</v>
      </c>
      <c r="C50" s="170">
        <f>C49/C43</f>
        <v>122.890219</v>
      </c>
      <c r="D50" s="50"/>
      <c r="E50" s="168">
        <v>2029.0</v>
      </c>
      <c r="F50" s="145">
        <f t="shared" si="9"/>
        <v>49075.79261</v>
      </c>
      <c r="G50" s="163">
        <f>G49-(G44-G54) / 10</f>
        <v>0.2497524921</v>
      </c>
      <c r="H50" s="147">
        <f t="shared" si="10"/>
        <v>11060.89718</v>
      </c>
      <c r="I50" s="164">
        <f t="shared" si="11"/>
        <v>0.3625981417</v>
      </c>
      <c r="J50" s="149">
        <f>K44*J49</f>
        <v>1866.453755</v>
      </c>
      <c r="K50" s="50"/>
      <c r="L50" s="50"/>
      <c r="M50" s="5"/>
      <c r="N50" s="5"/>
    </row>
    <row r="51">
      <c r="A51" s="1"/>
      <c r="B51" s="12"/>
      <c r="C51" s="1"/>
      <c r="D51" s="50"/>
      <c r="E51" s="168">
        <v>2030.0</v>
      </c>
      <c r="F51" s="145">
        <f t="shared" si="9"/>
        <v>60722.18337</v>
      </c>
      <c r="G51" s="163">
        <f>G50-(G44-G54) / 10</f>
        <v>0.2373143691</v>
      </c>
      <c r="H51" s="147">
        <f t="shared" si="10"/>
        <v>13685.80702</v>
      </c>
      <c r="I51" s="164">
        <f t="shared" si="11"/>
        <v>0.4531579312</v>
      </c>
      <c r="J51" s="165">
        <f>K44*J50</f>
        <v>1807.017469</v>
      </c>
      <c r="K51" s="5"/>
      <c r="L51" s="5"/>
      <c r="M51" s="5"/>
      <c r="N51" s="5"/>
    </row>
    <row r="52">
      <c r="A52" s="1"/>
      <c r="B52" s="45" t="s">
        <v>63</v>
      </c>
      <c r="C52" s="171">
        <v>0.1</v>
      </c>
      <c r="D52" s="50"/>
      <c r="E52" s="124">
        <v>2031.0</v>
      </c>
      <c r="F52" s="145">
        <f t="shared" si="9"/>
        <v>74377.16002</v>
      </c>
      <c r="G52" s="163">
        <f>G51-(G44-G54) / 10</f>
        <v>0.224876246</v>
      </c>
      <c r="H52" s="147">
        <f t="shared" si="10"/>
        <v>16763.41992</v>
      </c>
      <c r="I52" s="164">
        <f t="shared" si="11"/>
        <v>0.5606988197</v>
      </c>
      <c r="J52" s="165">
        <f>K44*J51</f>
        <v>1749.473902</v>
      </c>
      <c r="K52" s="5"/>
      <c r="L52" s="5"/>
      <c r="M52" s="5"/>
      <c r="N52" s="5"/>
    </row>
    <row r="53">
      <c r="A53" s="1"/>
      <c r="B53" s="24" t="s">
        <v>64</v>
      </c>
      <c r="C53" s="172">
        <f t="array" ref="C53">NPV(C39, H58:H68)</f>
        <v>383656.3017</v>
      </c>
      <c r="D53" s="23"/>
      <c r="E53" s="124">
        <v>2032.0</v>
      </c>
      <c r="F53" s="145">
        <f t="shared" si="9"/>
        <v>90177.70429</v>
      </c>
      <c r="G53" s="163">
        <f>G52-(G44-G54) / 10</f>
        <v>0.212438123</v>
      </c>
      <c r="H53" s="147">
        <f t="shared" si="10"/>
        <v>20324.60938</v>
      </c>
      <c r="I53" s="164">
        <f t="shared" si="11"/>
        <v>0.6867866655</v>
      </c>
      <c r="J53" s="165">
        <f>K44*J52</f>
        <v>1693.762781</v>
      </c>
      <c r="K53" s="5"/>
      <c r="L53" s="5"/>
      <c r="M53" s="5"/>
      <c r="N53" s="5"/>
    </row>
    <row r="54">
      <c r="A54" s="1"/>
      <c r="B54" s="12" t="s">
        <v>65</v>
      </c>
      <c r="C54" s="173">
        <f>C53/J68</f>
        <v>344.413705</v>
      </c>
      <c r="D54" s="23"/>
      <c r="E54" s="124">
        <v>2033.0</v>
      </c>
      <c r="F54" s="174">
        <f t="shared" si="9"/>
        <v>108213.2451</v>
      </c>
      <c r="G54" s="175">
        <f>C40</f>
        <v>0.2</v>
      </c>
      <c r="H54" s="176">
        <f t="shared" si="10"/>
        <v>24389.53126</v>
      </c>
      <c r="I54" s="177">
        <f t="shared" si="11"/>
        <v>0.8326863356</v>
      </c>
      <c r="J54" s="178">
        <f>K44*J53</f>
        <v>1639.825753</v>
      </c>
      <c r="K54" s="5"/>
      <c r="L54" s="5"/>
      <c r="M54" s="5"/>
      <c r="N54" s="5"/>
    </row>
    <row r="55">
      <c r="A55" s="1"/>
      <c r="B55" s="12" t="s">
        <v>66</v>
      </c>
      <c r="C55" s="179">
        <f>(C54/C25)^(1/10)-1</f>
        <v>0.1065787129</v>
      </c>
      <c r="D55" s="157"/>
      <c r="E55" s="5"/>
      <c r="F55" s="180"/>
      <c r="G55" s="180"/>
      <c r="H55" s="5"/>
      <c r="I55" s="5"/>
      <c r="J55" s="5"/>
      <c r="K55" s="5"/>
      <c r="L55" s="5"/>
      <c r="M55" s="5"/>
      <c r="N55" s="5"/>
    </row>
    <row r="56">
      <c r="A56" s="1"/>
      <c r="B56" s="12"/>
      <c r="C56" s="181"/>
      <c r="D56" s="157"/>
      <c r="E56" s="127" t="s">
        <v>51</v>
      </c>
      <c r="F56" s="128" t="s">
        <v>67</v>
      </c>
      <c r="G56" s="128" t="s">
        <v>52</v>
      </c>
      <c r="H56" s="182" t="s">
        <v>22</v>
      </c>
      <c r="I56" s="128"/>
      <c r="J56" s="131" t="s">
        <v>27</v>
      </c>
      <c r="L56" s="5"/>
      <c r="M56" s="5"/>
      <c r="N56" s="5"/>
    </row>
    <row r="57">
      <c r="A57" s="1"/>
      <c r="B57" s="12" t="s">
        <v>68</v>
      </c>
      <c r="C57" s="183">
        <v>-0.02</v>
      </c>
      <c r="D57" s="157"/>
      <c r="E57" s="132"/>
      <c r="F57" s="133"/>
      <c r="G57" s="133"/>
      <c r="H57" s="134"/>
      <c r="I57" s="135"/>
      <c r="J57" s="50"/>
      <c r="L57" s="5"/>
      <c r="M57" s="5"/>
      <c r="N57" s="5"/>
    </row>
    <row r="58">
      <c r="A58" s="184"/>
      <c r="B58" s="12" t="s">
        <v>69</v>
      </c>
      <c r="C58" s="185">
        <f>(J20/J4)</f>
        <v>0.2253839743</v>
      </c>
      <c r="D58" s="38"/>
      <c r="E58" s="124">
        <v>2033.0</v>
      </c>
      <c r="F58" s="186">
        <f>F54*C59</f>
        <v>19928.02277</v>
      </c>
      <c r="G58" s="187">
        <f t="shared" ref="G58:H58" si="12">G54</f>
        <v>0.2</v>
      </c>
      <c r="H58" s="188">
        <f t="shared" si="12"/>
        <v>24389.53126</v>
      </c>
      <c r="I58" s="189"/>
      <c r="J58" s="190">
        <f>K58*J23</f>
        <v>764.1600753</v>
      </c>
      <c r="K58" s="191">
        <f>((J23-G23)/G23 + 1)</f>
        <v>1.199623352</v>
      </c>
      <c r="L58" s="5"/>
      <c r="M58" s="5"/>
      <c r="N58" s="5"/>
    </row>
    <row r="59">
      <c r="A59" s="184"/>
      <c r="B59" s="12" t="s">
        <v>70</v>
      </c>
      <c r="C59" s="192">
        <f>C58*(1+C57)^10</f>
        <v>0.1841551165</v>
      </c>
      <c r="D59" s="38"/>
      <c r="E59" s="124">
        <v>2034.0</v>
      </c>
      <c r="F59" s="145">
        <f t="shared" ref="F59:F68" si="13">F58*(1+G59)</f>
        <v>23714.34709</v>
      </c>
      <c r="G59" s="163">
        <f>G58-(G58-G68) / 10</f>
        <v>0.19</v>
      </c>
      <c r="H59" s="147">
        <f t="shared" ref="H59:H68" si="14">H58*(1+G59)</f>
        <v>29023.5422</v>
      </c>
      <c r="I59" s="164"/>
      <c r="J59" s="165">
        <f t="shared" ref="J59:J62" si="15">K59*J58</f>
        <v>870.8690576</v>
      </c>
      <c r="K59" s="191">
        <f t="shared" ref="K59:K61" si="16">K58*0.95</f>
        <v>1.139642185</v>
      </c>
      <c r="L59" s="5"/>
      <c r="M59" s="5"/>
      <c r="N59" s="5"/>
    </row>
    <row r="60">
      <c r="A60" s="184"/>
      <c r="B60" s="12" t="s">
        <v>71</v>
      </c>
      <c r="C60" s="193">
        <f t="array" ref="C60">NPV(C39, F58:F68)</f>
        <v>313475.1313</v>
      </c>
      <c r="D60" s="38"/>
      <c r="E60" s="124">
        <v>2035.0</v>
      </c>
      <c r="F60" s="145">
        <f t="shared" si="13"/>
        <v>27982.92957</v>
      </c>
      <c r="G60" s="163">
        <f>G59-(G58-G68) / 10</f>
        <v>0.18</v>
      </c>
      <c r="H60" s="147">
        <f t="shared" si="14"/>
        <v>34247.7798</v>
      </c>
      <c r="I60" s="164"/>
      <c r="J60" s="149">
        <f t="shared" si="15"/>
        <v>942.8551595</v>
      </c>
      <c r="K60" s="191">
        <f t="shared" si="16"/>
        <v>1.082660075</v>
      </c>
      <c r="L60" s="5"/>
      <c r="M60" s="5"/>
      <c r="N60" s="5"/>
    </row>
    <row r="61">
      <c r="A61" s="184"/>
      <c r="B61" s="12" t="s">
        <v>65</v>
      </c>
      <c r="C61" s="194">
        <f>C60/J68</f>
        <v>281.4110727</v>
      </c>
      <c r="D61" s="38"/>
      <c r="E61" s="124">
        <v>2036.0</v>
      </c>
      <c r="F61" s="145">
        <f t="shared" si="13"/>
        <v>32740.0276</v>
      </c>
      <c r="G61" s="163">
        <f>G60-(G58-G68) / 10</f>
        <v>0.17</v>
      </c>
      <c r="H61" s="147">
        <f t="shared" si="14"/>
        <v>40069.90236</v>
      </c>
      <c r="I61" s="164"/>
      <c r="J61" s="165">
        <f t="shared" si="15"/>
        <v>969.7520561</v>
      </c>
      <c r="K61" s="191">
        <f t="shared" si="16"/>
        <v>1.028527072</v>
      </c>
      <c r="L61" s="5"/>
      <c r="M61" s="5"/>
      <c r="N61" s="5"/>
    </row>
    <row r="62">
      <c r="A62" s="1"/>
      <c r="B62" s="12" t="s">
        <v>66</v>
      </c>
      <c r="C62" s="195">
        <f>(C61/C25)^(1/10)-1</f>
        <v>0.08444713864</v>
      </c>
      <c r="D62" s="23"/>
      <c r="E62" s="124">
        <v>2037.0</v>
      </c>
      <c r="F62" s="145">
        <f t="shared" si="13"/>
        <v>37978.43201</v>
      </c>
      <c r="G62" s="163">
        <f>G61-(G58-G68) / 10</f>
        <v>0.16</v>
      </c>
      <c r="H62" s="147">
        <f t="shared" si="14"/>
        <v>46481.08674</v>
      </c>
      <c r="I62" s="164"/>
      <c r="J62" s="149">
        <f t="shared" si="15"/>
        <v>989.1470972</v>
      </c>
      <c r="K62" s="196">
        <v>1.02</v>
      </c>
      <c r="L62" s="5"/>
      <c r="M62" s="5"/>
      <c r="N62" s="5"/>
    </row>
    <row r="63">
      <c r="A63" s="1"/>
      <c r="B63" s="12"/>
      <c r="C63" s="23"/>
      <c r="D63" s="23"/>
      <c r="E63" s="124">
        <v>2038.0</v>
      </c>
      <c r="F63" s="145">
        <f t="shared" si="13"/>
        <v>43675.19681</v>
      </c>
      <c r="G63" s="163">
        <f>G62-(G58-G68) / 10</f>
        <v>0.15</v>
      </c>
      <c r="H63" s="147">
        <f t="shared" si="14"/>
        <v>53453.24975</v>
      </c>
      <c r="I63" s="164"/>
      <c r="J63" s="165">
        <f>K62*J62</f>
        <v>1008.930039</v>
      </c>
      <c r="L63" s="5"/>
      <c r="M63" s="5"/>
      <c r="N63" s="5"/>
    </row>
    <row r="64">
      <c r="A64" s="1"/>
      <c r="B64" s="12"/>
      <c r="C64" s="197"/>
      <c r="D64" s="23"/>
      <c r="E64" s="124">
        <v>2039.0</v>
      </c>
      <c r="F64" s="145">
        <f t="shared" si="13"/>
        <v>49789.72437</v>
      </c>
      <c r="G64" s="163">
        <f>G63-(G58-G68) / 10</f>
        <v>0.14</v>
      </c>
      <c r="H64" s="147">
        <f t="shared" si="14"/>
        <v>60936.70472</v>
      </c>
      <c r="I64" s="164"/>
      <c r="J64" s="165">
        <f>K62*J63</f>
        <v>1029.10864</v>
      </c>
      <c r="L64" s="5"/>
      <c r="M64" s="5"/>
      <c r="N64" s="5"/>
    </row>
    <row r="65">
      <c r="A65" s="1"/>
      <c r="B65" s="23"/>
      <c r="C65" s="23"/>
      <c r="D65" s="23"/>
      <c r="E65" s="124">
        <v>2040.0</v>
      </c>
      <c r="F65" s="145">
        <f t="shared" si="13"/>
        <v>56262.38853</v>
      </c>
      <c r="G65" s="163">
        <f>G64-(G58-G68) / 10</f>
        <v>0.13</v>
      </c>
      <c r="H65" s="147">
        <f t="shared" si="14"/>
        <v>68858.47633</v>
      </c>
      <c r="I65" s="164"/>
      <c r="J65" s="165">
        <f>K62*J64</f>
        <v>1049.690813</v>
      </c>
      <c r="L65" s="5"/>
      <c r="M65" s="5"/>
      <c r="N65" s="5"/>
    </row>
    <row r="66">
      <c r="A66" s="1"/>
      <c r="B66" s="23"/>
      <c r="C66" s="23"/>
      <c r="D66" s="23"/>
      <c r="E66" s="124">
        <v>2041.0</v>
      </c>
      <c r="F66" s="145">
        <f t="shared" si="13"/>
        <v>63013.87516</v>
      </c>
      <c r="G66" s="163">
        <f>G65-(G58-G68) / 10</f>
        <v>0.12</v>
      </c>
      <c r="H66" s="147">
        <f t="shared" si="14"/>
        <v>77121.49349</v>
      </c>
      <c r="I66" s="164"/>
      <c r="J66" s="165">
        <f>K62*J65</f>
        <v>1070.684629</v>
      </c>
      <c r="L66" s="5"/>
      <c r="M66" s="5"/>
      <c r="N66" s="5"/>
    </row>
    <row r="67">
      <c r="A67" s="1"/>
      <c r="B67" s="23"/>
      <c r="C67" s="23"/>
      <c r="D67" s="23"/>
      <c r="E67" s="124">
        <v>2042.0</v>
      </c>
      <c r="F67" s="145">
        <f t="shared" si="13"/>
        <v>69945.40142</v>
      </c>
      <c r="G67" s="163">
        <f>G66-(G58-G68) / 10</f>
        <v>0.11</v>
      </c>
      <c r="H67" s="147">
        <f t="shared" si="14"/>
        <v>85604.85777</v>
      </c>
      <c r="I67" s="164"/>
      <c r="J67" s="165">
        <f>K62*J66</f>
        <v>1092.098322</v>
      </c>
      <c r="L67" s="5"/>
      <c r="M67" s="5"/>
      <c r="N67" s="5"/>
    </row>
    <row r="68">
      <c r="A68" s="184"/>
      <c r="B68" s="38"/>
      <c r="C68" s="38"/>
      <c r="D68" s="23"/>
      <c r="E68" s="124">
        <v>2043.0</v>
      </c>
      <c r="F68" s="174">
        <f t="shared" si="13"/>
        <v>76939.94157</v>
      </c>
      <c r="G68" s="175">
        <f>C52</f>
        <v>0.1</v>
      </c>
      <c r="H68" s="176">
        <f t="shared" si="14"/>
        <v>94165.34355</v>
      </c>
      <c r="I68" s="177"/>
      <c r="J68" s="178">
        <f>K62*J67</f>
        <v>1113.940288</v>
      </c>
      <c r="K68" s="5"/>
      <c r="L68" s="5"/>
      <c r="M68" s="5"/>
      <c r="N68" s="5"/>
    </row>
    <row r="69">
      <c r="A69" s="184"/>
      <c r="B69" s="38"/>
      <c r="C69" s="38"/>
      <c r="D69" s="23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3"/>
      <c r="D70" s="23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3"/>
      <c r="D71" s="23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hyperlinks>
    <hyperlink r:id="rId1" ref="C23"/>
  </hyperlinks>
  <printOptions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98"/>
      <c r="B3" s="199" t="s">
        <v>72</v>
      </c>
    </row>
    <row r="4">
      <c r="A4" s="200"/>
      <c r="B4" s="200"/>
      <c r="C4" s="200"/>
    </row>
    <row r="5">
      <c r="A5" s="201"/>
      <c r="B5" s="201" t="s">
        <v>73</v>
      </c>
    </row>
    <row r="6">
      <c r="A6" s="201"/>
      <c r="B6" s="202" t="s">
        <v>74</v>
      </c>
      <c r="C6" s="201"/>
      <c r="D6" s="201"/>
      <c r="E6" s="201"/>
    </row>
    <row r="7">
      <c r="A7" s="203"/>
      <c r="B7" s="204" t="s">
        <v>75</v>
      </c>
    </row>
    <row r="8">
      <c r="A8" s="203"/>
      <c r="B8" s="204" t="s">
        <v>76</v>
      </c>
    </row>
    <row r="9">
      <c r="A9" s="201"/>
      <c r="B9" s="204" t="s">
        <v>77</v>
      </c>
    </row>
    <row r="10">
      <c r="A10" s="201"/>
      <c r="B10" s="204" t="s">
        <v>78</v>
      </c>
    </row>
    <row r="11">
      <c r="A11" s="201"/>
      <c r="B11" s="204" t="s">
        <v>79</v>
      </c>
    </row>
    <row r="12">
      <c r="A12" s="201"/>
      <c r="B12" s="204" t="s">
        <v>80</v>
      </c>
    </row>
    <row r="13">
      <c r="A13" s="203"/>
      <c r="B13" s="203"/>
      <c r="C13" s="203"/>
      <c r="D13" s="203"/>
      <c r="E13" s="203"/>
    </row>
    <row r="14">
      <c r="A14" s="203"/>
      <c r="B14" s="203"/>
      <c r="C14" s="203"/>
      <c r="D14" s="203"/>
      <c r="E14" s="203"/>
    </row>
    <row r="15">
      <c r="A15" s="203"/>
      <c r="B15" s="203"/>
      <c r="C15" s="203"/>
      <c r="D15" s="203"/>
      <c r="E15" s="203"/>
    </row>
    <row r="16">
      <c r="A16" s="203"/>
      <c r="B16" s="203"/>
      <c r="C16" s="203"/>
      <c r="D16" s="203"/>
      <c r="E16" s="203"/>
    </row>
    <row r="17">
      <c r="A17" s="203"/>
      <c r="B17" s="203"/>
      <c r="C17" s="203"/>
      <c r="D17" s="203"/>
      <c r="E17" s="203"/>
    </row>
    <row r="18">
      <c r="A18" s="203"/>
      <c r="B18" s="203"/>
      <c r="C18" s="203"/>
      <c r="D18" s="203"/>
      <c r="E18" s="203"/>
    </row>
    <row r="19">
      <c r="A19" s="205"/>
      <c r="B19" s="203"/>
      <c r="C19" s="203"/>
      <c r="D19" s="203"/>
      <c r="E19" s="203"/>
    </row>
    <row r="20">
      <c r="A20" s="205"/>
      <c r="B20" s="203"/>
      <c r="C20" s="203"/>
      <c r="D20" s="203"/>
      <c r="E20" s="203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