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  <sheet state="visible" name="Q Bank" sheetId="2" r:id="rId5"/>
  </sheets>
  <definedNames/>
  <calcPr/>
</workbook>
</file>

<file path=xl/sharedStrings.xml><?xml version="1.0" encoding="utf-8"?>
<sst xmlns="http://schemas.openxmlformats.org/spreadsheetml/2006/main" count="109" uniqueCount="92">
  <si>
    <t>PDD Holdings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</si>
  <si>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</si>
  <si>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Y19</t>
  </si>
  <si>
    <t>Y20</t>
  </si>
  <si>
    <t>Y21</t>
  </si>
  <si>
    <t>Y22</t>
  </si>
  <si>
    <t>Y23</t>
  </si>
  <si>
    <t>Y24</t>
  </si>
  <si>
    <t>PDD Holdings, formerly Pinduoduo Inc, was incorporated in 2015 in Dublin Ireland. Pinduoduo operates an e-commerce platform that offers products spanning a wide variety of categories and Temu a global online marketplace.</t>
  </si>
  <si>
    <t>Revenue</t>
  </si>
  <si>
    <t>Revenue Growth</t>
  </si>
  <si>
    <t>Cost of Revenue (COGS)</t>
  </si>
  <si>
    <t>Profit Margin</t>
  </si>
  <si>
    <t>Gross Profit</t>
  </si>
  <si>
    <t>Gross Profit Growth</t>
  </si>
  <si>
    <t>SG&amp;A</t>
  </si>
  <si>
    <t>Research &amp; Development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</si>
  <si>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</si>
  <si>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</si>
  <si>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</si>
  <si>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</si>
  <si>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</si>
  <si>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</si>
  <si>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</si>
  <si>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</si>
  <si>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</si>
  <si>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</si>
  <si>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</si>
  <si>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PDD</t>
  </si>
  <si>
    <t>10-K SEC Filing</t>
  </si>
  <si>
    <t>Shares</t>
  </si>
  <si>
    <t>in CNY (7:1, CNY:USD)</t>
  </si>
  <si>
    <t>Share Price</t>
  </si>
  <si>
    <t>Total Debt</t>
  </si>
  <si>
    <t>Market Cap (Actual)</t>
  </si>
  <si>
    <t>Shareholder Equity</t>
  </si>
  <si>
    <t>Market Cap (Estimate)</t>
  </si>
  <si>
    <t>Capital Lease Obligations</t>
  </si>
  <si>
    <t>ROIC</t>
  </si>
  <si>
    <t>Cash and Cash Equivalents</t>
  </si>
  <si>
    <t>EV</t>
  </si>
  <si>
    <t>Working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</si>
  <si>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</si>
  <si>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</si>
  <si>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</si>
  <si>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</si>
  <si>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</si>
  <si>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</si>
  <si>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</si>
  <si>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</si>
  <si>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</si>
  <si>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</si>
  <si>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</si>
  <si>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</si>
  <si>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</si>
  <si>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</si>
  <si>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</si>
  <si>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</si>
  <si>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</si>
  <si>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</si>
  <si>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</si>
  <si>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</si>
  <si>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</si>
  <si>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</si>
  <si>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</si>
  <si>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</si>
  <si>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</si>
  <si>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</si>
  <si>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</si>
  <si>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</si>
  <si>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</si>
  <si>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</si>
  <si>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</si>
  <si>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</si>
  <si>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</si>
  <si>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</si>
  <si>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</si>
  <si>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</si>
  <si>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In the above cash flow regression (coined CFR), revenue is projected out T+20, and the NPV is taken for year T+10 using a discounted net income margin. We then calculate the compounded rate of return using the current NPV and NPV at T+10.</t>
  </si>
  <si>
    <t>Discounted NI</t>
  </si>
  <si>
    <t>Disc. FCF</t>
  </si>
  <si>
    <t>Visualizations</t>
  </si>
  <si>
    <t>Questions</t>
  </si>
  <si>
    <t>&gt;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</si>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</sst>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0.00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/>
    <font>
      <i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6EEE3"/>
        <bgColor rgb="FFF6EE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CFAFA"/>
        <bgColor rgb="FFFCFAFA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164" xfId="0" applyFont="1" applyNumberFormat="1"/>
    <xf borderId="0" fillId="2" fontId="1" numFmtId="0" xfId="0" applyFont="1"/>
    <xf borderId="1" fillId="3" fontId="2" numFmtId="0" xfId="0" applyAlignment="1" applyBorder="1" applyFill="1" applyFont="1">
      <alignment readingOrder="0"/>
    </xf>
    <xf borderId="2" fillId="3" fontId="3" numFmtId="164" xfId="0" applyAlignment="1" applyBorder="1" applyFont="1" applyNumberFormat="1">
      <alignment readingOrder="0"/>
    </xf>
    <xf borderId="0" fillId="2" fontId="3" numFmtId="0" xfId="0" applyFont="1"/>
    <xf borderId="1" fillId="4" fontId="4" numFmtId="0" xfId="0" applyAlignment="1" applyBorder="1" applyFill="1" applyFont="1">
      <alignment readingOrder="0"/>
    </xf>
    <xf borderId="3" fillId="4" fontId="2" numFmtId="0" xfId="0" applyAlignment="1" applyBorder="1" applyFont="1">
      <alignment horizontal="right" readingOrder="0" vertical="bottom"/>
    </xf>
    <xf borderId="2" fillId="4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4" fillId="5" fontId="3" numFmtId="0" xfId="0" applyAlignment="1" applyBorder="1" applyFill="1" applyFont="1">
      <alignment readingOrder="0" shrinkToFit="0" vertical="top" wrapText="1"/>
    </xf>
    <xf borderId="5" fillId="0" fontId="5" numFmtId="0" xfId="0" applyBorder="1" applyFont="1"/>
    <xf borderId="0" fillId="2" fontId="3" numFmtId="165" xfId="0" applyAlignment="1" applyFont="1" applyNumberFormat="1">
      <alignment readingOrder="0"/>
    </xf>
    <xf borderId="4" fillId="6" fontId="3" numFmtId="3" xfId="0" applyAlignment="1" applyBorder="1" applyFill="1" applyFont="1" applyNumberFormat="1">
      <alignment readingOrder="0"/>
    </xf>
    <xf borderId="6" fillId="6" fontId="3" numFmtId="3" xfId="0" applyAlignment="1" applyBorder="1" applyFont="1" applyNumberFormat="1">
      <alignment readingOrder="0"/>
    </xf>
    <xf borderId="5" fillId="6" fontId="3" numFmtId="3" xfId="0" applyAlignment="1" applyBorder="1" applyFont="1" applyNumberFormat="1">
      <alignment readingOrder="0"/>
    </xf>
    <xf borderId="7" fillId="0" fontId="5" numFmtId="0" xfId="0" applyBorder="1" applyFont="1"/>
    <xf borderId="8" fillId="0" fontId="5" numFmtId="0" xfId="0" applyBorder="1" applyFont="1"/>
    <xf borderId="0" fillId="2" fontId="2" numFmtId="0" xfId="0" applyAlignment="1" applyFont="1">
      <alignment readingOrder="0" vertical="bottom"/>
    </xf>
    <xf borderId="7" fillId="6" fontId="3" numFmtId="10" xfId="0" applyAlignment="1" applyBorder="1" applyFont="1" applyNumberFormat="1">
      <alignment readingOrder="0"/>
    </xf>
    <xf borderId="0" fillId="6" fontId="3" numFmtId="10" xfId="0" applyAlignment="1" applyFont="1" applyNumberFormat="1">
      <alignment readingOrder="0"/>
    </xf>
    <xf borderId="8" fillId="6" fontId="3" numFmtId="10" xfId="0" applyAlignment="1" applyBorder="1" applyFont="1" applyNumberFormat="1">
      <alignment readingOrder="0"/>
    </xf>
    <xf borderId="7" fillId="6" fontId="3" numFmtId="4" xfId="0" applyAlignment="1" applyBorder="1" applyFont="1" applyNumberFormat="1">
      <alignment readingOrder="0"/>
    </xf>
    <xf borderId="0" fillId="6" fontId="3" numFmtId="3" xfId="0" applyAlignment="1" applyFont="1" applyNumberFormat="1">
      <alignment readingOrder="0"/>
    </xf>
    <xf borderId="8" fillId="6" fontId="3" numFmtId="3" xfId="0" applyAlignment="1" applyBorder="1" applyFont="1" applyNumberFormat="1">
      <alignment readingOrder="0"/>
    </xf>
    <xf borderId="0" fillId="2" fontId="3" numFmtId="3" xfId="0" applyAlignment="1" applyFont="1" applyNumberFormat="1">
      <alignment readingOrder="0"/>
    </xf>
    <xf borderId="7" fillId="6" fontId="3" numFmtId="166" xfId="0" applyBorder="1" applyFont="1" applyNumberFormat="1"/>
    <xf borderId="0" fillId="6" fontId="3" numFmtId="166" xfId="0" applyFont="1" applyNumberFormat="1"/>
    <xf borderId="8" fillId="6" fontId="3" numFmtId="166" xfId="0" applyBorder="1" applyFont="1" applyNumberFormat="1"/>
    <xf borderId="0" fillId="2" fontId="3" numFmtId="10" xfId="0" applyFont="1" applyNumberFormat="1"/>
    <xf borderId="7" fillId="6" fontId="3" numFmtId="0" xfId="0" applyBorder="1" applyFont="1"/>
    <xf borderId="0" fillId="6" fontId="3" numFmtId="3" xfId="0" applyFont="1" applyNumberFormat="1"/>
    <xf borderId="8" fillId="6" fontId="3" numFmtId="3" xfId="0" applyBorder="1" applyFont="1" applyNumberFormat="1"/>
    <xf borderId="7" fillId="6" fontId="3" numFmtId="166" xfId="0" applyAlignment="1" applyBorder="1" applyFont="1" applyNumberFormat="1">
      <alignment readingOrder="0"/>
    </xf>
    <xf borderId="0" fillId="6" fontId="3" numFmtId="166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1"/>
    </xf>
    <xf borderId="7" fillId="6" fontId="3" numFmtId="4" xfId="0" applyAlignment="1" applyBorder="1" applyFont="1" applyNumberFormat="1">
      <alignment horizontal="right" readingOrder="0"/>
    </xf>
    <xf borderId="0" fillId="6" fontId="3" numFmtId="3" xfId="0" applyAlignment="1" applyFont="1" applyNumberFormat="1">
      <alignment horizontal="right" readingOrder="0"/>
    </xf>
    <xf borderId="0" fillId="6" fontId="3" numFmtId="3" xfId="0" applyAlignment="1" applyFont="1" applyNumberFormat="1">
      <alignment readingOrder="0" shrinkToFit="0" vertical="top" wrapText="1"/>
    </xf>
    <xf borderId="8" fillId="6" fontId="3" numFmtId="3" xfId="0" applyAlignment="1" applyBorder="1" applyFont="1" applyNumberFormat="1">
      <alignment readingOrder="0" shrinkToFit="0" vertical="top" wrapText="1"/>
    </xf>
    <xf borderId="0" fillId="2" fontId="3" numFmtId="4" xfId="0" applyFont="1" applyNumberFormat="1"/>
    <xf borderId="0" fillId="2" fontId="3" numFmtId="0" xfId="0" applyAlignment="1" applyFont="1">
      <alignment horizontal="right"/>
    </xf>
    <xf borderId="0" fillId="2" fontId="2" numFmtId="0" xfId="0" applyAlignment="1" applyFont="1">
      <alignment shrinkToFit="0" vertical="bottom" wrapText="1"/>
    </xf>
    <xf borderId="7" fillId="6" fontId="3" numFmtId="0" xfId="0" applyAlignment="1" applyBorder="1" applyFont="1">
      <alignment horizontal="right" readingOrder="0"/>
    </xf>
    <xf borderId="8" fillId="6" fontId="3" numFmtId="3" xfId="0" applyAlignment="1" applyBorder="1" applyFont="1" applyNumberFormat="1">
      <alignment horizontal="right" readingOrder="0"/>
    </xf>
    <xf borderId="0" fillId="2" fontId="3" numFmtId="4" xfId="0" applyAlignment="1" applyFont="1" applyNumberFormat="1">
      <alignment readingOrder="0"/>
    </xf>
    <xf borderId="0" fillId="2" fontId="3" numFmtId="2" xfId="0" applyAlignment="1" applyFont="1" applyNumberFormat="1">
      <alignment horizontal="right" readingOrder="0"/>
    </xf>
    <xf borderId="7" fillId="6" fontId="3" numFmtId="3" xfId="0" applyAlignment="1" applyBorder="1" applyFont="1" applyNumberFormat="1">
      <alignment readingOrder="0"/>
    </xf>
    <xf borderId="0" fillId="2" fontId="3" numFmtId="10" xfId="0" applyAlignment="1" applyFont="1" applyNumberFormat="1">
      <alignment readingOrder="0"/>
    </xf>
    <xf borderId="0" fillId="2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3" numFmtId="2" xfId="0" applyFont="1" applyNumberFormat="1"/>
    <xf borderId="7" fillId="6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9" fillId="0" fontId="5" numFmtId="0" xfId="0" applyBorder="1" applyFont="1"/>
    <xf borderId="10" fillId="0" fontId="5" numFmtId="0" xfId="0" applyBorder="1" applyFont="1"/>
    <xf borderId="7" fillId="6" fontId="3" numFmtId="0" xfId="0" applyAlignment="1" applyBorder="1" applyFont="1">
      <alignment readingOrder="0"/>
    </xf>
    <xf borderId="0" fillId="6" fontId="3" numFmtId="9" xfId="0" applyFont="1" applyNumberFormat="1"/>
    <xf borderId="8" fillId="6" fontId="3" numFmtId="9" xfId="0" applyBorder="1" applyFont="1" applyNumberFormat="1"/>
    <xf borderId="0" fillId="2" fontId="3" numFmtId="0" xfId="0" applyFont="1"/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2" fillId="3" fontId="3" numFmtId="0" xfId="0" applyAlignment="1" applyBorder="1" applyFont="1">
      <alignment horizontal="right" readingOrder="0"/>
    </xf>
    <xf borderId="9" fillId="6" fontId="3" numFmtId="4" xfId="0" applyAlignment="1" applyBorder="1" applyFont="1" applyNumberFormat="1">
      <alignment readingOrder="0"/>
    </xf>
    <xf borderId="11" fillId="6" fontId="3" numFmtId="3" xfId="0" applyAlignment="1" applyBorder="1" applyFont="1" applyNumberFormat="1">
      <alignment readingOrder="0"/>
    </xf>
    <xf borderId="10" fillId="6" fontId="3" numFmtId="3" xfId="0" applyAlignment="1" applyBorder="1" applyFont="1" applyNumberFormat="1">
      <alignment readingOrder="0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horizontal="right" readingOrder="0"/>
    </xf>
    <xf borderId="12" fillId="7" fontId="2" numFmtId="165" xfId="0" applyAlignment="1" applyBorder="1" applyFill="1" applyFont="1" applyNumberFormat="1">
      <alignment readingOrder="0" vertical="bottom"/>
    </xf>
    <xf borderId="4" fillId="8" fontId="3" numFmtId="4" xfId="0" applyAlignment="1" applyBorder="1" applyFill="1" applyFont="1" applyNumberFormat="1">
      <alignment horizontal="right" readingOrder="0"/>
    </xf>
    <xf borderId="6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5" fillId="8" fontId="3" numFmtId="3" xfId="0" applyAlignment="1" applyBorder="1" applyFont="1" applyNumberFormat="1">
      <alignment readingOrder="0"/>
    </xf>
    <xf borderId="13" fillId="7" fontId="3" numFmtId="165" xfId="0" applyAlignment="1" applyBorder="1" applyFont="1" applyNumberFormat="1">
      <alignment readingOrder="0" vertical="bottom"/>
    </xf>
    <xf borderId="7" fillId="8" fontId="3" numFmtId="4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 vertical="bottom"/>
    </xf>
    <xf borderId="0" fillId="8" fontId="3" numFmtId="3" xfId="0" applyAlignment="1" applyFont="1" applyNumberFormat="1">
      <alignment readingOrder="0"/>
    </xf>
    <xf borderId="8" fillId="8" fontId="3" numFmtId="3" xfId="0" applyAlignment="1" applyBorder="1" applyFont="1" applyNumberFormat="1">
      <alignment readingOrder="0"/>
    </xf>
    <xf borderId="13" fillId="7" fontId="2" numFmtId="10" xfId="0" applyAlignment="1" applyBorder="1" applyFont="1" applyNumberFormat="1">
      <alignment readingOrder="0" vertical="bottom"/>
    </xf>
    <xf borderId="9" fillId="8" fontId="3" numFmtId="4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vertical="bottom"/>
    </xf>
    <xf borderId="13" fillId="7" fontId="3" numFmtId="4" xfId="0" applyAlignment="1" applyBorder="1" applyFont="1" applyNumberFormat="1">
      <alignment readingOrder="0" vertical="bottom"/>
    </xf>
    <xf borderId="4" fillId="9" fontId="3" numFmtId="2" xfId="0" applyAlignment="1" applyBorder="1" applyFill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 vertical="bottom"/>
    </xf>
    <xf borderId="6" fillId="9" fontId="3" numFmtId="3" xfId="0" applyAlignment="1" applyBorder="1" applyFont="1" applyNumberFormat="1">
      <alignment readingOrder="0"/>
    </xf>
    <xf borderId="5" fillId="9" fontId="3" numFmtId="3" xfId="0" applyAlignment="1" applyBorder="1" applyFont="1" applyNumberFormat="1">
      <alignment readingOrder="0"/>
    </xf>
    <xf borderId="0" fillId="2" fontId="2" numFmtId="0" xfId="0" applyAlignment="1" applyFont="1">
      <alignment shrinkToFit="0" vertical="bottom" wrapText="1"/>
    </xf>
    <xf borderId="13" fillId="7" fontId="3" numFmtId="4" xfId="0" applyAlignment="1" applyBorder="1" applyFont="1" applyNumberForma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7" fillId="9" fontId="3" numFmtId="2" xfId="0" applyAlignment="1" applyBorder="1" applyFont="1" applyNumberFormat="1">
      <alignment horizontal="right" readingOrder="0"/>
    </xf>
    <xf borderId="0" fillId="9" fontId="3" numFmtId="3" xfId="0" applyAlignment="1" applyFont="1" applyNumberFormat="1">
      <alignment horizontal="right" readingOrder="0" vertical="bottom"/>
    </xf>
    <xf borderId="0" fillId="9" fontId="3" numFmtId="3" xfId="0" applyAlignment="1" applyFont="1" applyNumberFormat="1">
      <alignment horizontal="right" readingOrder="0"/>
    </xf>
    <xf borderId="0" fillId="9" fontId="3" numFmtId="3" xfId="0" applyAlignment="1" applyFont="1" applyNumberFormat="1">
      <alignment readingOrder="0"/>
    </xf>
    <xf borderId="8" fillId="9" fontId="3" numFmtId="3" xfId="0" applyAlignment="1" applyBorder="1" applyFont="1" applyNumberFormat="1">
      <alignment readingOrder="0"/>
    </xf>
    <xf borderId="14" fillId="7" fontId="3" numFmtId="4" xfId="0" applyAlignment="1" applyBorder="1" applyFont="1" applyNumberFormat="1">
      <alignment readingOrder="0" vertical="bottom"/>
    </xf>
    <xf borderId="0" fillId="2" fontId="1" numFmtId="165" xfId="0" applyFont="1" applyNumberFormat="1"/>
    <xf borderId="0" fillId="2" fontId="3" numFmtId="10" xfId="0" applyAlignment="1" applyFont="1" applyNumberFormat="1">
      <alignment vertical="bottom"/>
    </xf>
    <xf borderId="9" fillId="9" fontId="3" numFmtId="2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readingOrder="0"/>
    </xf>
    <xf borderId="10" fillId="9" fontId="3" numFmtId="3" xfId="0" applyAlignment="1" applyBorder="1" applyFont="1" applyNumberFormat="1">
      <alignment readingOrder="0"/>
    </xf>
    <xf borderId="12" fillId="6" fontId="3" numFmtId="10" xfId="0" applyAlignment="1" applyBorder="1" applyFont="1" applyNumberForma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horizontal="right" readingOrder="0"/>
    </xf>
    <xf borderId="13" fillId="6" fontId="3" numFmtId="10" xfId="0" applyAlignment="1" applyBorder="1" applyFont="1" applyNumberFormat="1">
      <alignment readingOrder="0" shrinkToFit="0" vertical="bottom" wrapText="1"/>
    </xf>
    <xf borderId="4" fillId="10" fontId="3" numFmtId="2" xfId="0" applyAlignment="1" applyBorder="1" applyFill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 vertical="bottom"/>
    </xf>
    <xf borderId="6" fillId="10" fontId="3" numFmtId="3" xfId="0" applyAlignment="1" applyBorder="1" applyFont="1" applyNumberFormat="1">
      <alignment readingOrder="0"/>
    </xf>
    <xf borderId="5" fillId="10" fontId="3" numFmtId="3" xfId="0" applyAlignment="1" applyBorder="1" applyFont="1" applyNumberFormat="1">
      <alignment readingOrder="0"/>
    </xf>
    <xf borderId="13" fillId="6" fontId="3" numFmtId="165" xfId="0" applyAlignment="1" applyBorder="1" applyFont="1" applyNumberFormat="1">
      <alignment readingOrder="0" shrinkToFit="0" vertical="bottom" wrapText="1"/>
    </xf>
    <xf borderId="7" fillId="10" fontId="3" numFmtId="2" xfId="0" applyAlignment="1" applyBorder="1" applyFont="1" applyNumberFormat="1">
      <alignment horizontal="right" readingOrder="0"/>
    </xf>
    <xf borderId="0" fillId="10" fontId="3" numFmtId="3" xfId="0" applyAlignment="1" applyFont="1" applyNumberFormat="1">
      <alignment horizontal="right" readingOrder="0"/>
    </xf>
    <xf borderId="0" fillId="10" fontId="3" numFmtId="3" xfId="0" applyAlignment="1" applyFont="1" applyNumberFormat="1">
      <alignment readingOrder="0"/>
    </xf>
    <xf borderId="8" fillId="10" fontId="3" numFmtId="3" xfId="0" applyAlignment="1" applyBorder="1" applyFont="1" applyNumberFormat="1">
      <alignment readingOrder="0"/>
    </xf>
    <xf borderId="13" fillId="6" fontId="3" numFmtId="3" xfId="0" applyAlignment="1" applyBorder="1" applyFont="1" applyNumberFormat="1">
      <alignment readingOrder="0" shrinkToFit="0" vertical="bottom" wrapText="1"/>
    </xf>
    <xf borderId="13" fillId="6" fontId="2" numFmtId="165" xfId="0" applyAlignment="1" applyBorder="1" applyFont="1" applyNumberForma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9" fillId="10" fontId="3" numFmtId="2" xfId="0" applyAlignment="1" applyBorder="1" applyFont="1" applyNumberFormat="1">
      <alignment horizontal="right" readingOrder="0"/>
    </xf>
    <xf borderId="11" fillId="10" fontId="3" numFmtId="3" xfId="0" applyAlignment="1" applyBorder="1" applyFont="1" applyNumberFormat="1">
      <alignment horizontal="right" readingOrder="0"/>
    </xf>
    <xf borderId="10" fillId="10" fontId="3" numFmtId="3" xfId="0" applyAlignment="1" applyBorder="1" applyFont="1" applyNumberFormat="1">
      <alignment readingOrder="0"/>
    </xf>
    <xf borderId="14" fillId="6" fontId="1" numFmtId="10" xfId="0" applyBorder="1" applyFont="1" applyNumberFormat="1"/>
    <xf borderId="0" fillId="2" fontId="3" numFmtId="0" xfId="0" applyAlignment="1" applyFont="1">
      <alignment horizontal="left" readingOrder="0"/>
    </xf>
    <xf borderId="0" fillId="2" fontId="3" numFmtId="49" xfId="0" applyFont="1" applyNumberFormat="1"/>
    <xf borderId="0" fillId="2" fontId="1" numFmtId="10" xfId="0" applyFont="1" applyNumberFormat="1"/>
    <xf borderId="1" fillId="11" fontId="2" numFmtId="0" xfId="0" applyAlignment="1" applyBorder="1" applyFill="1" applyFont="1">
      <alignment horizontal="left" readingOrder="0" vertical="bottom"/>
    </xf>
    <xf borderId="3" fillId="11" fontId="2" numFmtId="0" xfId="0" applyAlignment="1" applyBorder="1" applyFont="1">
      <alignment horizontal="right" readingOrder="0" vertical="bottom"/>
    </xf>
    <xf borderId="3" fillId="11" fontId="2" numFmtId="10" xfId="0" applyAlignment="1" applyBorder="1" applyFont="1" applyNumberFormat="1">
      <alignment horizontal="right" vertical="bottom"/>
    </xf>
    <xf borderId="3" fillId="11" fontId="2" numFmtId="165" xfId="0" applyAlignment="1" applyBorder="1" applyFont="1" applyNumberFormat="1">
      <alignment horizontal="right" vertical="bottom"/>
    </xf>
    <xf borderId="3" fillId="11" fontId="2" numFmtId="0" xfId="0" applyAlignment="1" applyBorder="1" applyFont="1">
      <alignment horizontal="right" readingOrder="0" shrinkToFit="0" vertical="top" wrapText="1"/>
    </xf>
    <xf borderId="2" fillId="11" fontId="2" numFmtId="0" xfId="0" applyAlignment="1" applyBorder="1" applyFont="1">
      <alignment horizontal="right" readingOrder="0" shrinkToFit="0" vertical="top" wrapText="1"/>
    </xf>
    <xf borderId="12" fillId="8" fontId="3" numFmtId="165" xfId="0" applyBorder="1" applyFont="1" applyNumberFormat="1"/>
    <xf borderId="0" fillId="2" fontId="2" numFmtId="0" xfId="0" applyAlignment="1" applyFont="1">
      <alignment horizontal="left" vertical="bottom"/>
    </xf>
    <xf borderId="0" fillId="2" fontId="2" numFmtId="10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readingOrder="0" vertical="bottom"/>
    </xf>
    <xf borderId="14" fillId="8" fontId="3" numFmtId="165" xfId="0" applyBorder="1" applyFont="1" applyNumberFormat="1"/>
    <xf borderId="0" fillId="2" fontId="3" numFmtId="0" xfId="0" applyAlignment="1" applyFont="1">
      <alignment horizontal="left" readingOrder="0" vertical="bottom"/>
    </xf>
    <xf borderId="4" fillId="12" fontId="3" numFmtId="167" xfId="0" applyAlignment="1" applyBorder="1" applyFill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horizontal="right" readingOrder="0" vertical="bottom"/>
    </xf>
    <xf borderId="6" fillId="12" fontId="3" numFmtId="167" xfId="0" applyAlignment="1" applyBorder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readingOrder="0" vertical="bottom"/>
    </xf>
    <xf borderId="6" fillId="12" fontId="3" numFmtId="167" xfId="0" applyAlignment="1" applyBorder="1" applyFont="1" applyNumberFormat="1">
      <alignment readingOrder="0" shrinkToFit="0" vertical="top" wrapText="1"/>
    </xf>
    <xf borderId="5" fillId="12" fontId="3" numFmtId="167" xfId="0" applyAlignment="1" applyBorder="1" applyFont="1" applyNumberFormat="1">
      <alignment readingOrder="0" shrinkToFit="0" vertical="top" wrapText="1"/>
    </xf>
    <xf borderId="7" fillId="12" fontId="3" numFmtId="167" xfId="0" applyAlignment="1" applyBorder="1" applyFont="1" applyNumberFormat="1">
      <alignment horizontal="right" readingOrder="0" vertical="bottom"/>
    </xf>
    <xf borderId="0" fillId="12" fontId="3" numFmtId="10" xfId="0" applyAlignment="1" applyFont="1" applyNumberFormat="1">
      <alignment horizontal="right" readingOrder="0" vertical="bottom"/>
    </xf>
    <xf borderId="0" fillId="12" fontId="3" numFmtId="167" xfId="0" applyAlignment="1" applyFont="1" applyNumberFormat="1">
      <alignment horizontal="right" vertical="bottom"/>
    </xf>
    <xf borderId="0" fillId="12" fontId="3" numFmtId="10" xfId="0" applyAlignment="1" applyFont="1" applyNumberFormat="1">
      <alignment readingOrder="0" vertical="bottom"/>
    </xf>
    <xf borderId="0" fillId="12" fontId="3" numFmtId="167" xfId="0" applyAlignment="1" applyFont="1" applyNumberFormat="1">
      <alignment readingOrder="0" shrinkToFit="0" vertical="top" wrapText="1"/>
    </xf>
    <xf borderId="8" fillId="12" fontId="3" numFmtId="167" xfId="0" applyAlignment="1" applyBorder="1" applyFont="1" applyNumberForma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0" fillId="0" fontId="1" numFmtId="0" xfId="0" applyFont="1"/>
    <xf borderId="12" fillId="9" fontId="3" numFmtId="10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7" fillId="12" fontId="3" numFmtId="167" xfId="0" applyAlignment="1" applyBorder="1" applyFont="1" applyNumberFormat="1">
      <alignment horizontal="right" vertical="bottom"/>
    </xf>
    <xf borderId="0" fillId="12" fontId="3" numFmtId="10" xfId="0" applyAlignment="1" applyFont="1" applyNumberFormat="1">
      <alignment horizontal="right" vertical="bottom"/>
    </xf>
    <xf borderId="13" fillId="9" fontId="3" numFmtId="165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vertical="bottom"/>
    </xf>
    <xf borderId="13" fillId="9" fontId="7" numFmtId="165" xfId="0" applyAlignment="1" applyBorder="1" applyFont="1" applyNumberFormat="1">
      <alignment horizontal="right" readingOrder="0"/>
    </xf>
    <xf borderId="14" fillId="9" fontId="2" numFmtId="10" xfId="0" applyAlignment="1" applyBorder="1" applyFont="1" applyNumberFormat="1">
      <alignment vertical="bottom"/>
    </xf>
    <xf borderId="0" fillId="12" fontId="3" numFmtId="167" xfId="0" applyFont="1" applyNumberFormat="1"/>
    <xf borderId="8" fillId="12" fontId="3" numFmtId="167" xfId="0" applyBorder="1" applyFont="1" applyNumberFormat="1"/>
    <xf borderId="12" fillId="4" fontId="3" numFmtId="9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0" fillId="12" fontId="3" numFmtId="10" xfId="0" applyAlignment="1" applyFont="1" applyNumberFormat="1">
      <alignment vertical="bottom"/>
    </xf>
    <xf borderId="13" fillId="4" fontId="3" numFmtId="10" xfId="0" applyBorder="1" applyFont="1" applyNumberFormat="1"/>
    <xf borderId="13" fillId="4" fontId="3" numFmtId="10" xfId="0" applyAlignment="1" applyBorder="1" applyFont="1" applyNumberFormat="1">
      <alignment readingOrder="0"/>
    </xf>
    <xf borderId="13" fillId="4" fontId="3" numFmtId="165" xfId="0" applyBorder="1" applyFont="1" applyNumberFormat="1"/>
    <xf borderId="13" fillId="4" fontId="1" numFmtId="165" xfId="0" applyBorder="1" applyFont="1" applyNumberFormat="1"/>
    <xf borderId="14" fillId="4" fontId="2" numFmtId="10" xfId="0" applyBorder="1" applyFont="1" applyNumberFormat="1"/>
    <xf borderId="4" fillId="5" fontId="3" numFmtId="0" xfId="0" applyAlignment="1" applyBorder="1" applyFont="1">
      <alignment readingOrder="0" shrinkToFit="0" vertical="center" wrapText="1"/>
    </xf>
    <xf borderId="9" fillId="12" fontId="3" numFmtId="167" xfId="0" applyAlignment="1" applyBorder="1" applyFont="1" applyNumberFormat="1">
      <alignment horizontal="right" readingOrder="0" vertical="bottom"/>
    </xf>
    <xf borderId="11" fillId="12" fontId="3" numFmtId="10" xfId="0" applyAlignment="1" applyBorder="1" applyFont="1" applyNumberFormat="1">
      <alignment horizontal="right" readingOrder="0" vertical="bottom"/>
    </xf>
    <xf borderId="11" fillId="12" fontId="3" numFmtId="167" xfId="0" applyAlignment="1" applyBorder="1" applyFont="1" applyNumberFormat="1">
      <alignment horizontal="right" vertical="bottom"/>
    </xf>
    <xf borderId="11" fillId="12" fontId="3" numFmtId="10" xfId="0" applyAlignment="1" applyBorder="1" applyFont="1" applyNumberFormat="1">
      <alignment vertical="bottom"/>
    </xf>
    <xf borderId="11" fillId="12" fontId="3" numFmtId="167" xfId="0" applyAlignment="1" applyBorder="1" applyFont="1" applyNumberFormat="1">
      <alignment readingOrder="0" shrinkToFit="0" vertical="top" wrapText="1"/>
    </xf>
    <xf borderId="10" fillId="12" fontId="3" numFmtId="167" xfId="0" applyBorder="1" applyFont="1" applyNumberFormat="1"/>
    <xf borderId="0" fillId="2" fontId="3" numFmtId="10" xfId="0" applyAlignment="1" applyFont="1" applyNumberFormat="1">
      <alignment horizontal="right" readingOrder="0" vertical="bottom"/>
    </xf>
    <xf borderId="3" fillId="11" fontId="2" numFmtId="165" xfId="0" applyAlignment="1" applyBorder="1" applyFont="1" applyNumberFormat="1">
      <alignment horizontal="righ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6" fillId="6" fontId="3" numFmtId="10" xfId="0" applyAlignment="1" applyBorder="1" applyFont="1" applyNumberFormat="1">
      <alignment horizontal="right" readingOrder="0" vertical="bottom"/>
    </xf>
    <xf borderId="6" fillId="6" fontId="3" numFmtId="167" xfId="0" applyAlignment="1" applyBorder="1" applyFont="1" applyNumberFormat="1">
      <alignment horizontal="right" vertical="bottom"/>
    </xf>
    <xf borderId="6" fillId="6" fontId="3" numFmtId="167" xfId="0" applyAlignment="1" applyBorder="1" applyFont="1" applyNumberFormat="1">
      <alignment vertical="bottom"/>
    </xf>
    <xf borderId="6" fillId="6" fontId="3" numFmtId="167" xfId="0" applyAlignment="1" applyBorder="1" applyFont="1" applyNumberFormat="1">
      <alignment readingOrder="0" shrinkToFit="0" vertical="top" wrapText="1"/>
    </xf>
    <xf borderId="5" fillId="6" fontId="3" numFmtId="4" xfId="0" applyAlignment="1" applyBorder="1" applyFont="1" applyNumberFormat="1">
      <alignment readingOrder="0" shrinkToFit="0" vertical="top" wrapText="1"/>
    </xf>
    <xf borderId="0" fillId="2" fontId="3" numFmtId="168" xfId="0" applyFont="1" applyNumberFormat="1"/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67" xfId="0" applyAlignment="1" applyFont="1" applyNumberFormat="1">
      <alignment vertical="bottom"/>
    </xf>
    <xf borderId="0" fillId="6" fontId="3" numFmtId="167" xfId="0" applyFont="1" applyNumberFormat="1"/>
    <xf borderId="0" fillId="2" fontId="1" numFmtId="167" xfId="0" applyFont="1" applyNumberFormat="1"/>
    <xf borderId="0" fillId="6" fontId="3" numFmtId="167" xfId="0" applyAlignment="1" applyFont="1" applyNumberFormat="1">
      <alignment readingOrder="0" shrinkToFit="0" vertical="top" wrapText="1"/>
    </xf>
    <xf borderId="0" fillId="2" fontId="2" numFmtId="10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1" fillId="6" fontId="3" numFmtId="10" xfId="0" applyAlignment="1" applyBorder="1" applyFont="1" applyNumberFormat="1">
      <alignment horizontal="right" readingOrder="0" vertical="bottom"/>
    </xf>
    <xf borderId="11" fillId="6" fontId="3" numFmtId="167" xfId="0" applyAlignment="1" applyBorder="1" applyFont="1" applyNumberFormat="1">
      <alignment horizontal="right" vertical="bottom"/>
    </xf>
    <xf borderId="11" fillId="6" fontId="3" numFmtId="167" xfId="0" applyAlignment="1" applyBorder="1" applyFont="1" applyNumberFormat="1">
      <alignment vertical="bottom"/>
    </xf>
    <xf borderId="11" fillId="6" fontId="3" numFmtId="167" xfId="0" applyBorder="1" applyFont="1" applyNumberFormat="1"/>
    <xf borderId="10" fillId="6" fontId="3" numFmtId="3" xfId="0" applyBorder="1" applyFont="1" applyNumberFormat="1"/>
    <xf borderId="0" fillId="2" fontId="3" numFmtId="0" xfId="0" applyAlignment="1" applyFont="1">
      <alignment readingOrder="0"/>
    </xf>
    <xf borderId="1" fillId="3" fontId="2" numFmtId="0" xfId="0" applyAlignment="1" applyBorder="1" applyFont="1">
      <alignment readingOrder="0" vertical="center"/>
    </xf>
    <xf borderId="3" fillId="0" fontId="5" numFmtId="0" xfId="0" applyBorder="1" applyFont="1"/>
    <xf borderId="2" fillId="0" fontId="5" numFmtId="0" xfId="0" applyBorder="1" applyFont="1"/>
    <xf borderId="0" fillId="2" fontId="8" numFmtId="0" xfId="0" applyAlignment="1" applyFont="1">
      <alignment vertical="bottom"/>
    </xf>
    <xf borderId="0" fillId="2" fontId="9" numFmtId="0" xfId="0" applyAlignment="1" applyFont="1">
      <alignment vertical="center"/>
    </xf>
    <xf borderId="1" fillId="3" fontId="10" numFmtId="0" xfId="0" applyAlignment="1" applyBorder="1" applyFont="1">
      <alignment horizontal="left" readingOrder="0"/>
    </xf>
    <xf borderId="3" fillId="3" fontId="8" numFmtId="0" xfId="0" applyAlignment="1" applyBorder="1" applyFont="1">
      <alignment vertical="center"/>
    </xf>
    <xf borderId="2" fillId="3" fontId="8" numFmtId="0" xfId="0" applyAlignment="1" applyBorder="1" applyFont="1">
      <alignment vertical="center"/>
    </xf>
    <xf borderId="0" fillId="2" fontId="9" numFmtId="0" xfId="0" applyAlignment="1" applyFont="1">
      <alignment vertical="bottom"/>
    </xf>
    <xf borderId="0" fillId="2" fontId="9" numFmtId="10" xfId="0" applyAlignment="1" applyFont="1" applyNumberFormat="1">
      <alignment shrinkToFit="0" vertical="bottom" wrapText="1"/>
    </xf>
    <xf borderId="0" fillId="2" fontId="8" numFmtId="0" xfId="0" applyAlignment="1" applyFont="1">
      <alignment readingOrder="0" shrinkToFit="0" vertical="bottom" wrapText="1"/>
    </xf>
    <xf borderId="0" fillId="13" fontId="9" numFmtId="10" xfId="0" applyAlignment="1" applyFill="1" applyFont="1" applyNumberFormat="1">
      <alignment shrinkToFit="0" vertical="bottom" wrapText="0"/>
    </xf>
    <xf borderId="0" fillId="2" fontId="9" numFmtId="10" xfId="0" applyAlignment="1" applyFont="1" applyNumberFormat="1">
      <alignment shrinkToFit="0" vertical="bottom" wrapText="0"/>
    </xf>
    <xf borderId="0" fillId="2" fontId="9" numFmtId="0" xfId="0" applyAlignment="1" applyFont="1">
      <alignment shrinkToFit="0" vertical="bottom" wrapText="1"/>
    </xf>
    <xf borderId="0" fillId="13" fontId="9" numFmtId="0" xfId="0" applyAlignment="1" applyFont="1">
      <alignment shrinkToFit="0" vertical="bottom" wrapText="1"/>
    </xf>
    <xf borderId="0" fillId="2" fontId="9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Valuation!$G$4:$K$4</c:f>
              <c:numCache/>
            </c:numRef>
          </c:val>
          <c:smooth val="1"/>
        </c:ser>
        <c:ser>
          <c:idx val="1"/>
          <c:order val="1"/>
          <c:tx>
            <c:v>Gross Profit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Valuation!$G$8:$K$8</c:f>
              <c:numCache/>
            </c:numRef>
          </c:val>
          <c:smooth val="1"/>
        </c:ser>
        <c:ser>
          <c:idx val="2"/>
          <c:order val="2"/>
          <c:tx>
            <c:v>Net Income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Valuation!$G$20:$K$20</c:f>
              <c:numCache/>
            </c:numRef>
          </c:val>
          <c:smooth val="1"/>
        </c:ser>
        <c:ser>
          <c:idx val="3"/>
          <c:order val="3"/>
          <c:tx>
            <c:v>Free Cash Flow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588489025"/>
        <c:axId val="219104887"/>
      </c:lineChart>
      <c:catAx>
        <c:axId val="588489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9104887"/>
      </c:catAx>
      <c:valAx>
        <c:axId val="219104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8489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 Margin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Valuation!$G$7:$K$7</c:f>
              <c:numCache/>
            </c:numRef>
          </c:val>
          <c:smooth val="1"/>
        </c:ser>
        <c:ser>
          <c:idx val="1"/>
          <c:order val="1"/>
          <c:tx>
            <c:v>Operating Margin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Valuation!$G$15:$K$15</c:f>
              <c:numCache/>
            </c:numRef>
          </c:val>
          <c:smooth val="1"/>
        </c:ser>
        <c:axId val="1864539732"/>
        <c:axId val="819577599"/>
      </c:lineChart>
      <c:catAx>
        <c:axId val="1864539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577599"/>
      </c:catAx>
      <c:valAx>
        <c:axId val="819577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5397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Debt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Valuation!$G$25:$K$25</c:f>
              <c:numCache/>
            </c:numRef>
          </c:val>
          <c:smooth val="1"/>
        </c:ser>
        <c:ser>
          <c:idx val="1"/>
          <c:order val="1"/>
          <c:tx>
            <c:v>Cash and Equivalents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Valuation!$G$28:$K$28</c:f>
              <c:numCache/>
            </c:numRef>
          </c:val>
          <c:smooth val="1"/>
        </c:ser>
        <c:ser>
          <c:idx val="2"/>
          <c:order val="2"/>
          <c:tx>
            <c:v>Outstanding Shares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Valuation!$G$23:$K$23</c:f>
              <c:numCache/>
            </c:numRef>
          </c:val>
          <c:smooth val="1"/>
        </c:ser>
        <c:axId val="1599246879"/>
        <c:axId val="129555369"/>
      </c:lineChart>
      <c:catAx>
        <c:axId val="1599246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555369"/>
      </c:catAx>
      <c:valAx>
        <c:axId val="129555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92468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Cash Flows</a:t>
            </a:r>
          </a:p>
        </c:rich>
      </c:tx>
      <c:overlay val="0"/>
    </c:title>
    <c:plotArea>
      <c:layout/>
      <c:lineChart>
        <c:ser>
          <c:idx val="0"/>
          <c:order val="0"/>
          <c:tx>
            <c:v>Operating CF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Valuation!$G$37:$K$37</c:f>
              <c:numCache/>
            </c:numRef>
          </c:val>
          <c:smooth val="1"/>
        </c:ser>
        <c:ser>
          <c:idx val="1"/>
          <c:order val="1"/>
          <c:tx>
            <c:v>Investing CF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Valuation!$G$38:$K$38</c:f>
              <c:numCache/>
            </c:numRef>
          </c:val>
          <c:smooth val="1"/>
        </c:ser>
        <c:ser>
          <c:idx val="2"/>
          <c:order val="2"/>
          <c:tx>
            <c:v>Financing CF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Valuation!$G$39:$K$39</c:f>
              <c:numCache/>
            </c:numRef>
          </c:val>
          <c:smooth val="1"/>
        </c:ser>
        <c:ser>
          <c:idx val="3"/>
          <c:order val="3"/>
          <c:tx>
            <c:v>Net Cash Change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Valuation!$G$40:$K$40</c:f>
              <c:numCache/>
            </c:numRef>
          </c:val>
          <c:smooth val="1"/>
        </c:ser>
        <c:ser>
          <c:idx val="4"/>
          <c:order val="4"/>
          <c:tx>
            <c:v>Free Cash Flow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423462019"/>
        <c:axId val="394321222"/>
      </c:lineChart>
      <c:catAx>
        <c:axId val="423462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4321222"/>
      </c:catAx>
      <c:valAx>
        <c:axId val="394321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462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77</xdr:row>
      <xdr:rowOff>180975</xdr:rowOff>
    </xdr:from>
    <xdr:ext cx="49815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161925</xdr:colOff>
      <xdr:row>77</xdr:row>
      <xdr:rowOff>180975</xdr:rowOff>
    </xdr:from>
    <xdr:ext cx="498157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161925</xdr:colOff>
      <xdr:row>94</xdr:row>
      <xdr:rowOff>171450</xdr:rowOff>
    </xdr:from>
    <xdr:ext cx="4981575" cy="3095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285750</xdr:colOff>
      <xdr:row>94</xdr:row>
      <xdr:rowOff>171450</xdr:rowOff>
    </xdr:from>
    <xdr:ext cx="4981575" cy="3095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0"/>
    <col customWidth="1" min="7" max="7" width="11.13"/>
    <col customWidth="1" min="8" max="8" width="11.25"/>
    <col customWidth="1" min="9" max="9" width="10.5"/>
    <col customWidth="1" min="10" max="10" width="10.0"/>
    <col customWidth="1" min="12" max="12" width="8.88"/>
    <col hidden="1" min="13" max="25" width="12.6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">
        <v>0</v>
      </c>
      <c r="C2" s="5">
        <v>45659.0</v>
      </c>
      <c r="D2" s="6"/>
      <c r="E2" s="7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9" t="s">
        <v>7</v>
      </c>
      <c r="L2" s="6"/>
      <c r="M2" s="10"/>
      <c r="N2" s="11"/>
    </row>
    <row r="3">
      <c r="A3" s="1"/>
      <c r="B3" s="12"/>
      <c r="C3" s="13"/>
      <c r="D3" s="14"/>
      <c r="E3" s="15"/>
      <c r="F3" s="6"/>
      <c r="G3" s="6"/>
      <c r="H3" s="6"/>
      <c r="I3" s="6"/>
      <c r="J3" s="6"/>
      <c r="K3" s="16"/>
      <c r="L3" s="16"/>
      <c r="M3" s="17"/>
      <c r="N3" s="11"/>
    </row>
    <row r="4">
      <c r="A4" s="3"/>
      <c r="B4" s="18" t="s">
        <v>8</v>
      </c>
      <c r="C4" s="19"/>
      <c r="D4" s="20"/>
      <c r="E4" s="13" t="s">
        <v>9</v>
      </c>
      <c r="F4" s="21"/>
      <c r="G4" s="22">
        <v>5.9491865E7</v>
      </c>
      <c r="H4" s="22">
        <v>9.3949939E7</v>
      </c>
      <c r="I4" s="22">
        <v>1.30557589E8</v>
      </c>
      <c r="J4" s="22">
        <v>2.47639205E8</v>
      </c>
      <c r="K4" s="23">
        <v>3.72107027E8</v>
      </c>
      <c r="L4" s="16"/>
      <c r="M4" s="11"/>
      <c r="N4" s="11"/>
    </row>
    <row r="5">
      <c r="A5" s="3"/>
      <c r="B5" s="24"/>
      <c r="C5" s="25"/>
      <c r="D5" s="20"/>
      <c r="E5" s="26" t="s">
        <v>10</v>
      </c>
      <c r="F5" s="27"/>
      <c r="G5" s="28"/>
      <c r="H5" s="28">
        <f t="shared" ref="H5:K5" si="1">(H4-G4)/G4</f>
        <v>0.5792064848</v>
      </c>
      <c r="I5" s="28">
        <f t="shared" si="1"/>
        <v>0.3896505989</v>
      </c>
      <c r="J5" s="28">
        <f t="shared" si="1"/>
        <v>0.8967813889</v>
      </c>
      <c r="K5" s="29">
        <f t="shared" si="1"/>
        <v>0.5026175964</v>
      </c>
      <c r="L5" s="16"/>
      <c r="M5" s="11"/>
      <c r="N5" s="11"/>
    </row>
    <row r="6">
      <c r="A6" s="3"/>
      <c r="B6" s="24"/>
      <c r="C6" s="25"/>
      <c r="D6" s="6"/>
      <c r="E6" s="13" t="s">
        <v>11</v>
      </c>
      <c r="F6" s="30"/>
      <c r="G6" s="31">
        <v>1.9278641E7</v>
      </c>
      <c r="H6" s="31">
        <v>3.1718093E7</v>
      </c>
      <c r="I6" s="31">
        <v>3.1462298E7</v>
      </c>
      <c r="J6" s="31">
        <v>9.1723577E7</v>
      </c>
      <c r="K6" s="32">
        <v>1.4118027E8</v>
      </c>
      <c r="L6" s="16"/>
      <c r="M6" s="11"/>
      <c r="N6" s="11"/>
    </row>
    <row r="7">
      <c r="A7" s="3"/>
      <c r="B7" s="24"/>
      <c r="C7" s="25"/>
      <c r="D7" s="33"/>
      <c r="E7" s="13" t="s">
        <v>12</v>
      </c>
      <c r="F7" s="34"/>
      <c r="G7" s="35">
        <f t="shared" ref="G7:K7" si="2">(G4-G6)/G4</f>
        <v>0.6759449212</v>
      </c>
      <c r="H7" s="35">
        <f t="shared" si="2"/>
        <v>0.6623936818</v>
      </c>
      <c r="I7" s="35">
        <f t="shared" si="2"/>
        <v>0.7590159389</v>
      </c>
      <c r="J7" s="35">
        <f t="shared" si="2"/>
        <v>0.6296080138</v>
      </c>
      <c r="K7" s="36">
        <f t="shared" si="2"/>
        <v>0.6205923034</v>
      </c>
      <c r="L7" s="37"/>
      <c r="M7" s="17"/>
      <c r="N7" s="17"/>
    </row>
    <row r="8">
      <c r="A8" s="1"/>
      <c r="B8" s="24"/>
      <c r="C8" s="25"/>
      <c r="D8" s="6"/>
      <c r="E8" s="13" t="s">
        <v>13</v>
      </c>
      <c r="F8" s="38"/>
      <c r="G8" s="39">
        <f t="shared" ref="G8:K8" si="3">G4-G6</f>
        <v>40213224</v>
      </c>
      <c r="H8" s="39">
        <f t="shared" si="3"/>
        <v>62231846</v>
      </c>
      <c r="I8" s="39">
        <f t="shared" si="3"/>
        <v>99095291</v>
      </c>
      <c r="J8" s="39">
        <f t="shared" si="3"/>
        <v>155915628</v>
      </c>
      <c r="K8" s="40">
        <f t="shared" si="3"/>
        <v>230926757</v>
      </c>
      <c r="L8" s="6"/>
      <c r="M8" s="11"/>
      <c r="N8" s="11"/>
    </row>
    <row r="9">
      <c r="A9" s="1"/>
      <c r="B9" s="24"/>
      <c r="C9" s="25"/>
      <c r="D9" s="6"/>
      <c r="E9" s="13" t="s">
        <v>14</v>
      </c>
      <c r="F9" s="41"/>
      <c r="G9" s="42"/>
      <c r="H9" s="35">
        <f t="shared" ref="H9:K9" si="4">(H8-G8)/G8</f>
        <v>0.547546797</v>
      </c>
      <c r="I9" s="35">
        <f t="shared" si="4"/>
        <v>0.5923566047</v>
      </c>
      <c r="J9" s="35">
        <f t="shared" si="4"/>
        <v>0.573390889</v>
      </c>
      <c r="K9" s="36">
        <f t="shared" si="4"/>
        <v>0.481100772</v>
      </c>
      <c r="L9" s="6"/>
      <c r="M9" s="11"/>
      <c r="N9" s="11"/>
    </row>
    <row r="10">
      <c r="A10" s="3"/>
      <c r="B10" s="24"/>
      <c r="C10" s="25"/>
      <c r="D10" s="6"/>
      <c r="E10" s="43" t="s">
        <v>15</v>
      </c>
      <c r="F10" s="44"/>
      <c r="G10" s="31">
        <v>4.2701896E7</v>
      </c>
      <c r="H10" s="45">
        <v>4.6342494E7</v>
      </c>
      <c r="I10" s="45">
        <v>5.8308654E7</v>
      </c>
      <c r="J10" s="46">
        <v>8.6264492E7</v>
      </c>
      <c r="K10" s="47">
        <v>1.13954529E8</v>
      </c>
      <c r="L10" s="6"/>
      <c r="M10" s="11"/>
      <c r="N10" s="11"/>
    </row>
    <row r="11">
      <c r="A11" s="1"/>
      <c r="B11" s="24"/>
      <c r="C11" s="25"/>
      <c r="D11" s="48"/>
      <c r="E11" s="43" t="s">
        <v>16</v>
      </c>
      <c r="F11" s="30"/>
      <c r="G11" s="31">
        <v>6891653.0</v>
      </c>
      <c r="H11" s="31">
        <v>8992590.0</v>
      </c>
      <c r="I11" s="31">
        <v>1.0384716E7</v>
      </c>
      <c r="J11" s="46">
        <v>1.0952374E7</v>
      </c>
      <c r="K11" s="47">
        <v>1.1746613E7</v>
      </c>
      <c r="L11" s="6"/>
      <c r="M11" s="11"/>
      <c r="N11" s="11"/>
    </row>
    <row r="12">
      <c r="A12" s="1"/>
      <c r="B12" s="24"/>
      <c r="C12" s="25"/>
      <c r="D12" s="48"/>
      <c r="E12" s="43" t="s">
        <v>17</v>
      </c>
      <c r="F12" s="30"/>
      <c r="G12" s="31"/>
      <c r="H12" s="31"/>
      <c r="I12" s="31"/>
      <c r="J12" s="46"/>
      <c r="K12" s="47"/>
      <c r="L12" s="6"/>
      <c r="M12" s="11"/>
      <c r="N12" s="11"/>
    </row>
    <row r="13">
      <c r="A13" s="1"/>
      <c r="B13" s="24"/>
      <c r="C13" s="25"/>
      <c r="D13" s="49"/>
      <c r="E13" s="50" t="s">
        <v>18</v>
      </c>
      <c r="F13" s="51"/>
      <c r="G13" s="45">
        <f t="shared" ref="G13:K13" si="5">SUM(G10:G12)</f>
        <v>49593549</v>
      </c>
      <c r="H13" s="45">
        <f t="shared" si="5"/>
        <v>55335084</v>
      </c>
      <c r="I13" s="45">
        <f t="shared" si="5"/>
        <v>68693370</v>
      </c>
      <c r="J13" s="45">
        <f t="shared" si="5"/>
        <v>97216866</v>
      </c>
      <c r="K13" s="52">
        <f t="shared" si="5"/>
        <v>125701142</v>
      </c>
      <c r="L13" s="6"/>
      <c r="M13" s="11"/>
      <c r="N13" s="11"/>
    </row>
    <row r="14">
      <c r="A14" s="1"/>
      <c r="B14" s="24"/>
      <c r="C14" s="25"/>
      <c r="D14" s="53"/>
      <c r="E14" s="50" t="s">
        <v>19</v>
      </c>
      <c r="F14" s="38"/>
      <c r="G14" s="39">
        <f t="shared" ref="G14:K14" si="6">G4-G6-G13</f>
        <v>-9380325</v>
      </c>
      <c r="H14" s="39">
        <f t="shared" si="6"/>
        <v>6896762</v>
      </c>
      <c r="I14" s="39">
        <f t="shared" si="6"/>
        <v>30401921</v>
      </c>
      <c r="J14" s="39">
        <f t="shared" si="6"/>
        <v>58698762</v>
      </c>
      <c r="K14" s="40">
        <f t="shared" si="6"/>
        <v>105225615</v>
      </c>
      <c r="L14" s="6"/>
      <c r="M14" s="11"/>
      <c r="N14" s="11"/>
    </row>
    <row r="15">
      <c r="A15" s="1"/>
      <c r="B15" s="24"/>
      <c r="C15" s="25"/>
      <c r="D15" s="54"/>
      <c r="E15" s="43" t="s">
        <v>20</v>
      </c>
      <c r="F15" s="34"/>
      <c r="G15" s="35">
        <f t="shared" ref="G15:K15" si="7">G14/G4</f>
        <v>-0.1576740786</v>
      </c>
      <c r="H15" s="35">
        <f t="shared" si="7"/>
        <v>0.07340890344</v>
      </c>
      <c r="I15" s="35">
        <f t="shared" si="7"/>
        <v>0.232862151</v>
      </c>
      <c r="J15" s="35">
        <f t="shared" si="7"/>
        <v>0.237033397</v>
      </c>
      <c r="K15" s="36">
        <f t="shared" si="7"/>
        <v>0.2827831977</v>
      </c>
      <c r="L15" s="6"/>
      <c r="M15" s="11"/>
      <c r="N15" s="11"/>
    </row>
    <row r="16">
      <c r="A16" s="1"/>
      <c r="B16" s="24"/>
      <c r="C16" s="25"/>
      <c r="D16" s="54"/>
      <c r="E16" s="50" t="s">
        <v>21</v>
      </c>
      <c r="F16" s="55"/>
      <c r="G16" s="31">
        <v>1698030.0</v>
      </c>
      <c r="H16" s="31">
        <v>1830660.0</v>
      </c>
      <c r="I16" s="31">
        <v>3945445.0</v>
      </c>
      <c r="J16" s="31">
        <v>1.0194093E7</v>
      </c>
      <c r="K16" s="32">
        <v>1.967149E7</v>
      </c>
      <c r="L16" s="6"/>
      <c r="M16" s="11"/>
      <c r="N16" s="11"/>
    </row>
    <row r="17">
      <c r="A17" s="1"/>
      <c r="B17" s="24"/>
      <c r="C17" s="25"/>
      <c r="D17" s="54"/>
      <c r="E17" s="43" t="s">
        <v>22</v>
      </c>
      <c r="F17" s="55"/>
      <c r="G17" s="31">
        <v>418899.0</v>
      </c>
      <c r="H17" s="31">
        <v>728005.0</v>
      </c>
      <c r="I17" s="31">
        <v>2071648.0</v>
      </c>
      <c r="J17" s="31">
        <v>2988300.0</v>
      </c>
      <c r="K17" s="32">
        <v>2249837.0</v>
      </c>
      <c r="L17" s="6"/>
      <c r="M17" s="11"/>
      <c r="N17" s="11"/>
    </row>
    <row r="18">
      <c r="A18" s="1"/>
      <c r="B18" s="24"/>
      <c r="C18" s="25"/>
      <c r="D18" s="56"/>
      <c r="E18" s="50" t="s">
        <v>23</v>
      </c>
      <c r="F18" s="30"/>
      <c r="G18" s="31">
        <f t="shared" ref="G18:K18" si="8">G14+G16+G17</f>
        <v>-7263396</v>
      </c>
      <c r="H18" s="31">
        <f t="shared" si="8"/>
        <v>9455427</v>
      </c>
      <c r="I18" s="31">
        <f t="shared" si="8"/>
        <v>36419014</v>
      </c>
      <c r="J18" s="46">
        <f t="shared" si="8"/>
        <v>71881155</v>
      </c>
      <c r="K18" s="47">
        <f t="shared" si="8"/>
        <v>127146942</v>
      </c>
      <c r="L18" s="57"/>
      <c r="M18" s="58"/>
      <c r="N18" s="58"/>
      <c r="O18" s="59"/>
    </row>
    <row r="19">
      <c r="A19" s="1"/>
      <c r="B19" s="24"/>
      <c r="C19" s="25"/>
      <c r="D19" s="60"/>
      <c r="E19" s="50" t="s">
        <v>24</v>
      </c>
      <c r="F19" s="30"/>
      <c r="G19" s="31"/>
      <c r="H19" s="31">
        <v>1933585.0</v>
      </c>
      <c r="I19" s="31">
        <v>4725667.0</v>
      </c>
      <c r="J19" s="31">
        <v>1.1849904E7</v>
      </c>
      <c r="K19" s="32">
        <v>1.8764192E7</v>
      </c>
      <c r="L19" s="57"/>
      <c r="M19" s="58"/>
      <c r="N19" s="58"/>
      <c r="O19" s="59"/>
    </row>
    <row r="20">
      <c r="A20" s="1"/>
      <c r="B20" s="24"/>
      <c r="C20" s="25"/>
      <c r="D20" s="60"/>
      <c r="E20" s="50" t="s">
        <v>25</v>
      </c>
      <c r="F20" s="61"/>
      <c r="G20" s="39">
        <f t="shared" ref="G20:K20" si="9">G18-G19</f>
        <v>-7263396</v>
      </c>
      <c r="H20" s="39">
        <f t="shared" si="9"/>
        <v>7521842</v>
      </c>
      <c r="I20" s="39">
        <f t="shared" si="9"/>
        <v>31693347</v>
      </c>
      <c r="J20" s="39">
        <f t="shared" si="9"/>
        <v>60031251</v>
      </c>
      <c r="K20" s="40">
        <f t="shared" si="9"/>
        <v>108382750</v>
      </c>
      <c r="L20" s="57"/>
      <c r="M20" s="62"/>
      <c r="N20" s="58"/>
      <c r="O20" s="59"/>
    </row>
    <row r="21">
      <c r="A21" s="3"/>
      <c r="B21" s="63"/>
      <c r="C21" s="64"/>
      <c r="D21" s="6"/>
      <c r="E21" s="43" t="s">
        <v>26</v>
      </c>
      <c r="F21" s="65"/>
      <c r="G21" s="28"/>
      <c r="H21" s="66">
        <f>(H20-G20)/G20</f>
        <v>-2.035581978</v>
      </c>
      <c r="I21" s="66">
        <f t="shared" ref="I21:K21" si="10">(I20-H20)/ABS(H20)</f>
        <v>3.213508739</v>
      </c>
      <c r="J21" s="66">
        <f t="shared" si="10"/>
        <v>0.8941278433</v>
      </c>
      <c r="K21" s="67">
        <f t="shared" si="10"/>
        <v>0.8054388039</v>
      </c>
      <c r="L21" s="57"/>
      <c r="M21" s="58"/>
      <c r="N21" s="58"/>
      <c r="O21" s="59"/>
    </row>
    <row r="22">
      <c r="A22" s="3"/>
      <c r="B22" s="6"/>
      <c r="C22" s="68"/>
      <c r="D22" s="56"/>
      <c r="E22" s="50" t="s">
        <v>27</v>
      </c>
      <c r="F22" s="30"/>
      <c r="G22" s="69">
        <f t="shared" ref="G22:K22" si="11">G20/G23</f>
        <v>-6.093018535</v>
      </c>
      <c r="H22" s="69">
        <f t="shared" si="11"/>
        <v>5.265880758</v>
      </c>
      <c r="I22" s="69">
        <f t="shared" si="11"/>
        <v>22.00434833</v>
      </c>
      <c r="J22" s="69">
        <f t="shared" si="11"/>
        <v>44.33537539</v>
      </c>
      <c r="K22" s="70">
        <f t="shared" si="11"/>
        <v>78.58788307</v>
      </c>
      <c r="L22" s="57"/>
      <c r="M22" s="58"/>
      <c r="N22" s="58"/>
      <c r="O22" s="59"/>
    </row>
    <row r="23">
      <c r="A23" s="1"/>
      <c r="B23" s="4" t="s">
        <v>28</v>
      </c>
      <c r="C23" s="71" t="s">
        <v>29</v>
      </c>
      <c r="D23" s="6"/>
      <c r="E23" s="50" t="s">
        <v>30</v>
      </c>
      <c r="F23" s="72"/>
      <c r="G23" s="73">
        <v>1192085.0</v>
      </c>
      <c r="H23" s="73">
        <v>1428411.0</v>
      </c>
      <c r="I23" s="73">
        <v>1440322.0</v>
      </c>
      <c r="J23" s="73">
        <v>1354026.0</v>
      </c>
      <c r="K23" s="74">
        <v>1379128.0</v>
      </c>
      <c r="L23" s="57"/>
      <c r="M23" s="58"/>
      <c r="N23" s="58"/>
      <c r="O23" s="59"/>
    </row>
    <row r="24">
      <c r="A24" s="1"/>
      <c r="B24" s="75" t="s">
        <v>31</v>
      </c>
      <c r="C24" s="6"/>
      <c r="D24" s="6"/>
      <c r="E24" s="26"/>
      <c r="F24" s="76"/>
      <c r="G24" s="76"/>
      <c r="H24" s="37"/>
      <c r="I24" s="37"/>
      <c r="J24" s="37"/>
      <c r="K24" s="6"/>
      <c r="L24" s="57"/>
      <c r="M24" s="58"/>
      <c r="N24" s="58"/>
      <c r="O24" s="59"/>
    </row>
    <row r="25">
      <c r="A25" s="1"/>
      <c r="B25" s="26" t="s">
        <v>32</v>
      </c>
      <c r="C25" s="77">
        <f>IFERROR(__xludf.DUMMYFUNCTION("GOOGLEFINANCE(B23)*7"),681.87)</f>
        <v>681.87</v>
      </c>
      <c r="D25" s="6"/>
      <c r="E25" s="26" t="s">
        <v>33</v>
      </c>
      <c r="F25" s="78"/>
      <c r="G25" s="79">
        <v>1.6967083E7</v>
      </c>
      <c r="H25" s="79">
        <v>1.2760334E7</v>
      </c>
      <c r="I25" s="80">
        <v>1.6934324E7</v>
      </c>
      <c r="J25" s="80">
        <v>1.0165901E7</v>
      </c>
      <c r="K25" s="81">
        <v>1.0236831E7</v>
      </c>
      <c r="L25" s="57"/>
      <c r="M25" s="58"/>
      <c r="N25" s="58"/>
      <c r="O25" s="59"/>
    </row>
    <row r="26">
      <c r="A26" s="1"/>
      <c r="B26" s="13" t="s">
        <v>34</v>
      </c>
      <c r="C26" s="82">
        <f>IFERROR(__xludf.DUMMYFUNCTION("GOOGLEFINANCE(B23, ""marketcap"")*7/1000"),9.46387111432E8)</f>
        <v>946387111.4</v>
      </c>
      <c r="D26" s="6"/>
      <c r="E26" s="26" t="s">
        <v>35</v>
      </c>
      <c r="F26" s="83"/>
      <c r="G26" s="84">
        <v>6.0175888E7</v>
      </c>
      <c r="H26" s="84">
        <v>7.5114547E7</v>
      </c>
      <c r="I26" s="85">
        <v>1.17770911E8</v>
      </c>
      <c r="J26" s="85">
        <v>1.87241607E8</v>
      </c>
      <c r="K26" s="86">
        <v>2.7850492E8</v>
      </c>
      <c r="L26" s="57"/>
      <c r="M26" s="58"/>
      <c r="N26" s="58"/>
      <c r="O26" s="59"/>
    </row>
    <row r="27">
      <c r="A27" s="1"/>
      <c r="B27" s="13" t="s">
        <v>36</v>
      </c>
      <c r="C27" s="82">
        <f>C38</f>
        <v>1682432906</v>
      </c>
      <c r="D27" s="6"/>
      <c r="E27" s="26" t="s">
        <v>37</v>
      </c>
      <c r="F27" s="83"/>
      <c r="G27" s="84">
        <v>667975.0</v>
      </c>
      <c r="H27" s="84">
        <v>971427.0</v>
      </c>
      <c r="I27" s="85">
        <v>1472818.0</v>
      </c>
      <c r="J27" s="85">
        <v>4285808.0</v>
      </c>
      <c r="K27" s="86">
        <v>5060927.0</v>
      </c>
      <c r="L27" s="57"/>
      <c r="M27" s="58"/>
      <c r="N27" s="58"/>
      <c r="O27" s="59"/>
    </row>
    <row r="28">
      <c r="A28" s="1"/>
      <c r="B28" s="13" t="s">
        <v>38</v>
      </c>
      <c r="C28" s="87">
        <f>K20/K29</f>
        <v>0.5240074588</v>
      </c>
      <c r="D28" s="6"/>
      <c r="E28" s="26" t="s">
        <v>39</v>
      </c>
      <c r="F28" s="83"/>
      <c r="G28" s="84">
        <v>8.6972283E7</v>
      </c>
      <c r="H28" s="84">
        <v>9.2943333E7</v>
      </c>
      <c r="I28" s="84">
        <v>1.49438746E8</v>
      </c>
      <c r="J28" s="85">
        <v>2.94750472E8</v>
      </c>
      <c r="K28" s="86">
        <v>3.08461752E8</v>
      </c>
      <c r="L28" s="57"/>
      <c r="M28" s="58"/>
      <c r="N28" s="58"/>
      <c r="O28" s="59"/>
    </row>
    <row r="29">
      <c r="A29" s="1"/>
      <c r="B29" s="26" t="s">
        <v>40</v>
      </c>
      <c r="C29" s="82">
        <f>C26+K25-K28</f>
        <v>648162190.4</v>
      </c>
      <c r="D29" s="6"/>
      <c r="E29" s="26" t="s">
        <v>41</v>
      </c>
      <c r="F29" s="88"/>
      <c r="G29" s="89">
        <v>6.5641801E7</v>
      </c>
      <c r="H29" s="89">
        <v>6.7179454E7</v>
      </c>
      <c r="I29" s="89">
        <v>9.97288396E8</v>
      </c>
      <c r="J29" s="89">
        <v>1.41849571E8</v>
      </c>
      <c r="K29" s="90">
        <v>2.06834365E8</v>
      </c>
      <c r="L29" s="57"/>
      <c r="M29" s="58"/>
      <c r="N29" s="58"/>
      <c r="O29" s="59"/>
    </row>
    <row r="30">
      <c r="A30" s="1"/>
      <c r="B30" s="91" t="s">
        <v>42</v>
      </c>
      <c r="C30" s="92">
        <f>C26/K20</f>
        <v>8.73189794</v>
      </c>
      <c r="D30" s="6"/>
      <c r="E30" s="26"/>
      <c r="F30" s="76"/>
      <c r="G30" s="76"/>
      <c r="H30" s="37"/>
      <c r="I30" s="37"/>
      <c r="J30" s="37"/>
      <c r="K30" s="6"/>
      <c r="L30" s="57"/>
      <c r="M30" s="58"/>
      <c r="N30" s="58"/>
      <c r="O30" s="59"/>
    </row>
    <row r="31">
      <c r="A31" s="3"/>
      <c r="B31" s="50" t="s">
        <v>43</v>
      </c>
      <c r="C31" s="92">
        <f>C26/K4</f>
        <v>2.543319644</v>
      </c>
      <c r="D31" s="6"/>
      <c r="E31" s="13" t="s">
        <v>44</v>
      </c>
      <c r="F31" s="93"/>
      <c r="G31" s="94"/>
      <c r="H31" s="95"/>
      <c r="I31" s="95"/>
      <c r="J31" s="96"/>
      <c r="K31" s="97"/>
      <c r="L31" s="57"/>
      <c r="M31" s="58"/>
      <c r="N31" s="58"/>
      <c r="O31" s="59"/>
    </row>
    <row r="32">
      <c r="A32" s="3"/>
      <c r="B32" s="98" t="s">
        <v>45</v>
      </c>
      <c r="C32" s="99">
        <f>C26/K26</f>
        <v>3.398098358</v>
      </c>
      <c r="D32" s="6"/>
      <c r="E32" s="100" t="s">
        <v>46</v>
      </c>
      <c r="F32" s="101"/>
      <c r="G32" s="102"/>
      <c r="H32" s="102"/>
      <c r="I32" s="103"/>
      <c r="J32" s="104"/>
      <c r="K32" s="105"/>
      <c r="L32" s="6"/>
      <c r="M32" s="11"/>
      <c r="N32" s="11"/>
    </row>
    <row r="33">
      <c r="A33" s="3"/>
      <c r="B33" s="98" t="s">
        <v>47</v>
      </c>
      <c r="C33" s="92">
        <f>C29/K4</f>
        <v>1.741870331</v>
      </c>
      <c r="D33" s="6"/>
      <c r="E33" s="26" t="s">
        <v>48</v>
      </c>
      <c r="F33" s="101"/>
      <c r="G33" s="102"/>
      <c r="H33" s="102"/>
      <c r="I33" s="102"/>
      <c r="J33" s="102"/>
      <c r="K33" s="105"/>
      <c r="L33" s="57"/>
      <c r="M33" s="58"/>
      <c r="N33" s="58"/>
      <c r="O33" s="59"/>
    </row>
    <row r="34">
      <c r="A34" s="3"/>
      <c r="B34" s="50" t="s">
        <v>49</v>
      </c>
      <c r="C34" s="106">
        <f>C29/K18</f>
        <v>5.097741088</v>
      </c>
      <c r="D34" s="12"/>
      <c r="E34" s="100" t="s">
        <v>50</v>
      </c>
      <c r="F34" s="101"/>
      <c r="G34" s="103"/>
      <c r="H34" s="103"/>
      <c r="I34" s="103"/>
      <c r="J34" s="104"/>
      <c r="K34" s="105"/>
      <c r="L34" s="57"/>
      <c r="M34" s="58"/>
      <c r="N34" s="58"/>
      <c r="O34" s="59"/>
    </row>
    <row r="35">
      <c r="A35" s="1"/>
      <c r="B35" s="12"/>
      <c r="C35" s="107"/>
      <c r="D35" s="108"/>
      <c r="E35" s="100" t="s">
        <v>51</v>
      </c>
      <c r="F35" s="109"/>
      <c r="G35" s="110"/>
      <c r="H35" s="110"/>
      <c r="I35" s="110"/>
      <c r="J35" s="111"/>
      <c r="K35" s="112"/>
      <c r="L35" s="57"/>
      <c r="M35" s="58"/>
      <c r="N35" s="58"/>
      <c r="O35" s="59"/>
    </row>
    <row r="36">
      <c r="A36" s="1"/>
      <c r="B36" s="43" t="s">
        <v>52</v>
      </c>
      <c r="C36" s="113">
        <v>0.11</v>
      </c>
      <c r="D36" s="114"/>
      <c r="E36" s="100"/>
      <c r="F36" s="115"/>
      <c r="G36" s="115"/>
      <c r="H36" s="115"/>
      <c r="I36" s="76"/>
      <c r="J36" s="6"/>
      <c r="K36" s="6"/>
      <c r="L36" s="6"/>
      <c r="M36" s="11"/>
      <c r="N36" s="11"/>
    </row>
    <row r="37">
      <c r="A37" s="3"/>
      <c r="B37" s="43" t="s">
        <v>53</v>
      </c>
      <c r="C37" s="116">
        <v>0.06</v>
      </c>
      <c r="D37" s="12"/>
      <c r="E37" s="13" t="s">
        <v>54</v>
      </c>
      <c r="F37" s="117"/>
      <c r="G37" s="118">
        <v>2.8196627E7</v>
      </c>
      <c r="H37" s="119">
        <v>2.8783011E7</v>
      </c>
      <c r="I37" s="119">
        <v>4.850786E7</v>
      </c>
      <c r="J37" s="120">
        <v>9.4162531E7</v>
      </c>
      <c r="K37" s="121">
        <v>1.29272803E8</v>
      </c>
      <c r="L37" s="6"/>
      <c r="M37" s="11"/>
      <c r="N37" s="11"/>
    </row>
    <row r="38">
      <c r="A38" s="3"/>
      <c r="B38" s="50" t="s">
        <v>55</v>
      </c>
      <c r="C38" s="122">
        <f t="array" ref="C38">NPV(C36, J50:J60)</f>
        <v>1682432906</v>
      </c>
      <c r="D38" s="12"/>
      <c r="E38" s="100" t="s">
        <v>56</v>
      </c>
      <c r="F38" s="123"/>
      <c r="G38" s="124">
        <v>-3.8357901E7</v>
      </c>
      <c r="H38" s="124">
        <v>-3.5562365E7</v>
      </c>
      <c r="I38" s="124">
        <v>-2.236167E7</v>
      </c>
      <c r="J38" s="125">
        <v>-5.5431278E7</v>
      </c>
      <c r="K38" s="126">
        <v>-1.0428145E8</v>
      </c>
      <c r="L38" s="6"/>
      <c r="M38" s="11"/>
      <c r="N38" s="11"/>
    </row>
    <row r="39">
      <c r="A39" s="3"/>
      <c r="B39" s="50" t="s">
        <v>57</v>
      </c>
      <c r="C39" s="122">
        <f>C38+K28-K25</f>
        <v>1980657827</v>
      </c>
      <c r="D39" s="12"/>
      <c r="E39" s="100" t="s">
        <v>58</v>
      </c>
      <c r="F39" s="123"/>
      <c r="G39" s="124">
        <v>5.1798996E7</v>
      </c>
      <c r="H39" s="124">
        <v>-1875154.0</v>
      </c>
      <c r="I39" s="124">
        <v>10079.0</v>
      </c>
      <c r="J39" s="125">
        <v>-8960626.0</v>
      </c>
      <c r="K39" s="126">
        <v>-8967407.0</v>
      </c>
      <c r="L39" s="6"/>
      <c r="M39" s="11"/>
      <c r="N39" s="11"/>
    </row>
    <row r="40">
      <c r="A40" s="3"/>
      <c r="B40" s="50" t="s">
        <v>30</v>
      </c>
      <c r="C40" s="127">
        <f>K23</f>
        <v>1379128</v>
      </c>
      <c r="D40" s="12"/>
      <c r="E40" s="100" t="s">
        <v>59</v>
      </c>
      <c r="F40" s="123"/>
      <c r="G40" s="124">
        <v>4.1637722E7</v>
      </c>
      <c r="H40" s="124">
        <v>-8654508.0</v>
      </c>
      <c r="I40" s="124">
        <v>2.6156269E7</v>
      </c>
      <c r="J40" s="125">
        <v>2.9770627E7</v>
      </c>
      <c r="K40" s="126">
        <v>1.6023946E7</v>
      </c>
      <c r="L40" s="6"/>
      <c r="M40" s="11"/>
      <c r="N40" s="11"/>
    </row>
    <row r="41">
      <c r="A41" s="1"/>
      <c r="B41" s="43" t="s">
        <v>60</v>
      </c>
      <c r="C41" s="128">
        <f>C38/C40</f>
        <v>1219.925131</v>
      </c>
      <c r="D41" s="129"/>
      <c r="E41" s="100" t="s">
        <v>61</v>
      </c>
      <c r="F41" s="130"/>
      <c r="G41" s="131">
        <v>2.8153581E7</v>
      </c>
      <c r="H41" s="131">
        <v>2.5495779E7</v>
      </c>
      <c r="I41" s="131">
        <v>4.7872144E7</v>
      </c>
      <c r="J41" s="131">
        <v>9.3578652E7</v>
      </c>
      <c r="K41" s="132">
        <v>1.28688924E8</v>
      </c>
      <c r="L41" s="6"/>
      <c r="M41" s="11"/>
      <c r="N41" s="11"/>
    </row>
    <row r="42">
      <c r="A42" s="1"/>
      <c r="B42" s="26" t="s">
        <v>62</v>
      </c>
      <c r="C42" s="133">
        <f>(C41-C25)/C41</f>
        <v>0.4410558627</v>
      </c>
      <c r="D42" s="114"/>
      <c r="E42" s="134"/>
      <c r="F42" s="56"/>
      <c r="G42" s="56"/>
      <c r="H42" s="135"/>
      <c r="I42" s="6"/>
      <c r="J42" s="6"/>
      <c r="K42" s="6"/>
      <c r="L42" s="6"/>
      <c r="M42" s="11"/>
      <c r="N42" s="11"/>
    </row>
    <row r="43">
      <c r="A43" s="3"/>
      <c r="B43" s="26"/>
      <c r="C43" s="136"/>
      <c r="D43" s="56"/>
      <c r="E43" s="137" t="s">
        <v>63</v>
      </c>
      <c r="F43" s="138" t="s">
        <v>9</v>
      </c>
      <c r="G43" s="139" t="s">
        <v>64</v>
      </c>
      <c r="H43" s="140" t="s">
        <v>25</v>
      </c>
      <c r="I43" s="138" t="s">
        <v>65</v>
      </c>
      <c r="J43" s="141" t="s">
        <v>66</v>
      </c>
      <c r="K43" s="142" t="s">
        <v>67</v>
      </c>
      <c r="L43" s="57"/>
      <c r="M43" s="11"/>
      <c r="N43" s="11"/>
    </row>
    <row r="44">
      <c r="A44" s="1"/>
      <c r="B44" s="13" t="s">
        <v>68</v>
      </c>
      <c r="C44" s="143">
        <f>C38+K28-K60</f>
        <v>1983821242</v>
      </c>
      <c r="D44" s="56"/>
      <c r="E44" s="144"/>
      <c r="F44" s="145"/>
      <c r="G44" s="145"/>
      <c r="H44" s="146"/>
      <c r="I44" s="147"/>
      <c r="J44" s="57"/>
      <c r="K44" s="57"/>
      <c r="L44" s="57"/>
      <c r="M44" s="11"/>
      <c r="N44" s="11"/>
    </row>
    <row r="45">
      <c r="A45" s="1"/>
      <c r="B45" s="13" t="s">
        <v>69</v>
      </c>
      <c r="C45" s="148">
        <f>C44/K23</f>
        <v>1438.460565</v>
      </c>
      <c r="D45" s="56"/>
      <c r="E45" s="149">
        <v>2019.0</v>
      </c>
      <c r="F45" s="150" t="str">
        <f>F4</f>
        <v/>
      </c>
      <c r="G45" s="151" t="str">
        <f>F5</f>
        <v/>
      </c>
      <c r="H45" s="152" t="str">
        <f>F20</f>
        <v/>
      </c>
      <c r="I45" s="153">
        <v>0.0</v>
      </c>
      <c r="J45" s="154" t="str">
        <f>F41</f>
        <v/>
      </c>
      <c r="K45" s="155" t="str">
        <f>F25</f>
        <v/>
      </c>
      <c r="L45" s="57"/>
      <c r="M45" s="11"/>
      <c r="N45" s="11"/>
    </row>
    <row r="46">
      <c r="A46" s="1"/>
      <c r="B46" s="1"/>
      <c r="C46" s="136"/>
      <c r="D46" s="56"/>
      <c r="E46" s="149">
        <v>2020.0</v>
      </c>
      <c r="F46" s="156">
        <f>G4</f>
        <v>59491865</v>
      </c>
      <c r="G46" s="157" t="str">
        <f>G5</f>
        <v/>
      </c>
      <c r="H46" s="158">
        <f>G20</f>
        <v>-7263396</v>
      </c>
      <c r="I46" s="159">
        <v>0.0</v>
      </c>
      <c r="J46" s="160">
        <f>G41</f>
        <v>28153581</v>
      </c>
      <c r="K46" s="161">
        <f>G25</f>
        <v>16967083</v>
      </c>
      <c r="L46" s="162">
        <v>1.0</v>
      </c>
      <c r="M46" s="163"/>
      <c r="N46" s="163"/>
    </row>
    <row r="47">
      <c r="A47" s="1"/>
      <c r="B47" s="43" t="s">
        <v>70</v>
      </c>
      <c r="C47" s="164">
        <f>C37</f>
        <v>0.06</v>
      </c>
      <c r="D47" s="91"/>
      <c r="E47" s="165">
        <v>2021.0</v>
      </c>
      <c r="F47" s="166">
        <f>H4</f>
        <v>93949939</v>
      </c>
      <c r="G47" s="167">
        <f>H5</f>
        <v>0.5792064848</v>
      </c>
      <c r="H47" s="158">
        <f>H20</f>
        <v>7521842</v>
      </c>
      <c r="I47" s="159">
        <v>0.0</v>
      </c>
      <c r="J47" s="160">
        <f>H41</f>
        <v>25495779</v>
      </c>
      <c r="K47" s="161">
        <f>H25</f>
        <v>12760334</v>
      </c>
      <c r="L47" s="162">
        <f>(K47/K46)</f>
        <v>0.7520640996</v>
      </c>
      <c r="M47" s="163"/>
      <c r="N47" s="163"/>
    </row>
    <row r="48">
      <c r="A48" s="3"/>
      <c r="B48" s="26" t="s">
        <v>71</v>
      </c>
      <c r="C48" s="168">
        <f t="array" ref="C48">NPV(C36, I64:I74)</f>
        <v>4384703097</v>
      </c>
      <c r="D48" s="169"/>
      <c r="E48" s="165">
        <v>2022.0</v>
      </c>
      <c r="F48" s="166">
        <f>I4</f>
        <v>130557589</v>
      </c>
      <c r="G48" s="167">
        <f>I5</f>
        <v>0.3896505989</v>
      </c>
      <c r="H48" s="158">
        <f>I20</f>
        <v>31693347</v>
      </c>
      <c r="I48" s="159">
        <v>0.0</v>
      </c>
      <c r="J48" s="160">
        <f>I41</f>
        <v>47872144</v>
      </c>
      <c r="K48" s="161">
        <f>I25</f>
        <v>16934324</v>
      </c>
      <c r="L48" s="162">
        <f t="shared" ref="L48:L49" si="12">K48/K47</f>
        <v>1.327106642</v>
      </c>
      <c r="M48" s="163"/>
      <c r="N48" s="163"/>
    </row>
    <row r="49">
      <c r="A49" s="3"/>
      <c r="B49" s="13" t="s">
        <v>72</v>
      </c>
      <c r="C49" s="170">
        <f>C48/K64</f>
        <v>3292.943091</v>
      </c>
      <c r="D49" s="169"/>
      <c r="E49" s="165">
        <v>2023.0</v>
      </c>
      <c r="F49" s="166">
        <f>J4</f>
        <v>247639205</v>
      </c>
      <c r="G49" s="167">
        <f>J5</f>
        <v>0.8967813889</v>
      </c>
      <c r="H49" s="158">
        <f>J20</f>
        <v>60031251</v>
      </c>
      <c r="I49" s="159">
        <v>0.0</v>
      </c>
      <c r="J49" s="160">
        <f>J41</f>
        <v>93578652</v>
      </c>
      <c r="K49" s="161">
        <f>J25</f>
        <v>10165901</v>
      </c>
      <c r="L49" s="162">
        <f t="shared" si="12"/>
        <v>0.6003133636</v>
      </c>
      <c r="M49" s="163"/>
      <c r="N49" s="163"/>
    </row>
    <row r="50">
      <c r="A50" s="3"/>
      <c r="B50" s="13" t="s">
        <v>73</v>
      </c>
      <c r="C50" s="171">
        <f>(C49/C25)^(1/10)-1</f>
        <v>0.1705454042</v>
      </c>
      <c r="D50" s="169"/>
      <c r="E50" s="165">
        <v>2024.0</v>
      </c>
      <c r="F50" s="156">
        <f>K4</f>
        <v>372107027</v>
      </c>
      <c r="G50" s="157">
        <f>K5</f>
        <v>0.5026175964</v>
      </c>
      <c r="H50" s="158">
        <f>K20</f>
        <v>108382750</v>
      </c>
      <c r="I50" s="159">
        <v>0.0</v>
      </c>
      <c r="J50" s="160">
        <f>K41</f>
        <v>128688924</v>
      </c>
      <c r="K50" s="161">
        <f>K25</f>
        <v>10236831</v>
      </c>
      <c r="L50" s="136">
        <f>AVERAGE(L48:L49)</f>
        <v>0.9637100026</v>
      </c>
      <c r="M50" s="163"/>
      <c r="N50" s="163"/>
    </row>
    <row r="51">
      <c r="A51" s="1"/>
      <c r="B51" s="43"/>
      <c r="C51" s="3"/>
      <c r="D51" s="169"/>
      <c r="E51" s="165">
        <v>2025.0</v>
      </c>
      <c r="F51" s="156">
        <f t="shared" ref="F51:F60" si="13">F50*(1+G51)</f>
        <v>483739135.1</v>
      </c>
      <c r="G51" s="157">
        <v>0.3</v>
      </c>
      <c r="H51" s="158">
        <f t="shared" ref="H51:H60" si="14">H50*(1+G51)</f>
        <v>140897575</v>
      </c>
      <c r="I51" s="159">
        <f>G51</f>
        <v>0.3</v>
      </c>
      <c r="J51" s="172">
        <f>J50</f>
        <v>128688924</v>
      </c>
      <c r="K51" s="173">
        <f>L50*K50</f>
        <v>9865336.429</v>
      </c>
      <c r="L51" s="6"/>
      <c r="M51" s="11"/>
      <c r="N51" s="11"/>
    </row>
    <row r="52">
      <c r="A52" s="1"/>
      <c r="B52" s="13" t="s">
        <v>74</v>
      </c>
      <c r="C52" s="174">
        <f>I52</f>
        <v>0.39</v>
      </c>
      <c r="D52" s="57"/>
      <c r="E52" s="175">
        <v>2026.0</v>
      </c>
      <c r="F52" s="156">
        <f t="shared" si="13"/>
        <v>617251136.4</v>
      </c>
      <c r="G52" s="157">
        <f>G51-(G51-G60) / 10</f>
        <v>0.276</v>
      </c>
      <c r="H52" s="158">
        <f t="shared" si="14"/>
        <v>179785305.7</v>
      </c>
      <c r="I52" s="176">
        <f t="shared" ref="I52:I60" si="15">I51 * (1+G51)</f>
        <v>0.39</v>
      </c>
      <c r="J52" s="160">
        <f t="shared" ref="J52:J60" si="16">J51*(1+G52)</f>
        <v>164207067</v>
      </c>
      <c r="K52" s="161">
        <f>L50*K51</f>
        <v>9507323.395</v>
      </c>
      <c r="L52" s="57"/>
      <c r="M52" s="11"/>
      <c r="N52" s="11"/>
    </row>
    <row r="53">
      <c r="A53" s="1"/>
      <c r="B53" s="13" t="s">
        <v>75</v>
      </c>
      <c r="C53" s="177">
        <f>J60/H60</f>
        <v>0.9133508792</v>
      </c>
      <c r="D53" s="57"/>
      <c r="E53" s="175">
        <v>2027.0</v>
      </c>
      <c r="F53" s="156">
        <f t="shared" si="13"/>
        <v>772798422.8</v>
      </c>
      <c r="G53" s="157">
        <f>G52-(G51-G60) / 10</f>
        <v>0.252</v>
      </c>
      <c r="H53" s="158">
        <f t="shared" si="14"/>
        <v>225091202.7</v>
      </c>
      <c r="I53" s="176">
        <f t="shared" si="15"/>
        <v>0.49764</v>
      </c>
      <c r="J53" s="160">
        <f t="shared" si="16"/>
        <v>205587247.9</v>
      </c>
      <c r="K53" s="161">
        <f>L50*K52</f>
        <v>9162302.654</v>
      </c>
      <c r="L53" s="57"/>
      <c r="M53" s="11"/>
      <c r="N53" s="11"/>
    </row>
    <row r="54">
      <c r="A54" s="1"/>
      <c r="B54" s="13" t="s">
        <v>76</v>
      </c>
      <c r="C54" s="178">
        <f>C53*(1+C52)^10</f>
        <v>24.59153588</v>
      </c>
      <c r="D54" s="57"/>
      <c r="E54" s="175">
        <v>2028.0</v>
      </c>
      <c r="F54" s="156">
        <f t="shared" si="13"/>
        <v>948996463.1</v>
      </c>
      <c r="G54" s="157">
        <f>G53-(G51-G60) / 10</f>
        <v>0.228</v>
      </c>
      <c r="H54" s="158">
        <f t="shared" si="14"/>
        <v>276411997</v>
      </c>
      <c r="I54" s="176">
        <f t="shared" si="15"/>
        <v>0.62304528</v>
      </c>
      <c r="J54" s="160">
        <f t="shared" si="16"/>
        <v>252461140.4</v>
      </c>
      <c r="K54" s="161">
        <f>L50*K53</f>
        <v>8829802.714</v>
      </c>
      <c r="L54" s="57"/>
      <c r="M54" s="11"/>
      <c r="N54" s="11"/>
    </row>
    <row r="55">
      <c r="A55" s="3"/>
      <c r="B55" s="13" t="s">
        <v>77</v>
      </c>
      <c r="C55" s="179">
        <f t="array" ref="C55">NPV(C36, J64:J74)</f>
        <v>118056035174</v>
      </c>
      <c r="D55" s="68"/>
      <c r="E55" s="175">
        <v>2029.0</v>
      </c>
      <c r="F55" s="156">
        <f t="shared" si="13"/>
        <v>1142591742</v>
      </c>
      <c r="G55" s="157">
        <f>G54-(G51-G60) / 10</f>
        <v>0.204</v>
      </c>
      <c r="H55" s="158">
        <f t="shared" si="14"/>
        <v>332800044.3</v>
      </c>
      <c r="I55" s="176">
        <f t="shared" si="15"/>
        <v>0.7650996038</v>
      </c>
      <c r="J55" s="160">
        <f t="shared" si="16"/>
        <v>303963213.1</v>
      </c>
      <c r="K55" s="161">
        <f>L50*K54</f>
        <v>8509369.196</v>
      </c>
      <c r="L55" s="57"/>
      <c r="M55" s="11"/>
      <c r="N55" s="11"/>
    </row>
    <row r="56">
      <c r="A56" s="3"/>
      <c r="B56" s="13" t="s">
        <v>72</v>
      </c>
      <c r="C56" s="180">
        <f>C55/K64</f>
        <v>88660.91885</v>
      </c>
      <c r="D56" s="57"/>
      <c r="E56" s="175">
        <v>2030.0</v>
      </c>
      <c r="F56" s="156">
        <f t="shared" si="13"/>
        <v>1348258255</v>
      </c>
      <c r="G56" s="157">
        <f>G55-(G51-G60) / 10</f>
        <v>0.18</v>
      </c>
      <c r="H56" s="158">
        <f t="shared" si="14"/>
        <v>392704052.3</v>
      </c>
      <c r="I56" s="176">
        <f t="shared" si="15"/>
        <v>0.921179923</v>
      </c>
      <c r="J56" s="160">
        <f t="shared" si="16"/>
        <v>358676591.4</v>
      </c>
      <c r="K56" s="161">
        <f>L50*K55</f>
        <v>8200564.21</v>
      </c>
      <c r="L56" s="57"/>
      <c r="M56" s="11"/>
      <c r="N56" s="11"/>
    </row>
    <row r="57">
      <c r="A57" s="1"/>
      <c r="B57" s="13" t="s">
        <v>73</v>
      </c>
      <c r="C57" s="181">
        <f>(C56/C25)^(1/10)-1</f>
        <v>0.6270581119</v>
      </c>
      <c r="D57" s="57"/>
      <c r="E57" s="134">
        <v>2031.0</v>
      </c>
      <c r="F57" s="156">
        <f t="shared" si="13"/>
        <v>1558586543</v>
      </c>
      <c r="G57" s="157">
        <f>G56-(G51-G60) / 10</f>
        <v>0.156</v>
      </c>
      <c r="H57" s="158">
        <f t="shared" si="14"/>
        <v>453965884.5</v>
      </c>
      <c r="I57" s="176">
        <f t="shared" si="15"/>
        <v>1.086992309</v>
      </c>
      <c r="J57" s="160">
        <f t="shared" si="16"/>
        <v>414630139.7</v>
      </c>
      <c r="K57" s="173">
        <f>L50*K56</f>
        <v>7902965.756</v>
      </c>
      <c r="L57" s="6"/>
      <c r="M57" s="11"/>
      <c r="N57" s="11"/>
    </row>
    <row r="58">
      <c r="A58" s="1"/>
      <c r="B58" s="43"/>
      <c r="C58" s="136"/>
      <c r="D58" s="57"/>
      <c r="E58" s="134">
        <v>2032.0</v>
      </c>
      <c r="F58" s="156">
        <f t="shared" si="13"/>
        <v>1764319967</v>
      </c>
      <c r="G58" s="157">
        <f>G57-(G51-G60) / 10</f>
        <v>0.132</v>
      </c>
      <c r="H58" s="158">
        <f t="shared" si="14"/>
        <v>513889381.2</v>
      </c>
      <c r="I58" s="176">
        <f t="shared" si="15"/>
        <v>1.256563109</v>
      </c>
      <c r="J58" s="160">
        <f t="shared" si="16"/>
        <v>469361318.2</v>
      </c>
      <c r="K58" s="173">
        <f>L50*K57</f>
        <v>7616167.149</v>
      </c>
      <c r="L58" s="6"/>
      <c r="M58" s="11"/>
      <c r="N58" s="11"/>
    </row>
    <row r="59">
      <c r="A59" s="1"/>
      <c r="B59" s="182" t="s">
        <v>78</v>
      </c>
      <c r="C59" s="19"/>
      <c r="D59" s="68"/>
      <c r="E59" s="134">
        <v>2033.0</v>
      </c>
      <c r="F59" s="156">
        <f t="shared" si="13"/>
        <v>1954866523</v>
      </c>
      <c r="G59" s="157">
        <f>G58-(G51-G60) / 10</f>
        <v>0.108</v>
      </c>
      <c r="H59" s="158">
        <f t="shared" si="14"/>
        <v>569389434.4</v>
      </c>
      <c r="I59" s="176">
        <f t="shared" si="15"/>
        <v>1.42242944</v>
      </c>
      <c r="J59" s="160">
        <f t="shared" si="16"/>
        <v>520052340.5</v>
      </c>
      <c r="K59" s="173">
        <f>L50*K58</f>
        <v>7339776.462</v>
      </c>
      <c r="L59" s="6"/>
      <c r="M59" s="11"/>
      <c r="N59" s="11"/>
    </row>
    <row r="60">
      <c r="A60" s="1"/>
      <c r="B60" s="24"/>
      <c r="C60" s="25"/>
      <c r="D60" s="68"/>
      <c r="E60" s="134">
        <v>2034.0</v>
      </c>
      <c r="F60" s="183">
        <f t="shared" si="13"/>
        <v>2072158514</v>
      </c>
      <c r="G60" s="184">
        <f>C37</f>
        <v>0.06</v>
      </c>
      <c r="H60" s="185">
        <f t="shared" si="14"/>
        <v>603552800.5</v>
      </c>
      <c r="I60" s="186">
        <f t="shared" si="15"/>
        <v>1.576051819</v>
      </c>
      <c r="J60" s="187">
        <f t="shared" si="16"/>
        <v>551255480.9</v>
      </c>
      <c r="K60" s="188">
        <f>L50*K59</f>
        <v>7073415.993</v>
      </c>
      <c r="L60" s="6"/>
      <c r="M60" s="11"/>
      <c r="N60" s="11"/>
    </row>
    <row r="61" ht="21.75" customHeight="1">
      <c r="A61" s="1"/>
      <c r="B61" s="24"/>
      <c r="C61" s="25"/>
      <c r="D61" s="169"/>
      <c r="E61" s="6"/>
      <c r="F61" s="189"/>
      <c r="G61" s="189"/>
      <c r="H61" s="6"/>
      <c r="I61" s="6"/>
      <c r="J61" s="6"/>
      <c r="K61" s="6"/>
      <c r="L61" s="6"/>
      <c r="M61" s="11"/>
      <c r="N61" s="11"/>
    </row>
    <row r="62">
      <c r="A62" s="1"/>
      <c r="B62" s="63"/>
      <c r="C62" s="64"/>
      <c r="D62" s="169"/>
      <c r="E62" s="137" t="s">
        <v>63</v>
      </c>
      <c r="F62" s="138" t="s">
        <v>79</v>
      </c>
      <c r="G62" s="138" t="s">
        <v>64</v>
      </c>
      <c r="H62" s="190" t="s">
        <v>25</v>
      </c>
      <c r="I62" s="141" t="s">
        <v>66</v>
      </c>
      <c r="J62" s="141" t="s">
        <v>80</v>
      </c>
      <c r="K62" s="142" t="s">
        <v>30</v>
      </c>
      <c r="L62" s="6"/>
      <c r="M62" s="11"/>
      <c r="N62" s="11"/>
    </row>
    <row r="63">
      <c r="A63" s="1"/>
      <c r="B63" s="57"/>
      <c r="C63" s="57"/>
      <c r="D63" s="169"/>
      <c r="E63" s="144"/>
      <c r="F63" s="145"/>
      <c r="G63" s="145"/>
      <c r="H63" s="146"/>
      <c r="I63" s="147"/>
      <c r="J63" s="57"/>
      <c r="K63" s="3"/>
      <c r="L63" s="6"/>
      <c r="M63" s="11"/>
      <c r="N63" s="11"/>
    </row>
    <row r="64">
      <c r="A64" s="136"/>
      <c r="B64" s="57"/>
      <c r="C64" s="57"/>
      <c r="D64" s="37"/>
      <c r="E64" s="134">
        <v>2034.0</v>
      </c>
      <c r="F64" s="191">
        <f>F60*C54</f>
        <v>50957560452</v>
      </c>
      <c r="G64" s="192">
        <f t="shared" ref="G64:H64" si="17">G60</f>
        <v>0.06</v>
      </c>
      <c r="H64" s="193">
        <f t="shared" si="17"/>
        <v>603552800.5</v>
      </c>
      <c r="I64" s="194">
        <f>J60</f>
        <v>551255480.9</v>
      </c>
      <c r="J64" s="195">
        <f>H64*C54</f>
        <v>14842290347</v>
      </c>
      <c r="K64" s="196">
        <f>L64*K23</f>
        <v>1331545.361</v>
      </c>
      <c r="L64" s="197">
        <f>((K23-H23)/H23 + 1)</f>
        <v>0.9654980254</v>
      </c>
      <c r="M64" s="11"/>
      <c r="N64" s="11"/>
    </row>
    <row r="65">
      <c r="A65" s="136"/>
      <c r="B65" s="1"/>
      <c r="C65" s="136"/>
      <c r="D65" s="37"/>
      <c r="E65" s="134">
        <v>2035.0</v>
      </c>
      <c r="F65" s="198">
        <f t="shared" ref="F65:F74" si="18">F64*(1+G65)</f>
        <v>54015014079</v>
      </c>
      <c r="G65" s="199">
        <f>G64-(G64-G74) / 10</f>
        <v>0.06</v>
      </c>
      <c r="H65" s="200">
        <f t="shared" ref="H65:H74" si="19">H64*(1+G65)</f>
        <v>639765968.5</v>
      </c>
      <c r="I65" s="201">
        <f t="shared" ref="I65:I74" si="20">I64*(1+G65)</f>
        <v>584330809.8</v>
      </c>
      <c r="J65" s="202">
        <f>H65*C54</f>
        <v>15732827768</v>
      </c>
      <c r="K65" s="40">
        <f t="shared" ref="K65:K68" si="21">L65*K64</f>
        <v>1272748.372</v>
      </c>
      <c r="L65" s="197">
        <f t="shared" ref="L65:L67" si="22">L64*0.99</f>
        <v>0.9558430452</v>
      </c>
      <c r="M65" s="11"/>
      <c r="N65" s="11"/>
    </row>
    <row r="66">
      <c r="A66" s="136"/>
      <c r="B66" s="1"/>
      <c r="C66" s="203"/>
      <c r="D66" s="37"/>
      <c r="E66" s="134">
        <v>2036.0</v>
      </c>
      <c r="F66" s="198">
        <f t="shared" si="18"/>
        <v>57255914923</v>
      </c>
      <c r="G66" s="199">
        <f>G65-(G64-G74) / 10</f>
        <v>0.06</v>
      </c>
      <c r="H66" s="200">
        <f t="shared" si="19"/>
        <v>678151926.6</v>
      </c>
      <c r="I66" s="201">
        <f t="shared" si="20"/>
        <v>619390658.4</v>
      </c>
      <c r="J66" s="204">
        <f>H66*C54</f>
        <v>16676797434</v>
      </c>
      <c r="K66" s="47">
        <f t="shared" si="21"/>
        <v>1204382.203</v>
      </c>
      <c r="L66" s="197">
        <f t="shared" si="22"/>
        <v>0.9462846147</v>
      </c>
      <c r="M66" s="11"/>
      <c r="N66" s="11"/>
    </row>
    <row r="67">
      <c r="A67" s="136"/>
      <c r="B67" s="1"/>
      <c r="C67" s="203"/>
      <c r="D67" s="37"/>
      <c r="E67" s="134">
        <v>2037.0</v>
      </c>
      <c r="F67" s="198">
        <f t="shared" si="18"/>
        <v>60691269819</v>
      </c>
      <c r="G67" s="199">
        <f>G66-(G64-G74) / 10</f>
        <v>0.06</v>
      </c>
      <c r="H67" s="200">
        <f t="shared" si="19"/>
        <v>718841042.2</v>
      </c>
      <c r="I67" s="201">
        <f t="shared" si="20"/>
        <v>656554097.9</v>
      </c>
      <c r="J67" s="202">
        <f>H67*C54</f>
        <v>17677405280</v>
      </c>
      <c r="K67" s="40">
        <f t="shared" si="21"/>
        <v>1128291.466</v>
      </c>
      <c r="L67" s="197">
        <f t="shared" si="22"/>
        <v>0.9368217686</v>
      </c>
      <c r="M67" s="11"/>
      <c r="N67" s="11"/>
    </row>
    <row r="68">
      <c r="A68" s="1"/>
      <c r="B68" s="1"/>
      <c r="C68" s="136"/>
      <c r="D68" s="68"/>
      <c r="E68" s="134">
        <v>2038.0</v>
      </c>
      <c r="F68" s="198">
        <f t="shared" si="18"/>
        <v>64332746008</v>
      </c>
      <c r="G68" s="199">
        <f>G67-(G64-G74) / 10</f>
        <v>0.06</v>
      </c>
      <c r="H68" s="200">
        <f t="shared" si="19"/>
        <v>761971504.7</v>
      </c>
      <c r="I68" s="201">
        <f t="shared" si="20"/>
        <v>695947343.8</v>
      </c>
      <c r="J68" s="204">
        <f>H68*C54</f>
        <v>18738049597</v>
      </c>
      <c r="K68" s="47">
        <f t="shared" si="21"/>
        <v>1057008.006</v>
      </c>
      <c r="L68" s="197">
        <f>L67</f>
        <v>0.9368217686</v>
      </c>
      <c r="M68" s="11"/>
      <c r="N68" s="11"/>
    </row>
    <row r="69">
      <c r="A69" s="1"/>
      <c r="B69" s="13"/>
      <c r="C69" s="68"/>
      <c r="D69" s="68"/>
      <c r="E69" s="134">
        <v>2039.0</v>
      </c>
      <c r="F69" s="198">
        <f t="shared" si="18"/>
        <v>68192710768</v>
      </c>
      <c r="G69" s="199">
        <f>G68-(G64-G74) / 10</f>
        <v>0.06</v>
      </c>
      <c r="H69" s="200">
        <f t="shared" si="19"/>
        <v>807689795</v>
      </c>
      <c r="I69" s="201">
        <f t="shared" si="20"/>
        <v>737704184.4</v>
      </c>
      <c r="J69" s="202">
        <f>H69*C54</f>
        <v>19862332573</v>
      </c>
      <c r="K69" s="40">
        <f>L68*K68</f>
        <v>990228.1099</v>
      </c>
      <c r="L69" s="6"/>
      <c r="M69" s="11"/>
      <c r="N69" s="11"/>
    </row>
    <row r="70">
      <c r="A70" s="1"/>
      <c r="B70" s="13"/>
      <c r="C70" s="205"/>
      <c r="D70" s="68"/>
      <c r="E70" s="134">
        <v>2040.0</v>
      </c>
      <c r="F70" s="198">
        <f t="shared" si="18"/>
        <v>72284273414</v>
      </c>
      <c r="G70" s="199">
        <f>G69-(G64-G74) / 10</f>
        <v>0.06</v>
      </c>
      <c r="H70" s="200">
        <f t="shared" si="19"/>
        <v>856151182.7</v>
      </c>
      <c r="I70" s="201">
        <f t="shared" si="20"/>
        <v>781966435.5</v>
      </c>
      <c r="J70" s="202">
        <f>H70*C54</f>
        <v>21054072527</v>
      </c>
      <c r="K70" s="40">
        <f>L68*K69</f>
        <v>927667.2492</v>
      </c>
      <c r="L70" s="6"/>
      <c r="M70" s="11"/>
      <c r="N70" s="11"/>
    </row>
    <row r="71">
      <c r="A71" s="1"/>
      <c r="B71" s="68"/>
      <c r="C71" s="68"/>
      <c r="D71" s="68"/>
      <c r="E71" s="134">
        <v>2041.0</v>
      </c>
      <c r="F71" s="198">
        <f t="shared" si="18"/>
        <v>76621329819</v>
      </c>
      <c r="G71" s="199">
        <f>G70-(G64-G74) / 10</f>
        <v>0.06</v>
      </c>
      <c r="H71" s="200">
        <f t="shared" si="19"/>
        <v>907520253.7</v>
      </c>
      <c r="I71" s="201">
        <f t="shared" si="20"/>
        <v>828884421.6</v>
      </c>
      <c r="J71" s="202">
        <f>H71*C54</f>
        <v>22317316879</v>
      </c>
      <c r="K71" s="40">
        <f>L68*K70</f>
        <v>869058.8731</v>
      </c>
      <c r="L71" s="6"/>
      <c r="M71" s="11"/>
      <c r="N71" s="11"/>
    </row>
    <row r="72">
      <c r="A72" s="1"/>
      <c r="B72" s="68"/>
      <c r="C72" s="68"/>
      <c r="D72" s="68"/>
      <c r="E72" s="134">
        <v>2042.0</v>
      </c>
      <c r="F72" s="198">
        <f t="shared" si="18"/>
        <v>81218609608</v>
      </c>
      <c r="G72" s="199">
        <f>G71-(G64-G74) / 10</f>
        <v>0.06</v>
      </c>
      <c r="H72" s="200">
        <f t="shared" si="19"/>
        <v>961971468.9</v>
      </c>
      <c r="I72" s="201">
        <f t="shared" si="20"/>
        <v>878617486.9</v>
      </c>
      <c r="J72" s="202">
        <f>H72*C54</f>
        <v>23656355892</v>
      </c>
      <c r="K72" s="40">
        <f>L68*K71</f>
        <v>814153.2705</v>
      </c>
      <c r="L72" s="6"/>
      <c r="M72" s="11"/>
      <c r="N72" s="11"/>
    </row>
    <row r="73">
      <c r="A73" s="1"/>
      <c r="B73" s="68"/>
      <c r="C73" s="68"/>
      <c r="D73" s="68"/>
      <c r="E73" s="134">
        <v>2043.0</v>
      </c>
      <c r="F73" s="198">
        <f t="shared" si="18"/>
        <v>86091726185</v>
      </c>
      <c r="G73" s="199">
        <f>G72-(G64-G74) / 10</f>
        <v>0.06</v>
      </c>
      <c r="H73" s="200">
        <f t="shared" si="19"/>
        <v>1019689757</v>
      </c>
      <c r="I73" s="201">
        <f t="shared" si="20"/>
        <v>931334536.1</v>
      </c>
      <c r="J73" s="202">
        <f>H73*C54</f>
        <v>25075737245</v>
      </c>
      <c r="K73" s="40">
        <f>L68*K72</f>
        <v>762716.5067</v>
      </c>
      <c r="L73" s="6"/>
      <c r="M73" s="11"/>
      <c r="N73" s="11"/>
    </row>
    <row r="74">
      <c r="A74" s="136"/>
      <c r="B74" s="37"/>
      <c r="C74" s="37"/>
      <c r="D74" s="68"/>
      <c r="E74" s="134">
        <v>2044.0</v>
      </c>
      <c r="F74" s="206">
        <f t="shared" si="18"/>
        <v>91257229756</v>
      </c>
      <c r="G74" s="207">
        <f>C47</f>
        <v>0.06</v>
      </c>
      <c r="H74" s="208">
        <f t="shared" si="19"/>
        <v>1080871142</v>
      </c>
      <c r="I74" s="209">
        <f t="shared" si="20"/>
        <v>987214608.3</v>
      </c>
      <c r="J74" s="210">
        <f>H74*C54</f>
        <v>26580281480</v>
      </c>
      <c r="K74" s="211">
        <f>L68*K73</f>
        <v>714529.4268</v>
      </c>
      <c r="L74" s="6"/>
      <c r="M74" s="11"/>
      <c r="N74" s="11"/>
    </row>
    <row r="75">
      <c r="A75" s="3"/>
      <c r="B75" s="6"/>
      <c r="C75" s="68"/>
      <c r="D75" s="68"/>
      <c r="E75" s="212"/>
      <c r="F75" s="212">
        <v>2019.0</v>
      </c>
      <c r="G75" s="212">
        <v>2020.0</v>
      </c>
      <c r="H75" s="212">
        <v>2021.0</v>
      </c>
      <c r="I75" s="212">
        <v>2022.0</v>
      </c>
      <c r="J75" s="212">
        <v>2023.0</v>
      </c>
      <c r="K75" s="6"/>
      <c r="L75" s="6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6"/>
      <c r="C76" s="68"/>
      <c r="D76" s="68"/>
      <c r="E76" s="6"/>
      <c r="F76" s="6"/>
      <c r="G76" s="6"/>
      <c r="H76" s="6"/>
      <c r="I76" s="6"/>
      <c r="J76" s="6"/>
      <c r="K76" s="6"/>
      <c r="L76" s="6"/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1.75" customHeight="1">
      <c r="A77" s="3"/>
      <c r="B77" s="213" t="s">
        <v>81</v>
      </c>
      <c r="C77" s="214"/>
      <c r="D77" s="214"/>
      <c r="E77" s="214"/>
      <c r="F77" s="214"/>
      <c r="G77" s="214"/>
      <c r="H77" s="214"/>
      <c r="I77" s="214"/>
      <c r="J77" s="214"/>
      <c r="K77" s="215"/>
      <c r="L77" s="6"/>
      <c r="M77" s="11"/>
      <c r="N77" s="11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idden="1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1"/>
      <c r="N130" s="11"/>
    </row>
    <row r="131" hidden="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1"/>
      <c r="N131" s="11"/>
    </row>
    <row r="132" hidden="1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1"/>
      <c r="N132" s="11"/>
    </row>
    <row r="133" hidden="1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1"/>
      <c r="N133" s="11"/>
    </row>
    <row r="134" hidden="1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1"/>
      <c r="N134" s="11"/>
    </row>
    <row r="135" hidden="1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1"/>
      <c r="N135" s="11"/>
    </row>
    <row r="136" hidden="1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1"/>
      <c r="N136" s="11"/>
    </row>
    <row r="137" hidden="1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1"/>
      <c r="N137" s="11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  <row r="984" hidden="1">
      <c r="A984" s="3"/>
      <c r="L984" s="3"/>
    </row>
    <row r="985" hidden="1">
      <c r="A985" s="3"/>
      <c r="L985" s="3"/>
    </row>
    <row r="986" hidden="1">
      <c r="A986" s="3"/>
      <c r="L986" s="3"/>
    </row>
    <row r="987" hidden="1">
      <c r="A987" s="3"/>
      <c r="L987" s="3"/>
    </row>
    <row r="988" hidden="1">
      <c r="A988" s="3"/>
      <c r="L988" s="3"/>
    </row>
    <row r="989" hidden="1">
      <c r="A989" s="3"/>
      <c r="L989" s="3"/>
    </row>
    <row r="990" hidden="1">
      <c r="A990" s="3"/>
      <c r="L990" s="3"/>
    </row>
    <row r="991" hidden="1">
      <c r="A991" s="3"/>
      <c r="L991" s="3"/>
    </row>
    <row r="992" hidden="1">
      <c r="A992" s="3"/>
      <c r="L992" s="3"/>
    </row>
    <row r="993" hidden="1">
      <c r="A993" s="3"/>
      <c r="L993" s="3"/>
    </row>
    <row r="994" hidden="1">
      <c r="A994" s="3"/>
      <c r="L994" s="3"/>
    </row>
    <row r="995" hidden="1">
      <c r="A995" s="3"/>
      <c r="L995" s="3"/>
    </row>
    <row r="996" hidden="1">
      <c r="A996" s="3"/>
      <c r="L996" s="3"/>
    </row>
    <row r="997" hidden="1">
      <c r="A997" s="3"/>
      <c r="L997" s="3"/>
    </row>
    <row r="998" hidden="1">
      <c r="A998" s="3"/>
      <c r="L998" s="3"/>
    </row>
    <row r="999" hidden="1">
      <c r="A999" s="3"/>
      <c r="L999" s="3"/>
    </row>
    <row r="1000" hidden="1">
      <c r="A1000" s="3"/>
      <c r="L1000" s="3"/>
    </row>
    <row r="1001" hidden="1">
      <c r="A1001" s="3"/>
      <c r="L1001" s="3"/>
    </row>
    <row r="1002" hidden="1">
      <c r="A1002" s="3"/>
      <c r="L1002" s="3"/>
    </row>
    <row r="1003" hidden="1">
      <c r="A1003" s="3"/>
      <c r="L1003" s="3"/>
    </row>
    <row r="1004" hidden="1">
      <c r="A1004" s="3"/>
      <c r="L1004" s="3"/>
    </row>
    <row r="1005" hidden="1">
      <c r="A1005" s="3"/>
      <c r="L1005" s="3"/>
    </row>
    <row r="1006" hidden="1">
      <c r="A1006" s="3"/>
      <c r="L1006" s="3"/>
    </row>
    <row r="1007" hidden="1">
      <c r="A1007" s="3"/>
      <c r="L1007" s="3"/>
    </row>
    <row r="1008" hidden="1">
      <c r="A1008" s="3"/>
      <c r="L1008" s="3"/>
    </row>
    <row r="1009" hidden="1">
      <c r="A1009" s="3"/>
      <c r="L1009" s="3"/>
    </row>
    <row r="1010" hidden="1">
      <c r="A1010" s="3"/>
      <c r="L1010" s="3"/>
    </row>
    <row r="1011" hidden="1">
      <c r="A1011" s="3"/>
      <c r="L1011" s="3"/>
    </row>
    <row r="1012" hidden="1">
      <c r="A1012" s="3"/>
      <c r="L1012" s="3"/>
    </row>
    <row r="1013" hidden="1">
      <c r="A1013" s="3"/>
      <c r="L1013" s="3"/>
    </row>
    <row r="1014" hidden="1">
      <c r="A1014" s="3"/>
      <c r="L1014" s="3"/>
    </row>
    <row r="1015" hidden="1">
      <c r="A1015" s="3"/>
      <c r="L1015" s="3"/>
    </row>
    <row r="1016" hidden="1">
      <c r="A1016" s="3"/>
      <c r="L1016" s="3"/>
    </row>
    <row r="1017" hidden="1">
      <c r="A1017" s="3"/>
      <c r="L1017" s="3"/>
    </row>
    <row r="1018" hidden="1">
      <c r="A1018" s="3"/>
      <c r="L1018" s="3"/>
    </row>
  </sheetData>
  <mergeCells count="3">
    <mergeCell ref="B4:C21"/>
    <mergeCell ref="B59:C62"/>
    <mergeCell ref="B77:K77"/>
  </mergeCells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2" width="1.88"/>
    <col customWidth="1" min="3" max="6" width="16.0"/>
    <col hidden="1" min="8" max="28" width="12.63"/>
  </cols>
  <sheetData>
    <row r="1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216"/>
      <c r="B3" s="217"/>
      <c r="C3" s="218" t="s">
        <v>82</v>
      </c>
      <c r="D3" s="219"/>
      <c r="E3" s="219"/>
      <c r="F3" s="2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221"/>
      <c r="B4" s="221"/>
      <c r="C4" s="221"/>
      <c r="D4" s="22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222"/>
      <c r="B5" s="223" t="s">
        <v>83</v>
      </c>
      <c r="C5" s="222" t="s">
        <v>84</v>
      </c>
      <c r="G5" s="22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222"/>
      <c r="B6" s="223"/>
      <c r="C6" s="222"/>
      <c r="D6" s="222"/>
      <c r="E6" s="222"/>
      <c r="F6" s="222"/>
      <c r="G6" s="22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222"/>
      <c r="B7" s="223" t="s">
        <v>83</v>
      </c>
      <c r="C7" s="224" t="s">
        <v>85</v>
      </c>
      <c r="G7" s="22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222"/>
      <c r="B8" s="223"/>
      <c r="C8" s="225"/>
      <c r="D8" s="225"/>
      <c r="E8" s="225"/>
      <c r="F8" s="225"/>
      <c r="G8" s="22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226"/>
      <c r="B9" s="223" t="s">
        <v>83</v>
      </c>
      <c r="C9" s="226" t="s">
        <v>86</v>
      </c>
      <c r="G9" s="22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226"/>
      <c r="B10" s="223"/>
      <c r="C10" s="226"/>
      <c r="D10" s="226"/>
      <c r="E10" s="226"/>
      <c r="F10" s="226"/>
      <c r="G10" s="22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226"/>
      <c r="B11" s="223" t="s">
        <v>83</v>
      </c>
      <c r="C11" s="227" t="s">
        <v>87</v>
      </c>
      <c r="G11" s="22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226"/>
      <c r="B12" s="223"/>
      <c r="C12" s="226"/>
      <c r="D12" s="226"/>
      <c r="E12" s="226"/>
      <c r="F12" s="226"/>
      <c r="G12" s="22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222"/>
      <c r="B13" s="223" t="s">
        <v>83</v>
      </c>
      <c r="C13" s="226" t="s">
        <v>88</v>
      </c>
      <c r="G13" s="2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222"/>
      <c r="B14" s="223"/>
      <c r="C14" s="226"/>
      <c r="D14" s="226"/>
      <c r="E14" s="226"/>
      <c r="F14" s="226"/>
      <c r="G14" s="22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222"/>
      <c r="B15" s="223" t="s">
        <v>83</v>
      </c>
      <c r="C15" s="227" t="s">
        <v>89</v>
      </c>
      <c r="G15" s="22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222"/>
      <c r="B16" s="223"/>
      <c r="C16" s="226"/>
      <c r="D16" s="226"/>
      <c r="E16" s="226"/>
      <c r="F16" s="226"/>
      <c r="G16" s="22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222"/>
      <c r="B17" s="223" t="s">
        <v>83</v>
      </c>
      <c r="C17" s="226" t="s">
        <v>90</v>
      </c>
      <c r="G17" s="22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222"/>
      <c r="B18" s="223"/>
      <c r="C18" s="226"/>
      <c r="D18" s="226"/>
      <c r="E18" s="226"/>
      <c r="F18" s="226"/>
      <c r="G18" s="22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222"/>
      <c r="B19" s="223" t="s">
        <v>83</v>
      </c>
      <c r="C19" s="227" t="s">
        <v>91</v>
      </c>
      <c r="G19" s="22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226"/>
      <c r="B20" s="226"/>
      <c r="C20" s="226"/>
      <c r="D20" s="226"/>
      <c r="E20" s="226"/>
      <c r="F20" s="22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226"/>
      <c r="B21" s="226"/>
      <c r="C21" s="226"/>
      <c r="D21" s="226"/>
      <c r="E21" s="226"/>
      <c r="F21" s="22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226"/>
      <c r="B22" s="226"/>
      <c r="C22" s="226"/>
      <c r="D22" s="226"/>
      <c r="E22" s="226"/>
      <c r="F22" s="2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226"/>
      <c r="B23" s="226"/>
      <c r="C23" s="226"/>
      <c r="D23" s="226"/>
      <c r="E23" s="226"/>
      <c r="F23" s="22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226"/>
      <c r="B24" s="226"/>
      <c r="C24" s="226"/>
      <c r="D24" s="226"/>
      <c r="E24" s="226"/>
      <c r="F24" s="22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226"/>
      <c r="B25" s="226"/>
      <c r="C25" s="226"/>
      <c r="D25" s="226"/>
      <c r="E25" s="226"/>
      <c r="F25" s="22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228"/>
      <c r="B26" s="226"/>
      <c r="C26" s="226"/>
      <c r="D26" s="226"/>
      <c r="E26" s="226"/>
      <c r="F26" s="22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228"/>
      <c r="B27" s="226"/>
      <c r="C27" s="226"/>
      <c r="D27" s="226"/>
      <c r="E27" s="226"/>
      <c r="F27" s="22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6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6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6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6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6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6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6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8">
    <mergeCell ref="C5:F5"/>
    <mergeCell ref="C7:F7"/>
    <mergeCell ref="C9:F9"/>
    <mergeCell ref="C11:F11"/>
    <mergeCell ref="C13:F13"/>
    <mergeCell ref="C15:F15"/>
    <mergeCell ref="C17:F17"/>
    <mergeCell ref="C19:F19"/>
  </mergeCells>
  <drawing r:id="rId1"/>
</worksheet>
</file>