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Q Bank" sheetId="2" r:id="rId5"/>
  </sheets>
  <definedNames/>
  <calcPr/>
</workbook>
</file>

<file path=xl/sharedStrings.xml><?xml version="1.0" encoding="utf-8"?>
<sst xmlns="http://schemas.openxmlformats.org/spreadsheetml/2006/main" count="111" uniqueCount="94">
  <si>
    <t>Baidu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</si>
  <si>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</si>
  <si>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Y19</t>
  </si>
  <si>
    <t>Y20</t>
  </si>
  <si>
    <t>Y21</t>
  </si>
  <si>
    <t>Y22</t>
  </si>
  <si>
    <t>Y23</t>
  </si>
  <si>
    <t>Y24</t>
  </si>
  <si>
    <t>Baidu is effectively the "Google of China" with a healthy amount of investments in valuable enterprises, most notably iQiyi which is the "Netflix of China". Given the strong, combining headwinds of a macro downturn in China's economy and a slowing growth of Baidu's core segment, BIDU is facing heavy negative sentiment for what is otherwise a strong, stable business trading at a depressed valuation. With ZERO growth over the next 10 years, a simple valuation of the business outputs an incredible 40% margin of safety priced into the stock. We estimate terminal growth at a conservative 5%.</t>
  </si>
  <si>
    <t>Revenue</t>
  </si>
  <si>
    <t>Revenue Growth</t>
  </si>
  <si>
    <t>Cost of Revenue (COGS)</t>
  </si>
  <si>
    <t>Profit Margin</t>
  </si>
  <si>
    <t>Gross Profit</t>
  </si>
  <si>
    <t>Gross Profit Growth</t>
  </si>
  <si>
    <t>SG&amp;A</t>
  </si>
  <si>
    <t>Research &amp; Development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</si>
  <si>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</si>
  <si>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</si>
  <si>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</si>
  <si>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</si>
  <si>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</si>
  <si>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</si>
  <si>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</si>
  <si>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</si>
  <si>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</si>
  <si>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</si>
  <si>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</si>
  <si>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BIDU</t>
  </si>
  <si>
    <t>10-K SEC Filing</t>
  </si>
  <si>
    <t>Shares</t>
  </si>
  <si>
    <t>in CNY (7:1, CNY:USD)</t>
  </si>
  <si>
    <t>Share Price</t>
  </si>
  <si>
    <t>Total Debt</t>
  </si>
  <si>
    <t>Market Cap (Actual)</t>
  </si>
  <si>
    <t>Shareholder Equity</t>
  </si>
  <si>
    <t>Market Cap (Estimate)</t>
  </si>
  <si>
    <t>Capital Lease Obligations</t>
  </si>
  <si>
    <t>ROIC</t>
  </si>
  <si>
    <t>Cash and Cash Equivalents</t>
  </si>
  <si>
    <t>EV</t>
  </si>
  <si>
    <t>Working Capital</t>
  </si>
  <si>
    <t>P/E</t>
  </si>
  <si>
    <t>Liquid Non-current Assets</t>
  </si>
  <si>
    <t>P/S</t>
  </si>
  <si>
    <t>P/B</t>
  </si>
  <si>
    <t>Share Repurchase</t>
  </si>
  <si>
    <t>EV / Revenue</t>
  </si>
  <si>
    <t>Share Issuance Proceeds</t>
  </si>
  <si>
    <t>EV / Pretax Income</t>
  </si>
  <si>
    <t>Stock Based Comp</t>
  </si>
  <si>
    <t>Debt Issuance</t>
  </si>
  <si>
    <t>Discount (WAPM)</t>
  </si>
  <si>
    <t>Debt Repayment</t>
  </si>
  <si>
    <t>Terminal Growth Rate</t>
  </si>
  <si>
    <t>NPV</t>
  </si>
  <si>
    <t>Operating Cash Flow</t>
  </si>
  <si>
    <t>NPV + Cash - Debt</t>
  </si>
  <si>
    <t>Investing Cash Flow</t>
  </si>
  <si>
    <t xml:space="preserve"> + Liquid assets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</si>
  <si>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</si>
  <si>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</si>
  <si>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</si>
  <si>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</si>
  <si>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</si>
  <si>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</si>
  <si>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</si>
  <si>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</si>
  <si>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</si>
  <si>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</si>
  <si>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</si>
  <si>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</si>
  <si>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</si>
  <si>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</si>
  <si>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</si>
  <si>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</si>
  <si>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</si>
  <si>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</si>
  <si>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</si>
  <si>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</si>
  <si>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In the above cash flow regression (coined CFR), revenue is projected out T+20, and the NPV is taken for year T+10 using a discounted net income margin. We then calculate the compounded rate of return using the current NPV and NPV at T+10.</t>
  </si>
  <si>
    <t>Discounted NI</t>
  </si>
  <si>
    <t>Disc. FCF</t>
  </si>
  <si>
    <t>Visualizations</t>
  </si>
  <si>
    <t>Questions</t>
  </si>
  <si>
    <t>&gt;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</si>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</sst>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0.0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/>
    <font>
      <i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6EEE3"/>
        <bgColor rgb="FFF6EE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FAFA"/>
        <bgColor rgb="FFFCFAFA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2" fillId="3" fontId="3" numFmtId="164" xfId="0" applyAlignment="1" applyBorder="1" applyFont="1" applyNumberFormat="1">
      <alignment readingOrder="0"/>
    </xf>
    <xf borderId="0" fillId="2" fontId="3" numFmtId="0" xfId="0" applyFont="1"/>
    <xf borderId="1" fillId="4" fontId="4" numFmtId="0" xfId="0" applyAlignment="1" applyBorder="1" applyFill="1" applyFont="1">
      <alignment readingOrder="0"/>
    </xf>
    <xf borderId="3" fillId="4" fontId="2" numFmtId="0" xfId="0" applyAlignment="1" applyBorder="1" applyFont="1">
      <alignment horizontal="right" readingOrder="0" vertical="bottom"/>
    </xf>
    <xf borderId="2" fillId="4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4" fillId="5" fontId="3" numFmtId="0" xfId="0" applyAlignment="1" applyBorder="1" applyFill="1" applyFont="1">
      <alignment readingOrder="0" shrinkToFit="0" vertical="top" wrapText="1"/>
    </xf>
    <xf borderId="5" fillId="0" fontId="5" numFmtId="0" xfId="0" applyBorder="1" applyFont="1"/>
    <xf borderId="0" fillId="2" fontId="3" numFmtId="165" xfId="0" applyAlignment="1" applyFont="1" applyNumberFormat="1">
      <alignment readingOrder="0"/>
    </xf>
    <xf borderId="4" fillId="6" fontId="3" numFmtId="3" xfId="0" applyAlignment="1" applyBorder="1" applyFill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5" fillId="6" fontId="3" numFmtId="3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0" fillId="2" fontId="2" numFmtId="0" xfId="0" applyAlignment="1" applyFont="1">
      <alignment readingOrder="0" vertical="bottom"/>
    </xf>
    <xf borderId="7" fillId="6" fontId="3" numFmtId="10" xfId="0" applyAlignment="1" applyBorder="1" applyFont="1" applyNumberFormat="1">
      <alignment readingOrder="0"/>
    </xf>
    <xf borderId="0" fillId="6" fontId="3" numFmtId="10" xfId="0" applyAlignment="1" applyFont="1" applyNumberFormat="1">
      <alignment readingOrder="0"/>
    </xf>
    <xf borderId="8" fillId="6" fontId="3" numFmtId="10" xfId="0" applyAlignment="1" applyBorder="1" applyFont="1" applyNumberFormat="1">
      <alignment readingOrder="0"/>
    </xf>
    <xf borderId="7" fillId="6" fontId="3" numFmtId="4" xfId="0" applyAlignment="1" applyBorder="1" applyFont="1" applyNumberFormat="1">
      <alignment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0" fillId="2" fontId="3" numFmtId="3" xfId="0" applyAlignment="1" applyFont="1" applyNumberFormat="1">
      <alignment readingOrder="0"/>
    </xf>
    <xf borderId="7" fillId="6" fontId="3" numFmtId="166" xfId="0" applyBorder="1" applyFont="1" applyNumberFormat="1"/>
    <xf borderId="0" fillId="6" fontId="3" numFmtId="166" xfId="0" applyFont="1" applyNumberFormat="1"/>
    <xf borderId="8" fillId="6" fontId="3" numFmtId="166" xfId="0" applyBorder="1" applyFont="1" applyNumberFormat="1"/>
    <xf borderId="0" fillId="2" fontId="3" numFmtId="10" xfId="0" applyFont="1" applyNumberFormat="1"/>
    <xf borderId="7" fillId="6" fontId="3" numFmtId="0" xfId="0" applyBorder="1" applyFont="1"/>
    <xf borderId="0" fillId="6" fontId="3" numFmtId="3" xfId="0" applyFont="1" applyNumberFormat="1"/>
    <xf borderId="8" fillId="6" fontId="3" numFmtId="3" xfId="0" applyBorder="1" applyFont="1" applyNumberFormat="1"/>
    <xf borderId="7" fillId="6" fontId="3" numFmtId="166" xfId="0" applyAlignment="1" applyBorder="1" applyFont="1" applyNumberFormat="1">
      <alignment readingOrder="0"/>
    </xf>
    <xf borderId="0" fillId="6" fontId="3" numFmtId="166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1"/>
    </xf>
    <xf borderId="7" fillId="6" fontId="3" numFmtId="4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 shrinkToFit="0" vertical="top" wrapText="1"/>
    </xf>
    <xf borderId="8" fillId="6" fontId="3" numFmtId="3" xfId="0" applyAlignment="1" applyBorder="1" applyFont="1" applyNumberFormat="1">
      <alignment readingOrder="0" shrinkToFit="0" vertical="top" wrapText="1"/>
    </xf>
    <xf borderId="0" fillId="2" fontId="3" numFmtId="4" xfId="0" applyFont="1" applyNumberFormat="1"/>
    <xf borderId="0" fillId="2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7" fillId="6" fontId="3" numFmtId="0" xfId="0" applyAlignment="1" applyBorder="1" applyFont="1">
      <alignment horizontal="right" readingOrder="0"/>
    </xf>
    <xf borderId="8" fillId="6" fontId="3" numFmtId="3" xfId="0" applyAlignment="1" applyBorder="1" applyFont="1" applyNumberFormat="1">
      <alignment horizontal="right" readingOrder="0"/>
    </xf>
    <xf borderId="0" fillId="2" fontId="3" numFmtId="4" xfId="0" applyAlignment="1" applyFont="1" applyNumberFormat="1">
      <alignment readingOrder="0"/>
    </xf>
    <xf borderId="0" fillId="2" fontId="3" numFmtId="2" xfId="0" applyAlignment="1" applyFont="1" applyNumberFormat="1">
      <alignment horizontal="right" readingOrder="0"/>
    </xf>
    <xf borderId="7" fillId="6" fontId="3" numFmtId="3" xfId="0" applyAlignment="1" applyBorder="1" applyFont="1" applyNumberFormat="1">
      <alignment readingOrder="0"/>
    </xf>
    <xf borderId="0" fillId="2" fontId="3" numFmtId="10" xfId="0" applyAlignment="1" applyFont="1" applyNumberFormat="1">
      <alignment readingOrder="0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2" xfId="0" applyFont="1" applyNumberFormat="1"/>
    <xf borderId="7" fillId="6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7" fillId="6" fontId="3" numFmtId="0" xfId="0" applyAlignment="1" applyBorder="1" applyFont="1">
      <alignment readingOrder="0"/>
    </xf>
    <xf borderId="0" fillId="6" fontId="3" numFmtId="9" xfId="0" applyFont="1" applyNumberFormat="1"/>
    <xf borderId="8" fillId="6" fontId="3" numFmtId="9" xfId="0" applyBorder="1" applyFont="1" applyNumberFormat="1"/>
    <xf borderId="0" fillId="2" fontId="3" numFmtId="0" xfId="0" applyFont="1"/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2" fillId="3" fontId="3" numFmtId="0" xfId="0" applyAlignment="1" applyBorder="1" applyFont="1">
      <alignment horizontal="right" readingOrder="0"/>
    </xf>
    <xf borderId="9" fillId="6" fontId="3" numFmtId="4" xfId="0" applyAlignment="1" applyBorder="1" applyFont="1" applyNumberFormat="1">
      <alignment readingOrder="0"/>
    </xf>
    <xf borderId="11" fillId="6" fontId="3" numFmtId="3" xfId="0" applyAlignment="1" applyBorder="1" applyFont="1" applyNumberFormat="1">
      <alignment readingOrder="0"/>
    </xf>
    <xf borderId="10" fillId="6" fontId="3" numFmtId="3" xfId="0" applyAlignment="1" applyBorder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12" fillId="7" fontId="2" numFmtId="165" xfId="0" applyAlignment="1" applyBorder="1" applyFill="1" applyFont="1" applyNumberFormat="1">
      <alignment readingOrder="0" vertical="bottom"/>
    </xf>
    <xf borderId="4" fillId="8" fontId="3" numFmtId="4" xfId="0" applyAlignment="1" applyBorder="1" applyFill="1" applyFont="1" applyNumberFormat="1">
      <alignment horizontal="right" readingOrder="0"/>
    </xf>
    <xf borderId="6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5" fillId="8" fontId="3" numFmtId="3" xfId="0" applyAlignment="1" applyBorder="1" applyFont="1" applyNumberFormat="1">
      <alignment readingOrder="0"/>
    </xf>
    <xf borderId="13" fillId="7" fontId="3" numFmtId="165" xfId="0" applyAlignment="1" applyBorder="1" applyFont="1" applyNumberFormat="1">
      <alignment readingOrder="0" vertical="bottom"/>
    </xf>
    <xf borderId="7" fillId="8" fontId="3" numFmtId="4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 vertical="bottom"/>
    </xf>
    <xf borderId="0" fillId="8" fontId="3" numFmtId="3" xfId="0" applyAlignment="1" applyFont="1" applyNumberFormat="1">
      <alignment readingOrder="0"/>
    </xf>
    <xf borderId="8" fillId="8" fontId="3" numFmtId="3" xfId="0" applyAlignment="1" applyBorder="1" applyFont="1" applyNumberFormat="1">
      <alignment readingOrder="0"/>
    </xf>
    <xf borderId="13" fillId="7" fontId="2" numFmtId="10" xfId="0" applyAlignment="1" applyBorder="1" applyFont="1" applyNumberFormat="1">
      <alignment readingOrder="0" vertical="bottom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9" fillId="8" fontId="3" numFmtId="4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3" fillId="7" fontId="3" numFmtId="4" xfId="0" applyAlignment="1" applyBorder="1" applyFont="1" applyNumberFormat="1">
      <alignment readingOrder="0" vertical="bottom"/>
    </xf>
    <xf borderId="0" fillId="2" fontId="2" numFmtId="0" xfId="0" applyAlignment="1" applyFont="1">
      <alignment shrinkToFit="0" vertical="bottom" wrapText="1"/>
    </xf>
    <xf borderId="4" fillId="9" fontId="3" numFmtId="2" xfId="0" applyAlignment="1" applyBorder="1" applyFill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 vertical="bottom"/>
    </xf>
    <xf borderId="6" fillId="9" fontId="3" numFmtId="3" xfId="0" applyAlignment="1" applyBorder="1" applyFont="1" applyNumberFormat="1">
      <alignment readingOrder="0"/>
    </xf>
    <xf borderId="5" fillId="9" fontId="3" numFmtId="3" xfId="0" applyAlignment="1" applyBorder="1" applyFont="1" applyNumberFormat="1">
      <alignment readingOrder="0"/>
    </xf>
    <xf borderId="13" fillId="7" fontId="3" numFmtId="4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7" fillId="9" fontId="3" numFmtId="2" xfId="0" applyAlignment="1" applyBorder="1" applyFont="1" applyNumberFormat="1">
      <alignment horizontal="right" readingOrder="0"/>
    </xf>
    <xf borderId="0" fillId="9" fontId="3" numFmtId="3" xfId="0" applyAlignment="1" applyFont="1" applyNumberFormat="1">
      <alignment horizontal="right" readingOrder="0" vertical="bottom"/>
    </xf>
    <xf borderId="0" fillId="9" fontId="3" numFmtId="3" xfId="0" applyAlignment="1" applyFont="1" applyNumberFormat="1">
      <alignment horizontal="right" readingOrder="0"/>
    </xf>
    <xf borderId="0" fillId="9" fontId="3" numFmtId="3" xfId="0" applyAlignment="1" applyFont="1" applyNumberFormat="1">
      <alignment readingOrder="0"/>
    </xf>
    <xf borderId="8" fillId="9" fontId="3" numFmtId="3" xfId="0" applyAlignment="1" applyBorder="1" applyFont="1" applyNumberFormat="1">
      <alignment readingOrder="0"/>
    </xf>
    <xf borderId="14" fillId="7" fontId="3" numFmtId="4" xfId="0" applyAlignment="1" applyBorder="1" applyFont="1" applyNumberFormat="1">
      <alignment readingOrder="0" vertical="bottom"/>
    </xf>
    <xf borderId="0" fillId="2" fontId="3" numFmtId="4" xfId="0" applyAlignment="1" applyFont="1" applyNumberFormat="1">
      <alignment readingOrder="0" vertical="bottom"/>
    </xf>
    <xf borderId="12" fillId="6" fontId="3" numFmtId="10" xfId="0" applyAlignment="1" applyBorder="1" applyFont="1" applyNumberFormat="1">
      <alignment readingOrder="0" shrinkToFit="0" vertical="bottom" wrapText="1"/>
    </xf>
    <xf borderId="0" fillId="2" fontId="3" numFmtId="10" xfId="0" applyAlignment="1" applyFont="1" applyNumberFormat="1">
      <alignment vertical="bottom"/>
    </xf>
    <xf borderId="9" fillId="9" fontId="3" numFmtId="2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readingOrder="0"/>
    </xf>
    <xf borderId="10" fillId="9" fontId="3" numFmtId="3" xfId="0" applyAlignment="1" applyBorder="1" applyFont="1" applyNumberFormat="1">
      <alignment readingOrder="0"/>
    </xf>
    <xf borderId="13" fillId="6" fontId="3" numFmtId="10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horizontal="right" readingOrder="0"/>
    </xf>
    <xf borderId="13" fillId="6" fontId="3" numFmtId="165" xfId="0" applyAlignment="1" applyBorder="1" applyFont="1" applyNumberFormat="1">
      <alignment readingOrder="0" shrinkToFit="0" vertical="bottom" wrapText="1"/>
    </xf>
    <xf borderId="4" fillId="10" fontId="3" numFmtId="2" xfId="0" applyAlignment="1" applyBorder="1" applyFill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 vertical="bottom"/>
    </xf>
    <xf borderId="6" fillId="10" fontId="3" numFmtId="3" xfId="0" applyAlignment="1" applyBorder="1" applyFont="1" applyNumberFormat="1">
      <alignment readingOrder="0"/>
    </xf>
    <xf borderId="5" fillId="10" fontId="3" numFmtId="3" xfId="0" applyAlignment="1" applyBorder="1" applyFont="1" applyNumberFormat="1">
      <alignment readingOrder="0"/>
    </xf>
    <xf borderId="7" fillId="10" fontId="3" numFmtId="2" xfId="0" applyAlignment="1" applyBorder="1" applyFont="1" applyNumberFormat="1">
      <alignment horizontal="right" readingOrder="0"/>
    </xf>
    <xf borderId="0" fillId="10" fontId="3" numFmtId="3" xfId="0" applyAlignment="1" applyFont="1" applyNumberFormat="1">
      <alignment horizontal="right" readingOrder="0"/>
    </xf>
    <xf borderId="0" fillId="10" fontId="3" numFmtId="3" xfId="0" applyAlignment="1" applyFont="1" applyNumberFormat="1">
      <alignment readingOrder="0"/>
    </xf>
    <xf borderId="8" fillId="10" fontId="3" numFmtId="3" xfId="0" applyAlignment="1" applyBorder="1" applyFont="1" applyNumberFormat="1">
      <alignment readingOrder="0"/>
    </xf>
    <xf borderId="13" fillId="6" fontId="3" numFmtId="3" xfId="0" applyAlignment="1" applyBorder="1" applyFont="1" applyNumberFormat="1">
      <alignment readingOrder="0" shrinkToFit="0" vertical="bottom" wrapText="1"/>
    </xf>
    <xf borderId="13" fillId="6" fontId="2" numFmtId="165" xfId="0" applyAlignment="1" applyBorder="1" applyFont="1" applyNumberForma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9" fillId="10" fontId="3" numFmtId="2" xfId="0" applyAlignment="1" applyBorder="1" applyFont="1" applyNumberFormat="1">
      <alignment horizontal="right" readingOrder="0"/>
    </xf>
    <xf borderId="11" fillId="10" fontId="3" numFmtId="3" xfId="0" applyAlignment="1" applyBorder="1" applyFont="1" applyNumberFormat="1">
      <alignment horizontal="right" readingOrder="0"/>
    </xf>
    <xf borderId="10" fillId="10" fontId="3" numFmtId="3" xfId="0" applyAlignment="1" applyBorder="1" applyFont="1" applyNumberFormat="1">
      <alignment readingOrder="0"/>
    </xf>
    <xf borderId="14" fillId="6" fontId="1" numFmtId="10" xfId="0" applyBorder="1" applyFont="1" applyNumberFormat="1"/>
    <xf borderId="0" fillId="2" fontId="3" numFmtId="0" xfId="0" applyAlignment="1" applyFont="1">
      <alignment horizontal="left" readingOrder="0"/>
    </xf>
    <xf borderId="0" fillId="2" fontId="3" numFmtId="49" xfId="0" applyFont="1" applyNumberFormat="1"/>
    <xf borderId="0" fillId="2" fontId="1" numFmtId="10" xfId="0" applyFont="1" applyNumberFormat="1"/>
    <xf borderId="1" fillId="11" fontId="2" numFmtId="0" xfId="0" applyAlignment="1" applyBorder="1" applyFill="1" applyFont="1">
      <alignment horizontal="left" readingOrder="0" vertical="bottom"/>
    </xf>
    <xf borderId="3" fillId="11" fontId="2" numFmtId="0" xfId="0" applyAlignment="1" applyBorder="1" applyFont="1">
      <alignment horizontal="right" readingOrder="0" vertical="bottom"/>
    </xf>
    <xf borderId="3" fillId="11" fontId="2" numFmtId="10" xfId="0" applyAlignment="1" applyBorder="1" applyFont="1" applyNumberFormat="1">
      <alignment horizontal="right" vertical="bottom"/>
    </xf>
    <xf borderId="3" fillId="11" fontId="2" numFmtId="165" xfId="0" applyAlignment="1" applyBorder="1" applyFont="1" applyNumberFormat="1">
      <alignment horizontal="right" vertical="bottom"/>
    </xf>
    <xf borderId="3" fillId="11" fontId="2" numFmtId="0" xfId="0" applyAlignment="1" applyBorder="1" applyFont="1">
      <alignment horizontal="right" readingOrder="0" shrinkToFit="0" vertical="top" wrapText="1"/>
    </xf>
    <xf borderId="2" fillId="11" fontId="2" numFmtId="0" xfId="0" applyAlignment="1" applyBorder="1" applyFont="1">
      <alignment horizontal="right" readingOrder="0" shrinkToFit="0" vertical="top" wrapText="1"/>
    </xf>
    <xf borderId="12" fillId="8" fontId="3" numFmtId="165" xfId="0" applyBorder="1" applyFont="1" applyNumberFormat="1"/>
    <xf borderId="0" fillId="2" fontId="2" numFmtId="0" xfId="0" applyAlignment="1" applyFont="1">
      <alignment horizontal="left" vertical="bottom"/>
    </xf>
    <xf borderId="0" fillId="2" fontId="2" numFmtId="10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readingOrder="0" vertical="bottom"/>
    </xf>
    <xf borderId="14" fillId="8" fontId="3" numFmtId="165" xfId="0" applyBorder="1" applyFont="1" applyNumberFormat="1"/>
    <xf borderId="0" fillId="2" fontId="3" numFmtId="0" xfId="0" applyAlignment="1" applyFont="1">
      <alignment horizontal="left" readingOrder="0" vertical="bottom"/>
    </xf>
    <xf borderId="4" fillId="12" fontId="3" numFmtId="167" xfId="0" applyAlignment="1" applyBorder="1" applyFill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horizontal="right" readingOrder="0" vertical="bottom"/>
    </xf>
    <xf borderId="6" fillId="12" fontId="3" numFmtId="167" xfId="0" applyAlignment="1" applyBorder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readingOrder="0" vertical="bottom"/>
    </xf>
    <xf borderId="6" fillId="12" fontId="3" numFmtId="167" xfId="0" applyAlignment="1" applyBorder="1" applyFont="1" applyNumberFormat="1">
      <alignment readingOrder="0" shrinkToFit="0" vertical="top" wrapText="1"/>
    </xf>
    <xf borderId="5" fillId="12" fontId="3" numFmtId="167" xfId="0" applyAlignment="1" applyBorder="1" applyFont="1" applyNumberFormat="1">
      <alignment readingOrder="0" shrinkToFit="0" vertical="top" wrapText="1"/>
    </xf>
    <xf borderId="7" fillId="12" fontId="3" numFmtId="167" xfId="0" applyAlignment="1" applyBorder="1" applyFont="1" applyNumberFormat="1">
      <alignment horizontal="right" readingOrder="0" vertical="bottom"/>
    </xf>
    <xf borderId="0" fillId="12" fontId="3" numFmtId="10" xfId="0" applyAlignment="1" applyFont="1" applyNumberFormat="1">
      <alignment horizontal="right" readingOrder="0" vertical="bottom"/>
    </xf>
    <xf borderId="0" fillId="12" fontId="3" numFmtId="167" xfId="0" applyAlignment="1" applyFont="1" applyNumberFormat="1">
      <alignment horizontal="right" vertical="bottom"/>
    </xf>
    <xf borderId="0" fillId="12" fontId="3" numFmtId="10" xfId="0" applyAlignment="1" applyFont="1" applyNumberFormat="1">
      <alignment readingOrder="0" vertical="bottom"/>
    </xf>
    <xf borderId="0" fillId="12" fontId="3" numFmtId="167" xfId="0" applyAlignment="1" applyFont="1" applyNumberFormat="1">
      <alignment readingOrder="0" shrinkToFit="0" vertical="top" wrapText="1"/>
    </xf>
    <xf borderId="8" fillId="12" fontId="3" numFmtId="167" xfId="0" applyAlignment="1" applyBorder="1" applyFont="1" applyNumberForma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0" fillId="0" fontId="1" numFmtId="0" xfId="0" applyFont="1"/>
    <xf borderId="12" fillId="9" fontId="3" numFmtId="10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7" fillId="12" fontId="3" numFmtId="167" xfId="0" applyAlignment="1" applyBorder="1" applyFont="1" applyNumberFormat="1">
      <alignment horizontal="right" vertical="bottom"/>
    </xf>
    <xf borderId="0" fillId="12" fontId="3" numFmtId="10" xfId="0" applyAlignment="1" applyFont="1" applyNumberFormat="1">
      <alignment horizontal="right" vertical="bottom"/>
    </xf>
    <xf borderId="13" fillId="9" fontId="3" numFmtId="165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13" fillId="9" fontId="7" numFmtId="165" xfId="0" applyAlignment="1" applyBorder="1" applyFont="1" applyNumberFormat="1">
      <alignment horizontal="right" readingOrder="0"/>
    </xf>
    <xf borderId="14" fillId="9" fontId="2" numFmtId="10" xfId="0" applyAlignment="1" applyBorder="1" applyFont="1" applyNumberFormat="1">
      <alignment vertical="bottom"/>
    </xf>
    <xf borderId="0" fillId="12" fontId="3" numFmtId="167" xfId="0" applyFont="1" applyNumberFormat="1"/>
    <xf borderId="8" fillId="12" fontId="3" numFmtId="167" xfId="0" applyBorder="1" applyFont="1" applyNumberFormat="1"/>
    <xf borderId="12" fillId="4" fontId="3" numFmtId="9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12" fontId="3" numFmtId="10" xfId="0" applyAlignment="1" applyFont="1" applyNumberFormat="1">
      <alignment vertical="bottom"/>
    </xf>
    <xf borderId="13" fillId="4" fontId="3" numFmtId="10" xfId="0" applyBorder="1" applyFont="1" applyNumberFormat="1"/>
    <xf borderId="13" fillId="4" fontId="3" numFmtId="10" xfId="0" applyAlignment="1" applyBorder="1" applyFont="1" applyNumberFormat="1">
      <alignment readingOrder="0"/>
    </xf>
    <xf borderId="13" fillId="4" fontId="3" numFmtId="165" xfId="0" applyBorder="1" applyFont="1" applyNumberFormat="1"/>
    <xf borderId="13" fillId="4" fontId="1" numFmtId="165" xfId="0" applyBorder="1" applyFont="1" applyNumberFormat="1"/>
    <xf borderId="14" fillId="4" fontId="2" numFmtId="10" xfId="0" applyBorder="1" applyFont="1" applyNumberFormat="1"/>
    <xf borderId="4" fillId="5" fontId="3" numFmtId="0" xfId="0" applyAlignment="1" applyBorder="1" applyFont="1">
      <alignment readingOrder="0" shrinkToFit="0" vertical="center" wrapText="1"/>
    </xf>
    <xf borderId="9" fillId="12" fontId="3" numFmtId="167" xfId="0" applyAlignment="1" applyBorder="1" applyFont="1" applyNumberFormat="1">
      <alignment horizontal="right" readingOrder="0" vertical="bottom"/>
    </xf>
    <xf borderId="11" fillId="12" fontId="3" numFmtId="10" xfId="0" applyAlignment="1" applyBorder="1" applyFont="1" applyNumberFormat="1">
      <alignment horizontal="right" readingOrder="0" vertical="bottom"/>
    </xf>
    <xf borderId="11" fillId="12" fontId="3" numFmtId="167" xfId="0" applyAlignment="1" applyBorder="1" applyFont="1" applyNumberFormat="1">
      <alignment horizontal="right" vertical="bottom"/>
    </xf>
    <xf borderId="11" fillId="12" fontId="3" numFmtId="10" xfId="0" applyAlignment="1" applyBorder="1" applyFont="1" applyNumberFormat="1">
      <alignment vertical="bottom"/>
    </xf>
    <xf borderId="11" fillId="12" fontId="3" numFmtId="167" xfId="0" applyAlignment="1" applyBorder="1" applyFont="1" applyNumberFormat="1">
      <alignment readingOrder="0" shrinkToFit="0" vertical="top" wrapText="1"/>
    </xf>
    <xf borderId="10" fillId="12" fontId="3" numFmtId="167" xfId="0" applyBorder="1" applyFont="1" applyNumberFormat="1"/>
    <xf borderId="0" fillId="2" fontId="3" numFmtId="10" xfId="0" applyAlignment="1" applyFont="1" applyNumberFormat="1">
      <alignment horizontal="right" readingOrder="0" vertical="bottom"/>
    </xf>
    <xf borderId="3" fillId="11" fontId="2" numFmtId="165" xfId="0" applyAlignment="1" applyBorder="1" applyFont="1" applyNumberFormat="1">
      <alignment horizontal="righ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6" fillId="6" fontId="3" numFmtId="10" xfId="0" applyAlignment="1" applyBorder="1" applyFont="1" applyNumberFormat="1">
      <alignment horizontal="right" readingOrder="0" vertical="bottom"/>
    </xf>
    <xf borderId="6" fillId="6" fontId="3" numFmtId="167" xfId="0" applyAlignment="1" applyBorder="1" applyFont="1" applyNumberFormat="1">
      <alignment horizontal="right" vertical="bottom"/>
    </xf>
    <xf borderId="6" fillId="6" fontId="3" numFmtId="167" xfId="0" applyAlignment="1" applyBorder="1" applyFont="1" applyNumberFormat="1">
      <alignment vertical="bottom"/>
    </xf>
    <xf borderId="6" fillId="6" fontId="3" numFmtId="167" xfId="0" applyAlignment="1" applyBorder="1" applyFont="1" applyNumberFormat="1">
      <alignment readingOrder="0" shrinkToFit="0" vertical="top" wrapText="1"/>
    </xf>
    <xf borderId="5" fillId="6" fontId="3" numFmtId="4" xfId="0" applyAlignment="1" applyBorder="1" applyFont="1" applyNumberFormat="1">
      <alignment readingOrder="0" shrinkToFit="0" vertical="top" wrapText="1"/>
    </xf>
    <xf borderId="0" fillId="2" fontId="3" numFmtId="168" xfId="0" applyFont="1" applyNumberFormat="1"/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67" xfId="0" applyAlignment="1" applyFont="1" applyNumberFormat="1">
      <alignment vertical="bottom"/>
    </xf>
    <xf borderId="0" fillId="6" fontId="3" numFmtId="167" xfId="0" applyFont="1" applyNumberFormat="1"/>
    <xf borderId="0" fillId="2" fontId="1" numFmtId="167" xfId="0" applyFont="1" applyNumberFormat="1"/>
    <xf borderId="0" fillId="6" fontId="3" numFmtId="167" xfId="0" applyAlignment="1" applyFont="1" applyNumberFormat="1">
      <alignment readingOrder="0" shrinkToFit="0" vertical="top" wrapText="1"/>
    </xf>
    <xf borderId="0" fillId="2" fontId="2" numFmtId="10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1" fillId="6" fontId="3" numFmtId="10" xfId="0" applyAlignment="1" applyBorder="1" applyFont="1" applyNumberFormat="1">
      <alignment horizontal="right" readingOrder="0" vertical="bottom"/>
    </xf>
    <xf borderId="11" fillId="6" fontId="3" numFmtId="167" xfId="0" applyAlignment="1" applyBorder="1" applyFont="1" applyNumberFormat="1">
      <alignment horizontal="right" vertical="bottom"/>
    </xf>
    <xf borderId="11" fillId="6" fontId="3" numFmtId="167" xfId="0" applyAlignment="1" applyBorder="1" applyFont="1" applyNumberFormat="1">
      <alignment vertical="bottom"/>
    </xf>
    <xf borderId="11" fillId="6" fontId="3" numFmtId="167" xfId="0" applyBorder="1" applyFont="1" applyNumberFormat="1"/>
    <xf borderId="10" fillId="6" fontId="3" numFmtId="3" xfId="0" applyBorder="1" applyFont="1" applyNumberFormat="1"/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vertical="center"/>
    </xf>
    <xf borderId="3" fillId="0" fontId="5" numFmtId="0" xfId="0" applyBorder="1" applyFont="1"/>
    <xf borderId="2" fillId="0" fontId="5" numFmtId="0" xfId="0" applyBorder="1" applyFont="1"/>
    <xf borderId="0" fillId="2" fontId="8" numFmtId="0" xfId="0" applyAlignment="1" applyFont="1">
      <alignment vertical="bottom"/>
    </xf>
    <xf borderId="0" fillId="2" fontId="9" numFmtId="0" xfId="0" applyAlignment="1" applyFont="1">
      <alignment vertical="center"/>
    </xf>
    <xf borderId="1" fillId="3" fontId="10" numFmtId="0" xfId="0" applyAlignment="1" applyBorder="1" applyFont="1">
      <alignment horizontal="left" readingOrder="0"/>
    </xf>
    <xf borderId="3" fillId="3" fontId="8" numFmtId="0" xfId="0" applyAlignment="1" applyBorder="1" applyFont="1">
      <alignment vertical="center"/>
    </xf>
    <xf borderId="2" fillId="3" fontId="8" numFmtId="0" xfId="0" applyAlignment="1" applyBorder="1" applyFont="1">
      <alignment vertical="center"/>
    </xf>
    <xf borderId="0" fillId="2" fontId="9" numFmtId="0" xfId="0" applyAlignment="1" applyFont="1">
      <alignment vertical="bottom"/>
    </xf>
    <xf borderId="0" fillId="2" fontId="9" numFmtId="10" xfId="0" applyAlignment="1" applyFont="1" applyNumberFormat="1">
      <alignment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13" fontId="9" numFmtId="10" xfId="0" applyAlignment="1" applyFill="1" applyFont="1" applyNumberFormat="1">
      <alignment shrinkToFit="0" vertical="bottom" wrapText="0"/>
    </xf>
    <xf borderId="0" fillId="2" fontId="9" numFmtId="10" xfId="0" applyAlignment="1" applyFont="1" applyNumberFormat="1">
      <alignment shrinkToFit="0" vertical="bottom" wrapText="0"/>
    </xf>
    <xf borderId="0" fillId="2" fontId="9" numFmtId="0" xfId="0" applyAlignment="1" applyFont="1">
      <alignment shrinkToFit="0" vertical="bottom" wrapText="1"/>
    </xf>
    <xf borderId="0" fillId="13" fontId="9" numFmtId="0" xfId="0" applyAlignment="1" applyFont="1">
      <alignment shrinkToFit="0" vertical="bottom" wrapText="1"/>
    </xf>
    <xf borderId="0" fillId="2" fontId="9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Valuation!$G$4:$K$4</c:f>
              <c:numCache/>
            </c:numRef>
          </c:val>
          <c:smooth val="1"/>
        </c:ser>
        <c:ser>
          <c:idx val="1"/>
          <c:order val="1"/>
          <c:tx>
            <c:v>Gross Profit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Valuation!$G$8:$K$8</c:f>
              <c:numCache/>
            </c:numRef>
          </c:val>
          <c:smooth val="1"/>
        </c:ser>
        <c:ser>
          <c:idx val="2"/>
          <c:order val="2"/>
          <c:tx>
            <c:v>Net Income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Valuation!$G$20:$K$20</c:f>
              <c:numCache/>
            </c:numRef>
          </c:val>
          <c:smooth val="1"/>
        </c:ser>
        <c:ser>
          <c:idx val="3"/>
          <c:order val="3"/>
          <c:tx>
            <c:v>Free Cash Flow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Valuation!$G$42:$K$42</c:f>
              <c:numCache/>
            </c:numRef>
          </c:val>
          <c:smooth val="1"/>
        </c:ser>
        <c:axId val="652807175"/>
        <c:axId val="1550833550"/>
      </c:lineChart>
      <c:catAx>
        <c:axId val="652807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833550"/>
      </c:catAx>
      <c:valAx>
        <c:axId val="1550833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807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Margin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Valuation!$G$7:$K$7</c:f>
              <c:numCache/>
            </c:numRef>
          </c:val>
          <c:smooth val="1"/>
        </c:ser>
        <c:ser>
          <c:idx val="1"/>
          <c:order val="1"/>
          <c:tx>
            <c:v>Operating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Valuation!$G$15:$K$15</c:f>
              <c:numCache/>
            </c:numRef>
          </c:val>
          <c:smooth val="1"/>
        </c:ser>
        <c:axId val="756674851"/>
        <c:axId val="1025424686"/>
      </c:lineChart>
      <c:catAx>
        <c:axId val="756674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5424686"/>
      </c:catAx>
      <c:valAx>
        <c:axId val="1025424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6748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Debt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Valuation!$G$25:$K$25</c:f>
              <c:numCache/>
            </c:numRef>
          </c:val>
          <c:smooth val="1"/>
        </c:ser>
        <c:ser>
          <c:idx val="1"/>
          <c:order val="1"/>
          <c:tx>
            <c:v>Cash and Equivalents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Valuation!$G$28:$K$28</c:f>
              <c:numCache/>
            </c:numRef>
          </c:val>
          <c:smooth val="1"/>
        </c:ser>
        <c:ser>
          <c:idx val="2"/>
          <c:order val="2"/>
          <c:tx>
            <c:v>Outstanding Shares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Valuation!$G$23:$K$23</c:f>
              <c:numCache/>
            </c:numRef>
          </c:val>
          <c:smooth val="1"/>
        </c:ser>
        <c:axId val="455645566"/>
        <c:axId val="542035356"/>
      </c:lineChart>
      <c:catAx>
        <c:axId val="455645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2035356"/>
      </c:catAx>
      <c:valAx>
        <c:axId val="5420353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5645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Cash Flows</a:t>
            </a:r>
          </a:p>
        </c:rich>
      </c:tx>
      <c:overlay val="0"/>
    </c:title>
    <c:plotArea>
      <c:layout/>
      <c:lineChart>
        <c:ser>
          <c:idx val="0"/>
          <c:order val="0"/>
          <c:tx>
            <c:v>Operating CF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Valuation!$G$38:$K$38</c:f>
              <c:numCache/>
            </c:numRef>
          </c:val>
          <c:smooth val="1"/>
        </c:ser>
        <c:ser>
          <c:idx val="1"/>
          <c:order val="1"/>
          <c:tx>
            <c:v>Investing CF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Valuation!$G$39:$K$39</c:f>
              <c:numCache/>
            </c:numRef>
          </c:val>
          <c:smooth val="1"/>
        </c:ser>
        <c:ser>
          <c:idx val="2"/>
          <c:order val="2"/>
          <c:tx>
            <c:v>Financing CF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Valuation!$G$40:$K$40</c:f>
              <c:numCache/>
            </c:numRef>
          </c:val>
          <c:smooth val="1"/>
        </c:ser>
        <c:ser>
          <c:idx val="3"/>
          <c:order val="3"/>
          <c:tx>
            <c:v>Net Cash Change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Valuation!$G$41:$K$41</c:f>
              <c:numCache/>
            </c:numRef>
          </c:val>
          <c:smooth val="1"/>
        </c:ser>
        <c:ser>
          <c:idx val="4"/>
          <c:order val="4"/>
          <c:tx>
            <c:v>Free Cash Flow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Valuation!$G$42:$K$42</c:f>
              <c:numCache/>
            </c:numRef>
          </c:val>
          <c:smooth val="1"/>
        </c:ser>
        <c:axId val="1007216075"/>
        <c:axId val="806749056"/>
      </c:lineChart>
      <c:catAx>
        <c:axId val="1007216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6749056"/>
      </c:catAx>
      <c:valAx>
        <c:axId val="806749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2160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78</xdr:row>
      <xdr:rowOff>180975</xdr:rowOff>
    </xdr:from>
    <xdr:ext cx="49815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161925</xdr:colOff>
      <xdr:row>78</xdr:row>
      <xdr:rowOff>180975</xdr:rowOff>
    </xdr:from>
    <xdr:ext cx="49815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161925</xdr:colOff>
      <xdr:row>95</xdr:row>
      <xdr:rowOff>171450</xdr:rowOff>
    </xdr:from>
    <xdr:ext cx="4981575" cy="3095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95</xdr:row>
      <xdr:rowOff>171450</xdr:rowOff>
    </xdr:from>
    <xdr:ext cx="4981575" cy="3095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0"/>
    <col customWidth="1" min="7" max="7" width="11.13"/>
    <col customWidth="1" min="8" max="8" width="11.25"/>
    <col customWidth="1" min="9" max="9" width="10.5"/>
    <col customWidth="1" min="10" max="10" width="10.0"/>
    <col customWidth="1" min="12" max="12" width="8.88"/>
    <col hidden="1" min="13" max="25" width="12.6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">
        <v>0</v>
      </c>
      <c r="C2" s="5">
        <v>45660.0</v>
      </c>
      <c r="D2" s="6"/>
      <c r="E2" s="7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 t="s">
        <v>7</v>
      </c>
      <c r="L2" s="6"/>
      <c r="M2" s="10"/>
      <c r="N2" s="11"/>
    </row>
    <row r="3">
      <c r="A3" s="1"/>
      <c r="B3" s="12"/>
      <c r="C3" s="13"/>
      <c r="D3" s="14"/>
      <c r="E3" s="15"/>
      <c r="F3" s="6"/>
      <c r="G3" s="6"/>
      <c r="H3" s="6"/>
      <c r="I3" s="6"/>
      <c r="J3" s="6"/>
      <c r="K3" s="16"/>
      <c r="L3" s="16"/>
      <c r="M3" s="17"/>
      <c r="N3" s="11"/>
    </row>
    <row r="4">
      <c r="A4" s="3"/>
      <c r="B4" s="18" t="s">
        <v>8</v>
      </c>
      <c r="C4" s="19"/>
      <c r="D4" s="20"/>
      <c r="E4" s="13" t="s">
        <v>9</v>
      </c>
      <c r="F4" s="21"/>
      <c r="G4" s="22">
        <v>1.07074E8</v>
      </c>
      <c r="H4" s="22">
        <v>1.24493E8</v>
      </c>
      <c r="I4" s="22">
        <v>1.23675E8</v>
      </c>
      <c r="J4" s="22">
        <v>1.34598E8</v>
      </c>
      <c r="K4" s="23">
        <v>1.34842E8</v>
      </c>
      <c r="L4" s="16"/>
      <c r="M4" s="11"/>
      <c r="N4" s="11"/>
    </row>
    <row r="5">
      <c r="A5" s="3"/>
      <c r="B5" s="24"/>
      <c r="C5" s="25"/>
      <c r="D5" s="20"/>
      <c r="E5" s="26" t="s">
        <v>10</v>
      </c>
      <c r="F5" s="27"/>
      <c r="G5" s="28"/>
      <c r="H5" s="28">
        <f t="shared" ref="H5:K5" si="1">(H4-G4)/G4</f>
        <v>0.1626818836</v>
      </c>
      <c r="I5" s="28">
        <f t="shared" si="1"/>
        <v>-0.006570650559</v>
      </c>
      <c r="J5" s="28">
        <f t="shared" si="1"/>
        <v>0.08832019406</v>
      </c>
      <c r="K5" s="29">
        <f t="shared" si="1"/>
        <v>0.001812805539</v>
      </c>
      <c r="L5" s="16"/>
      <c r="M5" s="11"/>
      <c r="N5" s="11"/>
    </row>
    <row r="6">
      <c r="A6" s="3"/>
      <c r="B6" s="24"/>
      <c r="C6" s="25"/>
      <c r="D6" s="6"/>
      <c r="E6" s="13" t="s">
        <v>11</v>
      </c>
      <c r="F6" s="30"/>
      <c r="G6" s="31">
        <v>5.5158E7</v>
      </c>
      <c r="H6" s="31">
        <v>6.4314E7</v>
      </c>
      <c r="I6" s="31">
        <v>6.3935E7</v>
      </c>
      <c r="J6" s="31">
        <v>6.5031E7</v>
      </c>
      <c r="K6" s="32">
        <v>6.5401E7</v>
      </c>
      <c r="L6" s="16"/>
      <c r="M6" s="11"/>
      <c r="N6" s="11"/>
    </row>
    <row r="7">
      <c r="A7" s="3"/>
      <c r="B7" s="24"/>
      <c r="C7" s="25"/>
      <c r="D7" s="33"/>
      <c r="E7" s="13" t="s">
        <v>12</v>
      </c>
      <c r="F7" s="34"/>
      <c r="G7" s="35">
        <f t="shared" ref="G7:K7" si="2">(G4-G6)/G4</f>
        <v>0.4848609373</v>
      </c>
      <c r="H7" s="35">
        <f t="shared" si="2"/>
        <v>0.4833926406</v>
      </c>
      <c r="I7" s="35">
        <f t="shared" si="2"/>
        <v>0.4830402264</v>
      </c>
      <c r="J7" s="35">
        <f t="shared" si="2"/>
        <v>0.5168501761</v>
      </c>
      <c r="K7" s="36">
        <f t="shared" si="2"/>
        <v>0.5149804957</v>
      </c>
      <c r="L7" s="37"/>
      <c r="M7" s="17"/>
      <c r="N7" s="17"/>
    </row>
    <row r="8">
      <c r="A8" s="1"/>
      <c r="B8" s="24"/>
      <c r="C8" s="25"/>
      <c r="D8" s="6"/>
      <c r="E8" s="13" t="s">
        <v>13</v>
      </c>
      <c r="F8" s="38"/>
      <c r="G8" s="39">
        <f t="shared" ref="G8:K8" si="3">G4-G6</f>
        <v>51916000</v>
      </c>
      <c r="H8" s="39">
        <f t="shared" si="3"/>
        <v>60179000</v>
      </c>
      <c r="I8" s="39">
        <f t="shared" si="3"/>
        <v>59740000</v>
      </c>
      <c r="J8" s="39">
        <f t="shared" si="3"/>
        <v>69567000</v>
      </c>
      <c r="K8" s="40">
        <f t="shared" si="3"/>
        <v>69441000</v>
      </c>
      <c r="L8" s="6"/>
      <c r="M8" s="11"/>
      <c r="N8" s="11"/>
    </row>
    <row r="9">
      <c r="A9" s="1"/>
      <c r="B9" s="24"/>
      <c r="C9" s="25"/>
      <c r="D9" s="6"/>
      <c r="E9" s="13" t="s">
        <v>14</v>
      </c>
      <c r="F9" s="41"/>
      <c r="G9" s="42"/>
      <c r="H9" s="35">
        <f t="shared" ref="H9:K9" si="4">(H8-G8)/G8</f>
        <v>0.1591609523</v>
      </c>
      <c r="I9" s="35">
        <f t="shared" si="4"/>
        <v>-0.007294903538</v>
      </c>
      <c r="J9" s="35">
        <f t="shared" si="4"/>
        <v>0.16449615</v>
      </c>
      <c r="K9" s="36">
        <f t="shared" si="4"/>
        <v>-0.001811203588</v>
      </c>
      <c r="L9" s="6"/>
      <c r="M9" s="11"/>
      <c r="N9" s="11"/>
    </row>
    <row r="10">
      <c r="A10" s="3"/>
      <c r="B10" s="24"/>
      <c r="C10" s="25"/>
      <c r="D10" s="6"/>
      <c r="E10" s="43" t="s">
        <v>15</v>
      </c>
      <c r="F10" s="44"/>
      <c r="G10" s="31">
        <v>1.8063E7</v>
      </c>
      <c r="H10" s="45">
        <v>2.4723E7</v>
      </c>
      <c r="I10" s="45">
        <v>2.0514E7</v>
      </c>
      <c r="J10" s="46">
        <v>2.3519E7</v>
      </c>
      <c r="K10" s="47">
        <v>2.2707E7</v>
      </c>
      <c r="L10" s="6"/>
      <c r="M10" s="11"/>
      <c r="N10" s="11"/>
    </row>
    <row r="11">
      <c r="A11" s="1"/>
      <c r="B11" s="24"/>
      <c r="C11" s="25"/>
      <c r="D11" s="48"/>
      <c r="E11" s="43" t="s">
        <v>16</v>
      </c>
      <c r="F11" s="30"/>
      <c r="G11" s="31">
        <v>1.9513E7</v>
      </c>
      <c r="H11" s="31">
        <v>2.4938E7</v>
      </c>
      <c r="I11" s="31">
        <v>2.3315E7</v>
      </c>
      <c r="J11" s="46">
        <v>2.4192E7</v>
      </c>
      <c r="K11" s="47">
        <v>2.364E7</v>
      </c>
      <c r="L11" s="6"/>
      <c r="M11" s="11"/>
      <c r="N11" s="11"/>
    </row>
    <row r="12">
      <c r="A12" s="1"/>
      <c r="B12" s="24"/>
      <c r="C12" s="25"/>
      <c r="D12" s="48"/>
      <c r="E12" s="43" t="s">
        <v>17</v>
      </c>
      <c r="F12" s="30"/>
      <c r="G12" s="31"/>
      <c r="H12" s="31"/>
      <c r="I12" s="31"/>
      <c r="J12" s="46"/>
      <c r="K12" s="47"/>
      <c r="L12" s="6"/>
      <c r="M12" s="11"/>
      <c r="N12" s="11"/>
    </row>
    <row r="13">
      <c r="A13" s="1"/>
      <c r="B13" s="24"/>
      <c r="C13" s="25"/>
      <c r="D13" s="49"/>
      <c r="E13" s="50" t="s">
        <v>18</v>
      </c>
      <c r="F13" s="51"/>
      <c r="G13" s="45">
        <f t="shared" ref="G13:K13" si="5">SUM(G10:G12)</f>
        <v>37576000</v>
      </c>
      <c r="H13" s="45">
        <f t="shared" si="5"/>
        <v>49661000</v>
      </c>
      <c r="I13" s="45">
        <f t="shared" si="5"/>
        <v>43829000</v>
      </c>
      <c r="J13" s="45">
        <f t="shared" si="5"/>
        <v>47711000</v>
      </c>
      <c r="K13" s="52">
        <f t="shared" si="5"/>
        <v>46347000</v>
      </c>
      <c r="L13" s="6"/>
      <c r="M13" s="11"/>
      <c r="N13" s="11"/>
    </row>
    <row r="14">
      <c r="A14" s="1"/>
      <c r="B14" s="24"/>
      <c r="C14" s="25"/>
      <c r="D14" s="53"/>
      <c r="E14" s="50" t="s">
        <v>19</v>
      </c>
      <c r="F14" s="38"/>
      <c r="G14" s="39">
        <f t="shared" ref="G14:K14" si="6">G4-G6-G13</f>
        <v>14340000</v>
      </c>
      <c r="H14" s="39">
        <f t="shared" si="6"/>
        <v>10518000</v>
      </c>
      <c r="I14" s="39">
        <f t="shared" si="6"/>
        <v>15911000</v>
      </c>
      <c r="J14" s="39">
        <f t="shared" si="6"/>
        <v>21856000</v>
      </c>
      <c r="K14" s="40">
        <f t="shared" si="6"/>
        <v>23094000</v>
      </c>
      <c r="L14" s="6"/>
      <c r="M14" s="11"/>
      <c r="N14" s="11"/>
    </row>
    <row r="15">
      <c r="A15" s="1"/>
      <c r="B15" s="24"/>
      <c r="C15" s="25"/>
      <c r="D15" s="54"/>
      <c r="E15" s="43" t="s">
        <v>20</v>
      </c>
      <c r="F15" s="34"/>
      <c r="G15" s="35">
        <f t="shared" ref="G15:K15" si="7">G14/G4</f>
        <v>0.1339260698</v>
      </c>
      <c r="H15" s="35">
        <f t="shared" si="7"/>
        <v>0.08448667797</v>
      </c>
      <c r="I15" s="35">
        <f t="shared" si="7"/>
        <v>0.1286517081</v>
      </c>
      <c r="J15" s="35">
        <f t="shared" si="7"/>
        <v>0.1623798273</v>
      </c>
      <c r="K15" s="36">
        <f t="shared" si="7"/>
        <v>0.1712671126</v>
      </c>
      <c r="L15" s="6"/>
      <c r="M15" s="11"/>
      <c r="N15" s="11"/>
    </row>
    <row r="16">
      <c r="A16" s="1"/>
      <c r="B16" s="24"/>
      <c r="C16" s="25"/>
      <c r="D16" s="54"/>
      <c r="E16" s="50" t="s">
        <v>21</v>
      </c>
      <c r="F16" s="55"/>
      <c r="G16" s="31">
        <v>2255000.0</v>
      </c>
      <c r="H16" s="31">
        <v>2130000.0</v>
      </c>
      <c r="I16" s="31">
        <v>3332000.0</v>
      </c>
      <c r="J16" s="31">
        <v>4761000.0</v>
      </c>
      <c r="K16" s="32">
        <v>5095000.0</v>
      </c>
      <c r="L16" s="6"/>
      <c r="M16" s="11"/>
      <c r="N16" s="11"/>
    </row>
    <row r="17">
      <c r="A17" s="1"/>
      <c r="B17" s="24"/>
      <c r="C17" s="25"/>
      <c r="D17" s="54"/>
      <c r="E17" s="43" t="s">
        <v>22</v>
      </c>
      <c r="F17" s="55"/>
      <c r="G17" s="31">
        <v>6495000.0</v>
      </c>
      <c r="H17" s="31">
        <v>-1870000.0</v>
      </c>
      <c r="I17" s="31">
        <v>-9131000.0</v>
      </c>
      <c r="J17" s="31">
        <v>-1419000.0</v>
      </c>
      <c r="K17" s="32">
        <v>-3700000.0</v>
      </c>
      <c r="L17" s="6"/>
      <c r="M17" s="11"/>
      <c r="N17" s="11"/>
    </row>
    <row r="18">
      <c r="A18" s="1"/>
      <c r="B18" s="24"/>
      <c r="C18" s="25"/>
      <c r="D18" s="56"/>
      <c r="E18" s="50" t="s">
        <v>23</v>
      </c>
      <c r="F18" s="30"/>
      <c r="G18" s="31">
        <f t="shared" ref="G18:K18" si="8">G14+G16+G17</f>
        <v>23090000</v>
      </c>
      <c r="H18" s="31">
        <f t="shared" si="8"/>
        <v>10778000</v>
      </c>
      <c r="I18" s="31">
        <f t="shared" si="8"/>
        <v>10112000</v>
      </c>
      <c r="J18" s="46">
        <f t="shared" si="8"/>
        <v>25198000</v>
      </c>
      <c r="K18" s="47">
        <f t="shared" si="8"/>
        <v>24489000</v>
      </c>
      <c r="L18" s="57"/>
      <c r="M18" s="58"/>
      <c r="N18" s="58"/>
      <c r="O18" s="59"/>
    </row>
    <row r="19">
      <c r="A19" s="1"/>
      <c r="B19" s="24"/>
      <c r="C19" s="25"/>
      <c r="D19" s="60"/>
      <c r="E19" s="50" t="s">
        <v>24</v>
      </c>
      <c r="F19" s="30"/>
      <c r="G19" s="31">
        <v>4064000.0</v>
      </c>
      <c r="H19" s="31">
        <v>3187000.0</v>
      </c>
      <c r="I19" s="31">
        <v>2578000.0</v>
      </c>
      <c r="J19" s="31">
        <v>3649000.0</v>
      </c>
      <c r="K19" s="32">
        <v>3200000.0</v>
      </c>
      <c r="L19" s="57"/>
      <c r="M19" s="58"/>
      <c r="N19" s="58"/>
      <c r="O19" s="59"/>
    </row>
    <row r="20">
      <c r="A20" s="1"/>
      <c r="B20" s="24"/>
      <c r="C20" s="25"/>
      <c r="D20" s="60"/>
      <c r="E20" s="50" t="s">
        <v>25</v>
      </c>
      <c r="F20" s="61"/>
      <c r="G20" s="39">
        <f t="shared" ref="G20:K20" si="9">G18-G19</f>
        <v>19026000</v>
      </c>
      <c r="H20" s="39">
        <f t="shared" si="9"/>
        <v>7591000</v>
      </c>
      <c r="I20" s="39">
        <f t="shared" si="9"/>
        <v>7534000</v>
      </c>
      <c r="J20" s="39">
        <f t="shared" si="9"/>
        <v>21549000</v>
      </c>
      <c r="K20" s="40">
        <f t="shared" si="9"/>
        <v>21289000</v>
      </c>
      <c r="L20" s="57"/>
      <c r="M20" s="62"/>
      <c r="N20" s="58"/>
      <c r="O20" s="59"/>
    </row>
    <row r="21">
      <c r="A21" s="3"/>
      <c r="B21" s="63"/>
      <c r="C21" s="64"/>
      <c r="D21" s="6"/>
      <c r="E21" s="43" t="s">
        <v>26</v>
      </c>
      <c r="F21" s="65"/>
      <c r="G21" s="28"/>
      <c r="H21" s="66">
        <f>(H20-G20)/G20</f>
        <v>-0.6010196573</v>
      </c>
      <c r="I21" s="66">
        <f t="shared" ref="I21:K21" si="10">(I20-H20)/ABS(H20)</f>
        <v>-0.007508892109</v>
      </c>
      <c r="J21" s="66">
        <f t="shared" si="10"/>
        <v>1.860233608</v>
      </c>
      <c r="K21" s="67">
        <f t="shared" si="10"/>
        <v>-0.01206552508</v>
      </c>
      <c r="L21" s="57"/>
      <c r="M21" s="58"/>
      <c r="N21" s="58"/>
      <c r="O21" s="59"/>
    </row>
    <row r="22">
      <c r="A22" s="3"/>
      <c r="B22" s="6"/>
      <c r="C22" s="68"/>
      <c r="D22" s="56"/>
      <c r="E22" s="50" t="s">
        <v>27</v>
      </c>
      <c r="F22" s="30"/>
      <c r="G22" s="69">
        <f t="shared" ref="G22:K22" si="11">G20/G23</f>
        <v>56.81251512</v>
      </c>
      <c r="H22" s="69">
        <f t="shared" si="11"/>
        <v>22.01885424</v>
      </c>
      <c r="I22" s="69">
        <f t="shared" si="11"/>
        <v>21.66498922</v>
      </c>
      <c r="J22" s="69">
        <f t="shared" si="11"/>
        <v>61.41503384</v>
      </c>
      <c r="K22" s="70">
        <f t="shared" si="11"/>
        <v>60.68492526</v>
      </c>
      <c r="L22" s="57"/>
      <c r="M22" s="58"/>
      <c r="N22" s="58"/>
      <c r="O22" s="59"/>
    </row>
    <row r="23">
      <c r="A23" s="1"/>
      <c r="B23" s="4" t="s">
        <v>28</v>
      </c>
      <c r="C23" s="71" t="s">
        <v>29</v>
      </c>
      <c r="D23" s="6"/>
      <c r="E23" s="50" t="s">
        <v>30</v>
      </c>
      <c r="F23" s="72"/>
      <c r="G23" s="73">
        <v>334891.0</v>
      </c>
      <c r="H23" s="73">
        <v>344750.0</v>
      </c>
      <c r="I23" s="73">
        <v>347750.0</v>
      </c>
      <c r="J23" s="73">
        <v>350875.0</v>
      </c>
      <c r="K23" s="74">
        <v>350812.0</v>
      </c>
      <c r="L23" s="57"/>
      <c r="M23" s="58"/>
      <c r="N23" s="58"/>
      <c r="O23" s="59"/>
    </row>
    <row r="24">
      <c r="A24" s="1"/>
      <c r="B24" s="75" t="s">
        <v>31</v>
      </c>
      <c r="C24" s="6"/>
      <c r="D24" s="6"/>
      <c r="E24" s="26"/>
      <c r="F24" s="76"/>
      <c r="G24" s="76"/>
      <c r="H24" s="37"/>
      <c r="I24" s="37"/>
      <c r="J24" s="37"/>
      <c r="K24" s="6"/>
      <c r="L24" s="57"/>
      <c r="M24" s="58"/>
      <c r="N24" s="58"/>
      <c r="O24" s="59"/>
    </row>
    <row r="25">
      <c r="A25" s="1"/>
      <c r="B25" s="26" t="s">
        <v>32</v>
      </c>
      <c r="C25" s="77">
        <f>IFERROR(__xludf.DUMMYFUNCTION("GOOGLEFINANCE(B23)*7"),586.39)</f>
        <v>586.39</v>
      </c>
      <c r="D25" s="6"/>
      <c r="E25" s="26" t="s">
        <v>33</v>
      </c>
      <c r="F25" s="78"/>
      <c r="G25" s="79">
        <v>8.2589E7</v>
      </c>
      <c r="H25" s="79">
        <v>9.1507E7</v>
      </c>
      <c r="I25" s="80">
        <v>9.1354E7</v>
      </c>
      <c r="J25" s="80">
        <v>8.4595E7</v>
      </c>
      <c r="K25" s="81">
        <v>7.7356E7</v>
      </c>
      <c r="L25" s="57"/>
      <c r="M25" s="58"/>
      <c r="N25" s="58"/>
      <c r="O25" s="59"/>
    </row>
    <row r="26">
      <c r="A26" s="1"/>
      <c r="B26" s="13" t="s">
        <v>34</v>
      </c>
      <c r="C26" s="82">
        <f>IFERROR(__xludf.DUMMYFUNCTION("GOOGLEFINANCE(B23, ""marketcap"")*7/1000"),2.055699695E8)</f>
        <v>205569969.5</v>
      </c>
      <c r="D26" s="6"/>
      <c r="E26" s="26" t="s">
        <v>35</v>
      </c>
      <c r="F26" s="83"/>
      <c r="G26" s="84">
        <v>1.82696E8</v>
      </c>
      <c r="H26" s="84">
        <v>2.11459E8</v>
      </c>
      <c r="I26" s="85">
        <v>2.23478E8</v>
      </c>
      <c r="J26" s="85">
        <v>2.43626E8</v>
      </c>
      <c r="K26" s="86">
        <v>2.59649E8</v>
      </c>
      <c r="L26" s="57"/>
      <c r="M26" s="58"/>
      <c r="N26" s="58"/>
      <c r="O26" s="59"/>
    </row>
    <row r="27">
      <c r="A27" s="1"/>
      <c r="B27" s="13" t="s">
        <v>36</v>
      </c>
      <c r="C27" s="82">
        <f>C40</f>
        <v>364234237.2</v>
      </c>
      <c r="D27" s="6"/>
      <c r="E27" s="26" t="s">
        <v>37</v>
      </c>
      <c r="F27" s="83"/>
      <c r="G27" s="84">
        <v>7059000.0</v>
      </c>
      <c r="H27" s="84">
        <v>8431000.0</v>
      </c>
      <c r="I27" s="85">
        <v>7619000.0</v>
      </c>
      <c r="J27" s="85">
        <v>8148000.0</v>
      </c>
      <c r="K27" s="86">
        <v>8034000.0</v>
      </c>
      <c r="L27" s="57"/>
      <c r="M27" s="58"/>
      <c r="N27" s="58"/>
      <c r="O27" s="59"/>
    </row>
    <row r="28">
      <c r="A28" s="1"/>
      <c r="B28" s="13" t="s">
        <v>38</v>
      </c>
      <c r="C28" s="87">
        <f>K20/K29</f>
        <v>0.227230518</v>
      </c>
      <c r="D28" s="6"/>
      <c r="E28" s="26" t="s">
        <v>39</v>
      </c>
      <c r="F28" s="83"/>
      <c r="G28" s="84">
        <v>1.62184E8</v>
      </c>
      <c r="H28" s="84">
        <v>1.80093E8</v>
      </c>
      <c r="I28" s="84">
        <v>1.73995E8</v>
      </c>
      <c r="J28" s="85">
        <v>1.93901E8</v>
      </c>
      <c r="K28" s="86">
        <v>1.32811E8</v>
      </c>
      <c r="L28" s="57"/>
      <c r="M28" s="58"/>
      <c r="N28" s="58"/>
      <c r="O28" s="59"/>
    </row>
    <row r="29">
      <c r="A29" s="1"/>
      <c r="B29" s="26" t="s">
        <v>40</v>
      </c>
      <c r="C29" s="82">
        <f>C26+K25-K28</f>
        <v>150114969.5</v>
      </c>
      <c r="D29" s="6"/>
      <c r="E29" s="26" t="s">
        <v>41</v>
      </c>
      <c r="F29" s="83"/>
      <c r="G29" s="88">
        <v>1.14957E8</v>
      </c>
      <c r="H29" s="88">
        <v>1.38827E8</v>
      </c>
      <c r="I29" s="88">
        <v>1.3322E8</v>
      </c>
      <c r="J29" s="88">
        <v>1.53804E8</v>
      </c>
      <c r="K29" s="89">
        <v>9.3689E7</v>
      </c>
      <c r="L29" s="57"/>
      <c r="M29" s="58"/>
      <c r="N29" s="58"/>
      <c r="O29" s="59"/>
    </row>
    <row r="30">
      <c r="A30" s="1"/>
      <c r="B30" s="90" t="s">
        <v>42</v>
      </c>
      <c r="C30" s="82">
        <f>C26/K20</f>
        <v>9.656159026</v>
      </c>
      <c r="D30" s="6"/>
      <c r="E30" s="26" t="s">
        <v>43</v>
      </c>
      <c r="F30" s="91"/>
      <c r="G30" s="92">
        <v>7.6233E7</v>
      </c>
      <c r="H30" s="92">
        <v>6.7332E7</v>
      </c>
      <c r="I30" s="92">
        <v>7.8926E7</v>
      </c>
      <c r="J30" s="92">
        <v>7.2623E7</v>
      </c>
      <c r="K30" s="93">
        <v>1.33184E8</v>
      </c>
      <c r="L30" s="57"/>
      <c r="M30" s="58"/>
      <c r="N30" s="58"/>
      <c r="O30" s="59"/>
    </row>
    <row r="31">
      <c r="A31" s="1"/>
      <c r="B31" s="50" t="s">
        <v>44</v>
      </c>
      <c r="C31" s="94">
        <f>C26/K4</f>
        <v>1.524524773</v>
      </c>
      <c r="D31" s="6"/>
      <c r="E31" s="26"/>
      <c r="F31" s="76"/>
      <c r="G31" s="76"/>
      <c r="H31" s="37"/>
      <c r="I31" s="37"/>
      <c r="J31" s="37"/>
      <c r="K31" s="6"/>
      <c r="L31" s="57"/>
      <c r="M31" s="58"/>
      <c r="N31" s="58"/>
      <c r="O31" s="59"/>
    </row>
    <row r="32">
      <c r="A32" s="3"/>
      <c r="B32" s="95" t="s">
        <v>45</v>
      </c>
      <c r="C32" s="94">
        <f>C26/K26</f>
        <v>0.7917225543</v>
      </c>
      <c r="D32" s="6"/>
      <c r="E32" s="13" t="s">
        <v>46</v>
      </c>
      <c r="F32" s="96"/>
      <c r="G32" s="97"/>
      <c r="H32" s="98"/>
      <c r="I32" s="98"/>
      <c r="J32" s="99"/>
      <c r="K32" s="100"/>
      <c r="L32" s="57"/>
      <c r="M32" s="58"/>
      <c r="N32" s="58"/>
      <c r="O32" s="59"/>
    </row>
    <row r="33">
      <c r="A33" s="3"/>
      <c r="B33" s="95" t="s">
        <v>47</v>
      </c>
      <c r="C33" s="101">
        <f>C29/K4</f>
        <v>1.11326567</v>
      </c>
      <c r="D33" s="6"/>
      <c r="E33" s="102" t="s">
        <v>48</v>
      </c>
      <c r="F33" s="103"/>
      <c r="G33" s="104"/>
      <c r="H33" s="104"/>
      <c r="I33" s="105"/>
      <c r="J33" s="106"/>
      <c r="K33" s="107"/>
      <c r="L33" s="6"/>
      <c r="M33" s="11"/>
      <c r="N33" s="11"/>
    </row>
    <row r="34">
      <c r="A34" s="3"/>
      <c r="B34" s="50" t="s">
        <v>49</v>
      </c>
      <c r="C34" s="108">
        <f>C29/K18</f>
        <v>6.129893809</v>
      </c>
      <c r="D34" s="6"/>
      <c r="E34" s="26" t="s">
        <v>50</v>
      </c>
      <c r="F34" s="103"/>
      <c r="G34" s="104"/>
      <c r="H34" s="104"/>
      <c r="I34" s="104"/>
      <c r="J34" s="104"/>
      <c r="K34" s="107"/>
      <c r="L34" s="57"/>
      <c r="M34" s="58"/>
      <c r="N34" s="58"/>
      <c r="O34" s="59"/>
    </row>
    <row r="35">
      <c r="A35" s="3"/>
      <c r="B35" s="50"/>
      <c r="C35" s="109"/>
      <c r="D35" s="12"/>
      <c r="E35" s="102" t="s">
        <v>51</v>
      </c>
      <c r="F35" s="103"/>
      <c r="G35" s="105"/>
      <c r="H35" s="105"/>
      <c r="I35" s="105"/>
      <c r="J35" s="106"/>
      <c r="K35" s="107"/>
      <c r="L35" s="57"/>
      <c r="M35" s="58"/>
      <c r="N35" s="58"/>
      <c r="O35" s="59"/>
    </row>
    <row r="36">
      <c r="A36" s="1"/>
      <c r="B36" s="43" t="s">
        <v>52</v>
      </c>
      <c r="C36" s="110">
        <v>0.11</v>
      </c>
      <c r="D36" s="111"/>
      <c r="E36" s="102" t="s">
        <v>53</v>
      </c>
      <c r="F36" s="112"/>
      <c r="G36" s="113"/>
      <c r="H36" s="113"/>
      <c r="I36" s="113"/>
      <c r="J36" s="114"/>
      <c r="K36" s="115"/>
      <c r="L36" s="57"/>
      <c r="M36" s="58"/>
      <c r="N36" s="58"/>
      <c r="O36" s="59"/>
    </row>
    <row r="37">
      <c r="A37" s="1"/>
      <c r="B37" s="43" t="s">
        <v>54</v>
      </c>
      <c r="C37" s="116">
        <v>0.05</v>
      </c>
      <c r="D37" s="117"/>
      <c r="E37" s="102"/>
      <c r="F37" s="118"/>
      <c r="G37" s="118"/>
      <c r="H37" s="118"/>
      <c r="I37" s="76"/>
      <c r="J37" s="6"/>
      <c r="K37" s="6"/>
      <c r="L37" s="6"/>
      <c r="M37" s="11"/>
      <c r="N37" s="11"/>
    </row>
    <row r="38">
      <c r="A38" s="3"/>
      <c r="B38" s="50" t="s">
        <v>55</v>
      </c>
      <c r="C38" s="119">
        <f t="array" ref="C38">NPV(C36, J51:J61)</f>
        <v>175595237.2</v>
      </c>
      <c r="D38" s="12"/>
      <c r="E38" s="13" t="s">
        <v>56</v>
      </c>
      <c r="F38" s="120"/>
      <c r="G38" s="121">
        <v>2.42E7</v>
      </c>
      <c r="H38" s="122">
        <v>2.0122E7</v>
      </c>
      <c r="I38" s="122">
        <v>2.617E7</v>
      </c>
      <c r="J38" s="123">
        <v>3.6615E7</v>
      </c>
      <c r="K38" s="124">
        <v>3.4742E7</v>
      </c>
      <c r="L38" s="6"/>
      <c r="M38" s="11"/>
      <c r="N38" s="11"/>
    </row>
    <row r="39">
      <c r="A39" s="3"/>
      <c r="B39" s="50" t="s">
        <v>57</v>
      </c>
      <c r="C39" s="119">
        <f>C38+K28-K25</f>
        <v>231050237.2</v>
      </c>
      <c r="D39" s="12"/>
      <c r="E39" s="102" t="s">
        <v>58</v>
      </c>
      <c r="F39" s="125"/>
      <c r="G39" s="126">
        <v>-2.7552E7</v>
      </c>
      <c r="H39" s="126">
        <v>-3.1444E7</v>
      </c>
      <c r="I39" s="126">
        <v>-3944000.0</v>
      </c>
      <c r="J39" s="127">
        <v>-5.0397E7</v>
      </c>
      <c r="K39" s="128">
        <v>-1.3591E7</v>
      </c>
      <c r="L39" s="6"/>
      <c r="M39" s="11"/>
      <c r="N39" s="11"/>
    </row>
    <row r="40">
      <c r="A40" s="3"/>
      <c r="B40" s="43" t="s">
        <v>59</v>
      </c>
      <c r="C40" s="119">
        <f>C39+K30</f>
        <v>364234237.2</v>
      </c>
      <c r="D40" s="12"/>
      <c r="E40" s="102" t="s">
        <v>60</v>
      </c>
      <c r="F40" s="125"/>
      <c r="G40" s="126">
        <v>5665000.0</v>
      </c>
      <c r="H40" s="126">
        <v>2.3396E7</v>
      </c>
      <c r="I40" s="126">
        <v>-6390000.0</v>
      </c>
      <c r="J40" s="127">
        <v>-1.4162E7</v>
      </c>
      <c r="K40" s="128">
        <v>-1.9282E7</v>
      </c>
      <c r="L40" s="6"/>
      <c r="M40" s="11"/>
      <c r="N40" s="11"/>
    </row>
    <row r="41">
      <c r="A41" s="3"/>
      <c r="B41" s="50" t="s">
        <v>30</v>
      </c>
      <c r="C41" s="129">
        <f>K23</f>
        <v>350812</v>
      </c>
      <c r="D41" s="12"/>
      <c r="E41" s="102" t="s">
        <v>61</v>
      </c>
      <c r="F41" s="125"/>
      <c r="G41" s="126">
        <v>2313000.0</v>
      </c>
      <c r="H41" s="126">
        <v>1.2074E7</v>
      </c>
      <c r="I41" s="126">
        <v>1.5836E7</v>
      </c>
      <c r="J41" s="127">
        <v>-2.7944E7</v>
      </c>
      <c r="K41" s="128">
        <v>1869000.0</v>
      </c>
      <c r="L41" s="6"/>
      <c r="M41" s="11"/>
      <c r="N41" s="11"/>
    </row>
    <row r="42">
      <c r="A42" s="1"/>
      <c r="B42" s="43" t="s">
        <v>62</v>
      </c>
      <c r="C42" s="130">
        <f>C40/C41</f>
        <v>1038.260485</v>
      </c>
      <c r="D42" s="131"/>
      <c r="E42" s="102" t="s">
        <v>63</v>
      </c>
      <c r="F42" s="132"/>
      <c r="G42" s="133">
        <v>1.8869E7</v>
      </c>
      <c r="H42" s="133">
        <v>8882000.0</v>
      </c>
      <c r="I42" s="133">
        <v>1.7777E7</v>
      </c>
      <c r="J42" s="133">
        <v>2.532E7</v>
      </c>
      <c r="K42" s="134">
        <v>2.3447E7</v>
      </c>
      <c r="L42" s="6"/>
      <c r="M42" s="11"/>
      <c r="N42" s="11"/>
    </row>
    <row r="43">
      <c r="A43" s="1"/>
      <c r="B43" s="26" t="s">
        <v>64</v>
      </c>
      <c r="C43" s="135">
        <f>(C42-C25)/C42</f>
        <v>0.4352188024</v>
      </c>
      <c r="D43" s="117"/>
      <c r="E43" s="136"/>
      <c r="F43" s="56"/>
      <c r="G43" s="56"/>
      <c r="H43" s="137"/>
      <c r="I43" s="6"/>
      <c r="J43" s="6"/>
      <c r="K43" s="6"/>
      <c r="L43" s="6"/>
      <c r="M43" s="11"/>
      <c r="N43" s="11"/>
    </row>
    <row r="44">
      <c r="A44" s="3"/>
      <c r="B44" s="26"/>
      <c r="C44" s="138"/>
      <c r="D44" s="56"/>
      <c r="E44" s="139" t="s">
        <v>65</v>
      </c>
      <c r="F44" s="140" t="s">
        <v>9</v>
      </c>
      <c r="G44" s="141" t="s">
        <v>66</v>
      </c>
      <c r="H44" s="142" t="s">
        <v>25</v>
      </c>
      <c r="I44" s="140" t="s">
        <v>67</v>
      </c>
      <c r="J44" s="143" t="s">
        <v>68</v>
      </c>
      <c r="K44" s="144" t="s">
        <v>69</v>
      </c>
      <c r="L44" s="57"/>
      <c r="M44" s="11"/>
      <c r="N44" s="11"/>
    </row>
    <row r="45">
      <c r="A45" s="1"/>
      <c r="B45" s="13" t="s">
        <v>70</v>
      </c>
      <c r="C45" s="145">
        <f>C40+K28-K61</f>
        <v>444441744.8</v>
      </c>
      <c r="D45" s="56"/>
      <c r="E45" s="146"/>
      <c r="F45" s="147"/>
      <c r="G45" s="147"/>
      <c r="H45" s="148"/>
      <c r="I45" s="149"/>
      <c r="J45" s="57"/>
      <c r="K45" s="57"/>
      <c r="L45" s="57"/>
      <c r="M45" s="11"/>
      <c r="N45" s="11"/>
    </row>
    <row r="46">
      <c r="A46" s="1"/>
      <c r="B46" s="13" t="s">
        <v>71</v>
      </c>
      <c r="C46" s="150">
        <f>C45/K23</f>
        <v>1266.894362</v>
      </c>
      <c r="D46" s="56"/>
      <c r="E46" s="151">
        <v>2019.0</v>
      </c>
      <c r="F46" s="152" t="str">
        <f>F4</f>
        <v/>
      </c>
      <c r="G46" s="153" t="str">
        <f>F5</f>
        <v/>
      </c>
      <c r="H46" s="154" t="str">
        <f>F20</f>
        <v/>
      </c>
      <c r="I46" s="155">
        <v>0.0</v>
      </c>
      <c r="J46" s="156" t="str">
        <f>F42</f>
        <v/>
      </c>
      <c r="K46" s="157" t="str">
        <f>F25</f>
        <v/>
      </c>
      <c r="L46" s="57"/>
      <c r="M46" s="11"/>
      <c r="N46" s="11"/>
    </row>
    <row r="47">
      <c r="A47" s="1"/>
      <c r="B47" s="1"/>
      <c r="C47" s="138"/>
      <c r="D47" s="56"/>
      <c r="E47" s="151">
        <v>2020.0</v>
      </c>
      <c r="F47" s="158">
        <f>G4</f>
        <v>107074000</v>
      </c>
      <c r="G47" s="159" t="str">
        <f>G5</f>
        <v/>
      </c>
      <c r="H47" s="160">
        <f>G20</f>
        <v>19026000</v>
      </c>
      <c r="I47" s="161">
        <v>0.0</v>
      </c>
      <c r="J47" s="162">
        <f>G42</f>
        <v>18869000</v>
      </c>
      <c r="K47" s="163">
        <f>G25</f>
        <v>82589000</v>
      </c>
      <c r="L47" s="164">
        <v>1.0</v>
      </c>
      <c r="M47" s="165"/>
      <c r="N47" s="165"/>
    </row>
    <row r="48">
      <c r="A48" s="1"/>
      <c r="B48" s="43" t="s">
        <v>72</v>
      </c>
      <c r="C48" s="166">
        <f>C37</f>
        <v>0.05</v>
      </c>
      <c r="D48" s="90"/>
      <c r="E48" s="167">
        <v>2021.0</v>
      </c>
      <c r="F48" s="168">
        <f>H4</f>
        <v>124493000</v>
      </c>
      <c r="G48" s="169">
        <f>H5</f>
        <v>0.1626818836</v>
      </c>
      <c r="H48" s="160">
        <f>H20</f>
        <v>7591000</v>
      </c>
      <c r="I48" s="161">
        <v>0.0</v>
      </c>
      <c r="J48" s="162">
        <f>H42</f>
        <v>8882000</v>
      </c>
      <c r="K48" s="163">
        <f>H25</f>
        <v>91507000</v>
      </c>
      <c r="L48" s="164">
        <f>(K48/K47)</f>
        <v>1.107980482</v>
      </c>
      <c r="M48" s="165"/>
      <c r="N48" s="165"/>
    </row>
    <row r="49">
      <c r="A49" s="3"/>
      <c r="B49" s="26" t="s">
        <v>73</v>
      </c>
      <c r="C49" s="170">
        <f t="array" ref="C49">NPV(C36, I65:I75)</f>
        <v>290966160.2</v>
      </c>
      <c r="D49" s="171"/>
      <c r="E49" s="167">
        <v>2022.0</v>
      </c>
      <c r="F49" s="168">
        <f>I4</f>
        <v>123675000</v>
      </c>
      <c r="G49" s="169">
        <f>I5</f>
        <v>-0.006570650559</v>
      </c>
      <c r="H49" s="160">
        <f>I20</f>
        <v>7534000</v>
      </c>
      <c r="I49" s="161">
        <v>0.0</v>
      </c>
      <c r="J49" s="162">
        <f>I42</f>
        <v>17777000</v>
      </c>
      <c r="K49" s="163">
        <f>I25</f>
        <v>91354000</v>
      </c>
      <c r="L49" s="164">
        <f t="shared" ref="L49:L50" si="12">K49/K48</f>
        <v>0.9983279968</v>
      </c>
      <c r="M49" s="165"/>
      <c r="N49" s="165"/>
    </row>
    <row r="50">
      <c r="A50" s="3"/>
      <c r="B50" s="13" t="s">
        <v>74</v>
      </c>
      <c r="C50" s="172">
        <f>C49/K65</f>
        <v>815.0755704</v>
      </c>
      <c r="D50" s="171"/>
      <c r="E50" s="167">
        <v>2023.0</v>
      </c>
      <c r="F50" s="168">
        <f>J4</f>
        <v>134598000</v>
      </c>
      <c r="G50" s="169">
        <f>J5</f>
        <v>0.08832019406</v>
      </c>
      <c r="H50" s="160">
        <f>J20</f>
        <v>21549000</v>
      </c>
      <c r="I50" s="161">
        <v>0.0</v>
      </c>
      <c r="J50" s="162">
        <f>J42</f>
        <v>25320000</v>
      </c>
      <c r="K50" s="163">
        <f>J25</f>
        <v>84595000</v>
      </c>
      <c r="L50" s="164">
        <f t="shared" si="12"/>
        <v>0.9260130919</v>
      </c>
      <c r="M50" s="165"/>
      <c r="N50" s="165"/>
    </row>
    <row r="51">
      <c r="A51" s="3"/>
      <c r="B51" s="13" t="s">
        <v>75</v>
      </c>
      <c r="C51" s="173">
        <f>(C50/C25)^(1/10)-1</f>
        <v>0.03347775257</v>
      </c>
      <c r="D51" s="171"/>
      <c r="E51" s="167">
        <v>2024.0</v>
      </c>
      <c r="F51" s="158">
        <f>K4</f>
        <v>134842000</v>
      </c>
      <c r="G51" s="159">
        <f>K5</f>
        <v>0.001812805539</v>
      </c>
      <c r="H51" s="160">
        <f>K20</f>
        <v>21289000</v>
      </c>
      <c r="I51" s="161">
        <v>0.0</v>
      </c>
      <c r="J51" s="162">
        <f>K42</f>
        <v>23447000</v>
      </c>
      <c r="K51" s="163">
        <f>K25</f>
        <v>77356000</v>
      </c>
      <c r="L51" s="138">
        <f>AVERAGE(L49:L50)</f>
        <v>0.9621705443</v>
      </c>
      <c r="M51" s="165"/>
      <c r="N51" s="165"/>
    </row>
    <row r="52">
      <c r="A52" s="1"/>
      <c r="B52" s="43"/>
      <c r="C52" s="3"/>
      <c r="D52" s="171"/>
      <c r="E52" s="167">
        <v>2025.0</v>
      </c>
      <c r="F52" s="158">
        <f t="shared" ref="F52:F61" si="13">F51*(1+G52)</f>
        <v>143143016.2</v>
      </c>
      <c r="G52" s="159">
        <f>AVERAGE(G48:G51)</f>
        <v>0.06156105815</v>
      </c>
      <c r="H52" s="160">
        <f t="shared" ref="H52:H61" si="14">H51*(1+G52)</f>
        <v>22599573.37</v>
      </c>
      <c r="I52" s="161">
        <f>G52</f>
        <v>0.06156105815</v>
      </c>
      <c r="J52" s="174">
        <f>J51</f>
        <v>23447000</v>
      </c>
      <c r="K52" s="175">
        <f>L51*K51</f>
        <v>74429664.63</v>
      </c>
      <c r="L52" s="6"/>
      <c r="M52" s="11"/>
      <c r="N52" s="11"/>
    </row>
    <row r="53">
      <c r="A53" s="1"/>
      <c r="B53" s="13" t="s">
        <v>76</v>
      </c>
      <c r="C53" s="176">
        <f>I53</f>
        <v>0.06535082203</v>
      </c>
      <c r="D53" s="57"/>
      <c r="E53" s="177">
        <v>2026.0</v>
      </c>
      <c r="F53" s="158">
        <f t="shared" si="13"/>
        <v>151789563.3</v>
      </c>
      <c r="G53" s="159">
        <f>G52-(G52-G61) / 10</f>
        <v>0.06040495233</v>
      </c>
      <c r="H53" s="160">
        <f t="shared" si="14"/>
        <v>23964699.52</v>
      </c>
      <c r="I53" s="178">
        <f t="shared" ref="I53:I61" si="15">I52 * (1+G52)</f>
        <v>0.06535082203</v>
      </c>
      <c r="J53" s="162">
        <f t="shared" ref="J53:J61" si="16">J52*(1+G53)</f>
        <v>24863314.92</v>
      </c>
      <c r="K53" s="163">
        <f>L51*K52</f>
        <v>71614030.93</v>
      </c>
      <c r="L53" s="57"/>
      <c r="M53" s="11"/>
      <c r="N53" s="11"/>
    </row>
    <row r="54">
      <c r="A54" s="1"/>
      <c r="B54" s="13" t="s">
        <v>77</v>
      </c>
      <c r="C54" s="179">
        <f>J61/H61</f>
        <v>1.037497462</v>
      </c>
      <c r="D54" s="57"/>
      <c r="E54" s="177">
        <v>2027.0</v>
      </c>
      <c r="F54" s="158">
        <f t="shared" si="13"/>
        <v>160782919.8</v>
      </c>
      <c r="G54" s="159">
        <f>G53-(G52-G61) / 10</f>
        <v>0.05924884652</v>
      </c>
      <c r="H54" s="160">
        <f t="shared" si="14"/>
        <v>25384580.32</v>
      </c>
      <c r="I54" s="178">
        <f t="shared" si="15"/>
        <v>0.06929833532</v>
      </c>
      <c r="J54" s="162">
        <f t="shared" si="16"/>
        <v>26336437.65</v>
      </c>
      <c r="K54" s="163">
        <f>L51*K53</f>
        <v>68904911.12</v>
      </c>
      <c r="L54" s="57"/>
      <c r="M54" s="11"/>
      <c r="N54" s="11"/>
    </row>
    <row r="55">
      <c r="A55" s="1"/>
      <c r="B55" s="13" t="s">
        <v>78</v>
      </c>
      <c r="C55" s="180">
        <f>C54*(1+C53)^10</f>
        <v>1.953950224</v>
      </c>
      <c r="D55" s="57"/>
      <c r="E55" s="177">
        <v>2028.0</v>
      </c>
      <c r="F55" s="158">
        <f t="shared" si="13"/>
        <v>170123240.3</v>
      </c>
      <c r="G55" s="159">
        <f>G54-(G52-G61) / 10</f>
        <v>0.0580927407</v>
      </c>
      <c r="H55" s="160">
        <f t="shared" si="14"/>
        <v>26859240.17</v>
      </c>
      <c r="I55" s="178">
        <f t="shared" si="15"/>
        <v>0.07340418175</v>
      </c>
      <c r="J55" s="162">
        <f t="shared" si="16"/>
        <v>27866393.49</v>
      </c>
      <c r="K55" s="163">
        <f>L51*K54</f>
        <v>66298275.84</v>
      </c>
      <c r="L55" s="57"/>
      <c r="M55" s="11"/>
      <c r="N55" s="11"/>
    </row>
    <row r="56">
      <c r="A56" s="3"/>
      <c r="B56" s="13" t="s">
        <v>79</v>
      </c>
      <c r="C56" s="181">
        <f t="array" ref="C56">NPV(C37, J65:J75)</f>
        <v>753158561.4</v>
      </c>
      <c r="D56" s="68"/>
      <c r="E56" s="177">
        <v>2029.0</v>
      </c>
      <c r="F56" s="158">
        <f t="shared" si="13"/>
        <v>179809485.1</v>
      </c>
      <c r="G56" s="159">
        <f>G55-(G52-G61) / 10</f>
        <v>0.05693663489</v>
      </c>
      <c r="H56" s="160">
        <f t="shared" si="14"/>
        <v>28388514.92</v>
      </c>
      <c r="I56" s="178">
        <f t="shared" si="15"/>
        <v>0.07766843185</v>
      </c>
      <c r="J56" s="162">
        <f t="shared" si="16"/>
        <v>29453012.16</v>
      </c>
      <c r="K56" s="163">
        <f>L51*K55</f>
        <v>63790248.16</v>
      </c>
      <c r="L56" s="57"/>
      <c r="M56" s="11"/>
      <c r="N56" s="11"/>
    </row>
    <row r="57">
      <c r="A57" s="3"/>
      <c r="B57" s="13" t="s">
        <v>74</v>
      </c>
      <c r="C57" s="182">
        <f>C56/K65</f>
        <v>2109.80254</v>
      </c>
      <c r="D57" s="57"/>
      <c r="E57" s="177">
        <v>2030.0</v>
      </c>
      <c r="F57" s="158">
        <f t="shared" si="13"/>
        <v>189839353.3</v>
      </c>
      <c r="G57" s="159">
        <f>G56-(G52-G61) / 10</f>
        <v>0.05578052907</v>
      </c>
      <c r="H57" s="160">
        <f t="shared" si="14"/>
        <v>29972041.3</v>
      </c>
      <c r="I57" s="178">
        <f t="shared" si="15"/>
        <v>0.082090611</v>
      </c>
      <c r="J57" s="162">
        <f t="shared" si="16"/>
        <v>31095916.76</v>
      </c>
      <c r="K57" s="163">
        <f>L51*K56</f>
        <v>61377097.79</v>
      </c>
      <c r="L57" s="57"/>
      <c r="M57" s="11"/>
      <c r="N57" s="11"/>
    </row>
    <row r="58">
      <c r="A58" s="1"/>
      <c r="B58" s="13" t="s">
        <v>75</v>
      </c>
      <c r="C58" s="183">
        <f>(C57/C25)^(1/10)-1</f>
        <v>0.1365944356</v>
      </c>
      <c r="D58" s="57"/>
      <c r="E58" s="136">
        <v>2031.0</v>
      </c>
      <c r="F58" s="158">
        <f t="shared" si="13"/>
        <v>200209218.5</v>
      </c>
      <c r="G58" s="159">
        <f>G57-(G52-G61) / 10</f>
        <v>0.05462442326</v>
      </c>
      <c r="H58" s="160">
        <f t="shared" si="14"/>
        <v>31609246.77</v>
      </c>
      <c r="I58" s="178">
        <f t="shared" si="15"/>
        <v>0.08666966871</v>
      </c>
      <c r="J58" s="162">
        <f t="shared" si="16"/>
        <v>32794513.28</v>
      </c>
      <c r="K58" s="175">
        <f>L51*K57</f>
        <v>59055235.6</v>
      </c>
      <c r="L58" s="6"/>
      <c r="M58" s="11"/>
      <c r="N58" s="11"/>
    </row>
    <row r="59">
      <c r="A59" s="1"/>
      <c r="B59" s="43"/>
      <c r="C59" s="138"/>
      <c r="D59" s="57"/>
      <c r="E59" s="136">
        <v>2032.0</v>
      </c>
      <c r="F59" s="158">
        <f t="shared" si="13"/>
        <v>210914068.5</v>
      </c>
      <c r="G59" s="159">
        <f>G58-(G52-G61) / 10</f>
        <v>0.05346831744</v>
      </c>
      <c r="H59" s="160">
        <f t="shared" si="14"/>
        <v>33299340.01</v>
      </c>
      <c r="I59" s="178">
        <f t="shared" si="15"/>
        <v>0.09140394938</v>
      </c>
      <c r="J59" s="162">
        <f t="shared" si="16"/>
        <v>34547980.73</v>
      </c>
      <c r="K59" s="175">
        <f>L51*K58</f>
        <v>56821208.18</v>
      </c>
      <c r="L59" s="6"/>
      <c r="M59" s="11"/>
      <c r="N59" s="11"/>
    </row>
    <row r="60">
      <c r="A60" s="1"/>
      <c r="B60" s="184" t="s">
        <v>80</v>
      </c>
      <c r="C60" s="19"/>
      <c r="D60" s="68"/>
      <c r="E60" s="136">
        <v>2033.0</v>
      </c>
      <c r="F60" s="158">
        <f t="shared" si="13"/>
        <v>221947449.9</v>
      </c>
      <c r="G60" s="159">
        <f>G59-(G52-G61) / 10</f>
        <v>0.05231221163</v>
      </c>
      <c r="H60" s="160">
        <f t="shared" si="14"/>
        <v>35041302.13</v>
      </c>
      <c r="I60" s="178">
        <f t="shared" si="15"/>
        <v>0.09629116476</v>
      </c>
      <c r="J60" s="162">
        <f t="shared" si="16"/>
        <v>36355262.01</v>
      </c>
      <c r="K60" s="175">
        <f>L51*K59</f>
        <v>54671692.8</v>
      </c>
      <c r="L60" s="6"/>
      <c r="M60" s="11"/>
      <c r="N60" s="11"/>
    </row>
    <row r="61">
      <c r="A61" s="1"/>
      <c r="B61" s="24"/>
      <c r="C61" s="25"/>
      <c r="D61" s="68"/>
      <c r="E61" s="136">
        <v>2034.0</v>
      </c>
      <c r="F61" s="185">
        <f t="shared" si="13"/>
        <v>233044822.4</v>
      </c>
      <c r="G61" s="186">
        <f>C37</f>
        <v>0.05</v>
      </c>
      <c r="H61" s="187">
        <f t="shared" si="14"/>
        <v>36793367.24</v>
      </c>
      <c r="I61" s="188">
        <f t="shared" si="15"/>
        <v>0.1013283685</v>
      </c>
      <c r="J61" s="189">
        <f t="shared" si="16"/>
        <v>38173025.11</v>
      </c>
      <c r="K61" s="190">
        <f>L51*K60</f>
        <v>52603492.43</v>
      </c>
      <c r="L61" s="6"/>
      <c r="M61" s="11"/>
      <c r="N61" s="11"/>
    </row>
    <row r="62" ht="21.75" customHeight="1">
      <c r="A62" s="1"/>
      <c r="B62" s="24"/>
      <c r="C62" s="25"/>
      <c r="D62" s="171"/>
      <c r="E62" s="6"/>
      <c r="F62" s="191"/>
      <c r="G62" s="191"/>
      <c r="H62" s="6"/>
      <c r="I62" s="6"/>
      <c r="J62" s="6"/>
      <c r="K62" s="6"/>
      <c r="L62" s="6"/>
      <c r="M62" s="11"/>
      <c r="N62" s="11"/>
    </row>
    <row r="63">
      <c r="A63" s="1"/>
      <c r="B63" s="63"/>
      <c r="C63" s="64"/>
      <c r="D63" s="171"/>
      <c r="E63" s="139" t="s">
        <v>65</v>
      </c>
      <c r="F63" s="140" t="s">
        <v>81</v>
      </c>
      <c r="G63" s="140" t="s">
        <v>66</v>
      </c>
      <c r="H63" s="192" t="s">
        <v>25</v>
      </c>
      <c r="I63" s="143" t="s">
        <v>68</v>
      </c>
      <c r="J63" s="143" t="s">
        <v>82</v>
      </c>
      <c r="K63" s="144" t="s">
        <v>30</v>
      </c>
      <c r="L63" s="6"/>
      <c r="M63" s="11"/>
      <c r="N63" s="11"/>
    </row>
    <row r="64">
      <c r="A64" s="1"/>
      <c r="B64" s="57"/>
      <c r="C64" s="57"/>
      <c r="D64" s="171"/>
      <c r="E64" s="146"/>
      <c r="F64" s="147"/>
      <c r="G64" s="147"/>
      <c r="H64" s="148"/>
      <c r="I64" s="149"/>
      <c r="J64" s="57"/>
      <c r="K64" s="3"/>
      <c r="L64" s="6"/>
      <c r="M64" s="11"/>
      <c r="N64" s="11"/>
    </row>
    <row r="65">
      <c r="A65" s="138"/>
      <c r="B65" s="57"/>
      <c r="C65" s="57"/>
      <c r="D65" s="37"/>
      <c r="E65" s="136">
        <v>2034.0</v>
      </c>
      <c r="F65" s="193">
        <f>F61*C55</f>
        <v>455357982.9</v>
      </c>
      <c r="G65" s="194">
        <f t="shared" ref="G65:H65" si="17">G61</f>
        <v>0.05</v>
      </c>
      <c r="H65" s="195">
        <f t="shared" si="17"/>
        <v>36793367.24</v>
      </c>
      <c r="I65" s="196">
        <f>J61</f>
        <v>38173025.11</v>
      </c>
      <c r="J65" s="197">
        <f>H65*C55</f>
        <v>71892408.13</v>
      </c>
      <c r="K65" s="198">
        <f>L65*K23</f>
        <v>356980.5927</v>
      </c>
      <c r="L65" s="199">
        <f>((K23-H23)/H23 + 1)</f>
        <v>1.017583756</v>
      </c>
      <c r="M65" s="11"/>
      <c r="N65" s="11"/>
    </row>
    <row r="66">
      <c r="A66" s="138"/>
      <c r="B66" s="1"/>
      <c r="C66" s="138"/>
      <c r="D66" s="37"/>
      <c r="E66" s="136">
        <v>2035.0</v>
      </c>
      <c r="F66" s="200">
        <f t="shared" ref="F66:F75" si="18">F65*(1+G66)</f>
        <v>478125882</v>
      </c>
      <c r="G66" s="201">
        <f>G65-(G65-G75) / 10</f>
        <v>0.05</v>
      </c>
      <c r="H66" s="202">
        <f t="shared" ref="H66:H75" si="19">H65*(1+G66)</f>
        <v>38633035.6</v>
      </c>
      <c r="I66" s="203">
        <f t="shared" ref="I66:I75" si="20">I65*(1+G66)</f>
        <v>40081676.36</v>
      </c>
      <c r="J66" s="204">
        <f>H66*C55</f>
        <v>75487028.54</v>
      </c>
      <c r="K66" s="40">
        <f t="shared" ref="K66:K69" si="21">L66*K65</f>
        <v>359625.076</v>
      </c>
      <c r="L66" s="199">
        <f t="shared" ref="L66:L68" si="22">L65*0.99</f>
        <v>1.007407919</v>
      </c>
      <c r="M66" s="11"/>
      <c r="N66" s="11"/>
    </row>
    <row r="67">
      <c r="A67" s="138"/>
      <c r="B67" s="1"/>
      <c r="C67" s="205"/>
      <c r="D67" s="37"/>
      <c r="E67" s="136">
        <v>2036.0</v>
      </c>
      <c r="F67" s="200">
        <f t="shared" si="18"/>
        <v>502032176.1</v>
      </c>
      <c r="G67" s="201">
        <f>G66-(G65-G75) / 10</f>
        <v>0.05</v>
      </c>
      <c r="H67" s="202">
        <f t="shared" si="19"/>
        <v>40564687.38</v>
      </c>
      <c r="I67" s="203">
        <f t="shared" si="20"/>
        <v>42085760.18</v>
      </c>
      <c r="J67" s="206">
        <f>H67*C55</f>
        <v>79261379.97</v>
      </c>
      <c r="K67" s="47">
        <f t="shared" si="21"/>
        <v>358666.2578</v>
      </c>
      <c r="L67" s="199">
        <f t="shared" si="22"/>
        <v>0.9973338396</v>
      </c>
      <c r="M67" s="11"/>
      <c r="N67" s="11"/>
    </row>
    <row r="68">
      <c r="A68" s="138"/>
      <c r="B68" s="1"/>
      <c r="C68" s="205"/>
      <c r="D68" s="37"/>
      <c r="E68" s="136">
        <v>2037.0</v>
      </c>
      <c r="F68" s="200">
        <f t="shared" si="18"/>
        <v>527133784.9</v>
      </c>
      <c r="G68" s="201">
        <f>G67-(G65-G75) / 10</f>
        <v>0.05</v>
      </c>
      <c r="H68" s="202">
        <f t="shared" si="19"/>
        <v>42592921.75</v>
      </c>
      <c r="I68" s="203">
        <f t="shared" si="20"/>
        <v>44190048.19</v>
      </c>
      <c r="J68" s="204">
        <f>H68*C55</f>
        <v>83224448.97</v>
      </c>
      <c r="K68" s="40">
        <f t="shared" si="21"/>
        <v>354132.8961</v>
      </c>
      <c r="L68" s="199">
        <f t="shared" si="22"/>
        <v>0.9873605012</v>
      </c>
      <c r="M68" s="11"/>
      <c r="N68" s="11"/>
    </row>
    <row r="69">
      <c r="A69" s="1"/>
      <c r="B69" s="1"/>
      <c r="C69" s="138"/>
      <c r="D69" s="68"/>
      <c r="E69" s="136">
        <v>2038.0</v>
      </c>
      <c r="F69" s="200">
        <f t="shared" si="18"/>
        <v>553490474.2</v>
      </c>
      <c r="G69" s="201">
        <f>G68-(G65-G75) / 10</f>
        <v>0.05</v>
      </c>
      <c r="H69" s="202">
        <f t="shared" si="19"/>
        <v>44722567.83</v>
      </c>
      <c r="I69" s="203">
        <f t="shared" si="20"/>
        <v>46399550.6</v>
      </c>
      <c r="J69" s="206">
        <f>H69*C55</f>
        <v>87385671.41</v>
      </c>
      <c r="K69" s="47">
        <f t="shared" si="21"/>
        <v>349656.8338</v>
      </c>
      <c r="L69" s="199">
        <f>L68</f>
        <v>0.9873605012</v>
      </c>
      <c r="M69" s="11"/>
      <c r="N69" s="11"/>
    </row>
    <row r="70">
      <c r="A70" s="1"/>
      <c r="B70" s="13"/>
      <c r="C70" s="68"/>
      <c r="D70" s="68"/>
      <c r="E70" s="136">
        <v>2039.0</v>
      </c>
      <c r="F70" s="200">
        <f t="shared" si="18"/>
        <v>581164997.9</v>
      </c>
      <c r="G70" s="201">
        <f>G69-(G65-G75) / 10</f>
        <v>0.05</v>
      </c>
      <c r="H70" s="202">
        <f t="shared" si="19"/>
        <v>46958696.23</v>
      </c>
      <c r="I70" s="203">
        <f t="shared" si="20"/>
        <v>48719528.13</v>
      </c>
      <c r="J70" s="204">
        <f>H70*C55</f>
        <v>91754954.98</v>
      </c>
      <c r="K70" s="40">
        <f>L69*K69</f>
        <v>345237.3466</v>
      </c>
      <c r="L70" s="6"/>
      <c r="M70" s="11"/>
      <c r="N70" s="11"/>
    </row>
    <row r="71">
      <c r="A71" s="1"/>
      <c r="B71" s="13"/>
      <c r="C71" s="207"/>
      <c r="D71" s="68"/>
      <c r="E71" s="136">
        <v>2040.0</v>
      </c>
      <c r="F71" s="200">
        <f t="shared" si="18"/>
        <v>610223247.8</v>
      </c>
      <c r="G71" s="201">
        <f>G70-(G65-G75) / 10</f>
        <v>0.05</v>
      </c>
      <c r="H71" s="202">
        <f t="shared" si="19"/>
        <v>49306631.04</v>
      </c>
      <c r="I71" s="203">
        <f t="shared" si="20"/>
        <v>51155504.54</v>
      </c>
      <c r="J71" s="204">
        <f>H71*C55</f>
        <v>96342702.73</v>
      </c>
      <c r="K71" s="40">
        <f>L69*K70</f>
        <v>340873.7196</v>
      </c>
      <c r="L71" s="6"/>
      <c r="M71" s="11"/>
      <c r="N71" s="11"/>
    </row>
    <row r="72">
      <c r="A72" s="1"/>
      <c r="B72" s="68"/>
      <c r="C72" s="68"/>
      <c r="D72" s="68"/>
      <c r="E72" s="136">
        <v>2041.0</v>
      </c>
      <c r="F72" s="200">
        <f t="shared" si="18"/>
        <v>640734410.2</v>
      </c>
      <c r="G72" s="201">
        <f>G71-(G65-G75) / 10</f>
        <v>0.05</v>
      </c>
      <c r="H72" s="202">
        <f t="shared" si="19"/>
        <v>51771962.59</v>
      </c>
      <c r="I72" s="203">
        <f t="shared" si="20"/>
        <v>53713279.76</v>
      </c>
      <c r="J72" s="204">
        <f>H72*C55</f>
        <v>101159837.9</v>
      </c>
      <c r="K72" s="40">
        <f>L69*K71</f>
        <v>336565.2466</v>
      </c>
      <c r="L72" s="6"/>
      <c r="M72" s="11"/>
      <c r="N72" s="11"/>
    </row>
    <row r="73">
      <c r="A73" s="1"/>
      <c r="B73" s="68"/>
      <c r="C73" s="68"/>
      <c r="D73" s="68"/>
      <c r="E73" s="136">
        <v>2042.0</v>
      </c>
      <c r="F73" s="200">
        <f t="shared" si="18"/>
        <v>672771130.7</v>
      </c>
      <c r="G73" s="201">
        <f>G72-(G65-G75) / 10</f>
        <v>0.05</v>
      </c>
      <c r="H73" s="202">
        <f t="shared" si="19"/>
        <v>54360560.72</v>
      </c>
      <c r="I73" s="203">
        <f t="shared" si="20"/>
        <v>56398943.75</v>
      </c>
      <c r="J73" s="204">
        <f>H73*C55</f>
        <v>106217829.8</v>
      </c>
      <c r="K73" s="40">
        <f>L69*K72</f>
        <v>332311.2306</v>
      </c>
      <c r="L73" s="6"/>
      <c r="M73" s="11"/>
      <c r="N73" s="11"/>
    </row>
    <row r="74">
      <c r="A74" s="1"/>
      <c r="B74" s="68"/>
      <c r="C74" s="68"/>
      <c r="D74" s="68"/>
      <c r="E74" s="136">
        <v>2043.0</v>
      </c>
      <c r="F74" s="200">
        <f t="shared" si="18"/>
        <v>706409687.2</v>
      </c>
      <c r="G74" s="201">
        <f>G73-(G65-G75) / 10</f>
        <v>0.05</v>
      </c>
      <c r="H74" s="202">
        <f t="shared" si="19"/>
        <v>57078588.75</v>
      </c>
      <c r="I74" s="203">
        <f t="shared" si="20"/>
        <v>59218890.94</v>
      </c>
      <c r="J74" s="204">
        <f>H74*C55</f>
        <v>111528721.3</v>
      </c>
      <c r="K74" s="40">
        <f>L69*K73</f>
        <v>328110.9832</v>
      </c>
      <c r="L74" s="6"/>
      <c r="M74" s="11"/>
      <c r="N74" s="11"/>
    </row>
    <row r="75">
      <c r="A75" s="138"/>
      <c r="B75" s="37"/>
      <c r="C75" s="37"/>
      <c r="D75" s="68"/>
      <c r="E75" s="136">
        <v>2044.0</v>
      </c>
      <c r="F75" s="208">
        <f t="shared" si="18"/>
        <v>741730171.6</v>
      </c>
      <c r="G75" s="209">
        <f>C48</f>
        <v>0.05</v>
      </c>
      <c r="H75" s="210">
        <f t="shared" si="19"/>
        <v>59932518.19</v>
      </c>
      <c r="I75" s="211">
        <f t="shared" si="20"/>
        <v>62179835.49</v>
      </c>
      <c r="J75" s="212">
        <f>H75*C55</f>
        <v>117105157.3</v>
      </c>
      <c r="K75" s="213">
        <f>L69*K74</f>
        <v>323963.8248</v>
      </c>
      <c r="L75" s="6"/>
      <c r="M75" s="11"/>
      <c r="N75" s="11"/>
    </row>
    <row r="76">
      <c r="A76" s="3"/>
      <c r="B76" s="6"/>
      <c r="C76" s="68"/>
      <c r="D76" s="68"/>
      <c r="E76" s="214"/>
      <c r="F76" s="214">
        <v>2019.0</v>
      </c>
      <c r="G76" s="214">
        <v>2020.0</v>
      </c>
      <c r="H76" s="214">
        <v>2021.0</v>
      </c>
      <c r="I76" s="214">
        <v>2022.0</v>
      </c>
      <c r="J76" s="214">
        <v>2023.0</v>
      </c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6"/>
      <c r="C77" s="68"/>
      <c r="D77" s="68"/>
      <c r="E77" s="6"/>
      <c r="F77" s="6"/>
      <c r="G77" s="6"/>
      <c r="H77" s="6"/>
      <c r="I77" s="6"/>
      <c r="J77" s="6"/>
      <c r="K77" s="6"/>
      <c r="L77" s="6"/>
      <c r="M77" s="6"/>
      <c r="N77" s="6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21.75" customHeight="1">
      <c r="A78" s="3"/>
      <c r="B78" s="215" t="s">
        <v>83</v>
      </c>
      <c r="C78" s="216"/>
      <c r="D78" s="216"/>
      <c r="E78" s="216"/>
      <c r="F78" s="216"/>
      <c r="G78" s="216"/>
      <c r="H78" s="216"/>
      <c r="I78" s="216"/>
      <c r="J78" s="216"/>
      <c r="K78" s="217"/>
      <c r="L78" s="6"/>
      <c r="M78" s="11"/>
      <c r="N78" s="11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idden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1"/>
      <c r="N131" s="11"/>
    </row>
    <row r="132" hidden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1"/>
      <c r="N132" s="11"/>
    </row>
    <row r="133" hidden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1"/>
      <c r="N133" s="11"/>
    </row>
    <row r="134" hidden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1"/>
      <c r="N134" s="11"/>
    </row>
    <row r="135" hidden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1"/>
      <c r="N135" s="11"/>
    </row>
    <row r="136" hidden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1"/>
      <c r="N136" s="11"/>
    </row>
    <row r="137" hidden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1"/>
      <c r="N137" s="11"/>
    </row>
    <row r="138" hidden="1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1"/>
      <c r="N138" s="11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  <row r="984" hidden="1">
      <c r="A984" s="3"/>
      <c r="L984" s="3"/>
    </row>
    <row r="985" hidden="1">
      <c r="A985" s="3"/>
      <c r="L985" s="3"/>
    </row>
    <row r="986" hidden="1">
      <c r="A986" s="3"/>
      <c r="L986" s="3"/>
    </row>
    <row r="987" hidden="1">
      <c r="A987" s="3"/>
      <c r="L987" s="3"/>
    </row>
    <row r="988" hidden="1">
      <c r="A988" s="3"/>
      <c r="L988" s="3"/>
    </row>
    <row r="989" hidden="1">
      <c r="A989" s="3"/>
      <c r="L989" s="3"/>
    </row>
    <row r="990" hidden="1">
      <c r="A990" s="3"/>
      <c r="L990" s="3"/>
    </row>
    <row r="991" hidden="1">
      <c r="A991" s="3"/>
      <c r="L991" s="3"/>
    </row>
    <row r="992" hidden="1">
      <c r="A992" s="3"/>
      <c r="L992" s="3"/>
    </row>
    <row r="993" hidden="1">
      <c r="A993" s="3"/>
      <c r="L993" s="3"/>
    </row>
    <row r="994" hidden="1">
      <c r="A994" s="3"/>
      <c r="L994" s="3"/>
    </row>
    <row r="995" hidden="1">
      <c r="A995" s="3"/>
      <c r="L995" s="3"/>
    </row>
    <row r="996" hidden="1">
      <c r="A996" s="3"/>
      <c r="L996" s="3"/>
    </row>
    <row r="997" hidden="1">
      <c r="A997" s="3"/>
      <c r="L997" s="3"/>
    </row>
    <row r="998" hidden="1">
      <c r="A998" s="3"/>
      <c r="L998" s="3"/>
    </row>
    <row r="999" hidden="1">
      <c r="A999" s="3"/>
      <c r="L999" s="3"/>
    </row>
    <row r="1000" hidden="1">
      <c r="A1000" s="3"/>
      <c r="L1000" s="3"/>
    </row>
    <row r="1001" hidden="1">
      <c r="A1001" s="3"/>
      <c r="L1001" s="3"/>
    </row>
    <row r="1002" hidden="1">
      <c r="A1002" s="3"/>
      <c r="L1002" s="3"/>
    </row>
    <row r="1003" hidden="1">
      <c r="A1003" s="3"/>
      <c r="L1003" s="3"/>
    </row>
    <row r="1004" hidden="1">
      <c r="A1004" s="3"/>
      <c r="L1004" s="3"/>
    </row>
    <row r="1005" hidden="1">
      <c r="A1005" s="3"/>
      <c r="L1005" s="3"/>
    </row>
    <row r="1006" hidden="1">
      <c r="A1006" s="3"/>
      <c r="L1006" s="3"/>
    </row>
    <row r="1007" hidden="1">
      <c r="A1007" s="3"/>
      <c r="L1007" s="3"/>
    </row>
    <row r="1008" hidden="1">
      <c r="A1008" s="3"/>
      <c r="L1008" s="3"/>
    </row>
    <row r="1009" hidden="1">
      <c r="A1009" s="3"/>
      <c r="L1009" s="3"/>
    </row>
    <row r="1010" hidden="1">
      <c r="A1010" s="3"/>
      <c r="L1010" s="3"/>
    </row>
    <row r="1011" hidden="1">
      <c r="A1011" s="3"/>
      <c r="L1011" s="3"/>
    </row>
    <row r="1012" hidden="1">
      <c r="A1012" s="3"/>
      <c r="L1012" s="3"/>
    </row>
    <row r="1013" hidden="1">
      <c r="A1013" s="3"/>
      <c r="L1013" s="3"/>
    </row>
    <row r="1014" hidden="1">
      <c r="A1014" s="3"/>
      <c r="L1014" s="3"/>
    </row>
    <row r="1015" hidden="1">
      <c r="A1015" s="3"/>
      <c r="L1015" s="3"/>
    </row>
    <row r="1016" hidden="1">
      <c r="A1016" s="3"/>
      <c r="L1016" s="3"/>
    </row>
    <row r="1017" hidden="1">
      <c r="A1017" s="3"/>
      <c r="L1017" s="3"/>
    </row>
    <row r="1018" hidden="1">
      <c r="A1018" s="3"/>
      <c r="L1018" s="3"/>
    </row>
    <row r="1019" hidden="1">
      <c r="A1019" s="3"/>
      <c r="L1019" s="3"/>
    </row>
  </sheetData>
  <mergeCells count="3">
    <mergeCell ref="B4:C21"/>
    <mergeCell ref="B60:C63"/>
    <mergeCell ref="B78:K78"/>
  </mergeCell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.88"/>
    <col customWidth="1" min="3" max="6" width="16.0"/>
    <col hidden="1" min="8" max="28" width="12.63"/>
  </cols>
  <sheetData>
    <row r="1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218"/>
      <c r="B3" s="219"/>
      <c r="C3" s="220" t="s">
        <v>84</v>
      </c>
      <c r="D3" s="221"/>
      <c r="E3" s="221"/>
      <c r="F3" s="22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223"/>
      <c r="B4" s="223"/>
      <c r="C4" s="223"/>
      <c r="D4" s="22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224"/>
      <c r="B5" s="225" t="s">
        <v>85</v>
      </c>
      <c r="C5" s="224" t="s">
        <v>86</v>
      </c>
      <c r="G5" s="22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224"/>
      <c r="B6" s="225"/>
      <c r="C6" s="224"/>
      <c r="D6" s="224"/>
      <c r="E6" s="224"/>
      <c r="F6" s="224"/>
      <c r="G6" s="22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224"/>
      <c r="B7" s="225" t="s">
        <v>85</v>
      </c>
      <c r="C7" s="226" t="s">
        <v>87</v>
      </c>
      <c r="G7" s="22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224"/>
      <c r="B8" s="225"/>
      <c r="C8" s="227"/>
      <c r="D8" s="227"/>
      <c r="E8" s="227"/>
      <c r="F8" s="227"/>
      <c r="G8" s="2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228"/>
      <c r="B9" s="225" t="s">
        <v>85</v>
      </c>
      <c r="C9" s="228" t="s">
        <v>88</v>
      </c>
      <c r="G9" s="2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228"/>
      <c r="B10" s="225"/>
      <c r="C10" s="228"/>
      <c r="D10" s="228"/>
      <c r="E10" s="228"/>
      <c r="F10" s="228"/>
      <c r="G10" s="22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228"/>
      <c r="B11" s="225" t="s">
        <v>85</v>
      </c>
      <c r="C11" s="229" t="s">
        <v>89</v>
      </c>
      <c r="G11" s="2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228"/>
      <c r="B12" s="225"/>
      <c r="C12" s="228"/>
      <c r="D12" s="228"/>
      <c r="E12" s="228"/>
      <c r="F12" s="228"/>
      <c r="G12" s="2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224"/>
      <c r="B13" s="225" t="s">
        <v>85</v>
      </c>
      <c r="C13" s="228" t="s">
        <v>90</v>
      </c>
      <c r="G13" s="22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224"/>
      <c r="B14" s="225"/>
      <c r="C14" s="228"/>
      <c r="D14" s="228"/>
      <c r="E14" s="228"/>
      <c r="F14" s="228"/>
      <c r="G14" s="2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224"/>
      <c r="B15" s="225" t="s">
        <v>85</v>
      </c>
      <c r="C15" s="229" t="s">
        <v>91</v>
      </c>
      <c r="G15" s="2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224"/>
      <c r="B16" s="225"/>
      <c r="C16" s="228"/>
      <c r="D16" s="228"/>
      <c r="E16" s="228"/>
      <c r="F16" s="228"/>
      <c r="G16" s="2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224"/>
      <c r="B17" s="225" t="s">
        <v>85</v>
      </c>
      <c r="C17" s="228" t="s">
        <v>92</v>
      </c>
      <c r="G17" s="2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224"/>
      <c r="B18" s="225"/>
      <c r="C18" s="228"/>
      <c r="D18" s="228"/>
      <c r="E18" s="228"/>
      <c r="F18" s="228"/>
      <c r="G18" s="2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224"/>
      <c r="B19" s="225" t="s">
        <v>85</v>
      </c>
      <c r="C19" s="229" t="s">
        <v>93</v>
      </c>
      <c r="G19" s="2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228"/>
      <c r="B20" s="228"/>
      <c r="C20" s="228"/>
      <c r="D20" s="228"/>
      <c r="E20" s="228"/>
      <c r="F20" s="22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228"/>
      <c r="B21" s="228"/>
      <c r="C21" s="228"/>
      <c r="D21" s="228"/>
      <c r="E21" s="228"/>
      <c r="F21" s="22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228"/>
      <c r="B22" s="228"/>
      <c r="C22" s="228"/>
      <c r="D22" s="228"/>
      <c r="E22" s="228"/>
      <c r="F22" s="22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228"/>
      <c r="B23" s="228"/>
      <c r="C23" s="228"/>
      <c r="D23" s="228"/>
      <c r="E23" s="228"/>
      <c r="F23" s="22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228"/>
      <c r="B24" s="228"/>
      <c r="C24" s="228"/>
      <c r="D24" s="228"/>
      <c r="E24" s="228"/>
      <c r="F24" s="22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228"/>
      <c r="B25" s="228"/>
      <c r="C25" s="228"/>
      <c r="D25" s="228"/>
      <c r="E25" s="228"/>
      <c r="F25" s="22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230"/>
      <c r="B26" s="228"/>
      <c r="C26" s="228"/>
      <c r="D26" s="228"/>
      <c r="E26" s="228"/>
      <c r="F26" s="22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230"/>
      <c r="B27" s="228"/>
      <c r="C27" s="228"/>
      <c r="D27" s="228"/>
      <c r="E27" s="228"/>
      <c r="F27" s="22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6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6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6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6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6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8">
    <mergeCell ref="C5:F5"/>
    <mergeCell ref="C7:F7"/>
    <mergeCell ref="C9:F9"/>
    <mergeCell ref="C11:F11"/>
    <mergeCell ref="C13:F13"/>
    <mergeCell ref="C15:F15"/>
    <mergeCell ref="C17:F17"/>
    <mergeCell ref="C19:F19"/>
  </mergeCells>
  <drawing r:id="rId1"/>
</worksheet>
</file>