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<sst xmlns="http://schemas.openxmlformats.org/spreadsheetml/2006/main" count="195" uniqueCount="100">
  <si>
    <t>MasterCraft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</si>
  <si>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</si>
  <si>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</si>
  <si>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</si>
  <si>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</si>
  <si>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</si>
  <si>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</si>
  <si>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</si>
  <si>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</si>
  <si>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</si>
  <si>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</si>
  <si>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</si>
  <si>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</si>
  <si>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</si>
  <si>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</si>
  <si>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</si>
  <si>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</si>
  <si>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</si>
  <si>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</si>
  <si>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</si>
  <si>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</si>
  <si>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</si>
  <si>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</si>
  <si>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</si>
  <si>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</si>
  <si>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</si>
  <si>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</si>
  <si>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</si>
  <si>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</si>
  <si>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MCFT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</si>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</sst>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4" xfId="0" applyAlignment="1" applyBorder="1" applyFill="1" applyFont="1" applyNumberFormat="1">
      <alignment readingOrder="0"/>
    </xf>
    <xf borderId="5" fillId="4" fontId="3" numFmtId="4" xfId="0" applyAlignment="1" applyBorder="1" applyFont="1" applyNumberFormat="1">
      <alignment readingOrder="0"/>
    </xf>
    <xf borderId="6" fillId="4" fontId="3" numFmtId="4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8" fillId="4" fontId="3" numFmtId="4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4" fillId="4" fontId="3" numFmtId="3" xfId="0" applyAlignment="1" applyBorder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180975</xdr:rowOff>
    </xdr:from>
    <xdr:ext cx="3009900" cy="3600450"/>
    <xdr:sp>
      <xdr:nvSpPr>
        <xdr:cNvPr id="3" name="Shape 3"/>
        <xdr:cNvSpPr txBox="1"/>
      </xdr:nvSpPr>
      <xdr:spPr>
        <a:xfrm>
          <a:off x="673050" y="726025"/>
          <a:ext cx="2832600" cy="3401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MasterCraft manufactures a host of recreational boats sold under four brands. The company has significantly grown over the past five years while simultaneously reducing debt to a point where they are now in a strong position, from a balance sheet perspective.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Current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macroeconomic,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cyclical headwinds are causing short-term constrictions in consumer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discretionary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spending in this industry as well as the increased loan difficulty.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The company has strong brands and a very high return, with significant room for multiple expansion. Market woes may soon provide a clear opportunity for $MCFT.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45190.0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6">
        <v>0.0</v>
      </c>
      <c r="G4" s="17">
        <v>466.38</v>
      </c>
      <c r="H4" s="17">
        <v>363.07</v>
      </c>
      <c r="I4" s="17">
        <v>525.81</v>
      </c>
      <c r="J4" s="17">
        <v>641.61</v>
      </c>
      <c r="K4" s="18">
        <v>662.05</v>
      </c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 t="str">
        <f t="shared" ref="G5:K5" si="1">(G4-F4)/F4</f>
        <v>#DIV/0!</v>
      </c>
      <c r="H5" s="22">
        <f t="shared" si="1"/>
        <v>-0.2215146447</v>
      </c>
      <c r="I5" s="22">
        <f t="shared" si="1"/>
        <v>0.4482331231</v>
      </c>
      <c r="J5" s="22">
        <f t="shared" si="1"/>
        <v>0.2202316426</v>
      </c>
      <c r="K5" s="23">
        <f t="shared" si="1"/>
        <v>0.03185735883</v>
      </c>
      <c r="L5" s="13"/>
      <c r="M5" s="5"/>
      <c r="N5" s="5"/>
    </row>
    <row r="6">
      <c r="B6" s="5"/>
      <c r="C6" s="19"/>
      <c r="D6" s="5"/>
      <c r="E6" s="10" t="s">
        <v>10</v>
      </c>
      <c r="F6" s="24">
        <v>0.0</v>
      </c>
      <c r="G6" s="25">
        <v>356.75</v>
      </c>
      <c r="H6" s="25">
        <v>290.27</v>
      </c>
      <c r="I6" s="25">
        <v>397.64</v>
      </c>
      <c r="J6" s="25">
        <v>475.38</v>
      </c>
      <c r="K6" s="26">
        <v>494.29</v>
      </c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K7" si="2">(F4-F6)/F4</f>
        <v>#DIV/0!</v>
      </c>
      <c r="G7" s="29">
        <f t="shared" si="2"/>
        <v>0.2350658262</v>
      </c>
      <c r="H7" s="29">
        <f t="shared" si="2"/>
        <v>0.2005122979</v>
      </c>
      <c r="I7" s="29">
        <f t="shared" si="2"/>
        <v>0.2437572507</v>
      </c>
      <c r="J7" s="29">
        <f t="shared" si="2"/>
        <v>0.2590826203</v>
      </c>
      <c r="K7" s="30">
        <f t="shared" si="2"/>
        <v>0.2533947587</v>
      </c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32">
        <f t="shared" ref="F8:K8" si="3">F4-F6</f>
        <v>0</v>
      </c>
      <c r="G8" s="33">
        <f t="shared" si="3"/>
        <v>109.63</v>
      </c>
      <c r="H8" s="33">
        <f t="shared" si="3"/>
        <v>72.8</v>
      </c>
      <c r="I8" s="33">
        <f t="shared" si="3"/>
        <v>128.17</v>
      </c>
      <c r="J8" s="33">
        <f t="shared" si="3"/>
        <v>166.23</v>
      </c>
      <c r="K8" s="34">
        <f t="shared" si="3"/>
        <v>167.76</v>
      </c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K9" si="4">(G8-F8)/F8</f>
        <v>#DIV/0!</v>
      </c>
      <c r="H9" s="29">
        <f t="shared" si="4"/>
        <v>-0.3359481894</v>
      </c>
      <c r="I9" s="29">
        <f t="shared" si="4"/>
        <v>0.7605769231</v>
      </c>
      <c r="J9" s="29">
        <f t="shared" si="4"/>
        <v>0.2969493641</v>
      </c>
      <c r="K9" s="30">
        <f t="shared" si="4"/>
        <v>0.009204114781</v>
      </c>
      <c r="L9" s="5"/>
      <c r="M9" s="5"/>
      <c r="N9" s="5"/>
    </row>
    <row r="10">
      <c r="B10" s="5"/>
      <c r="C10" s="5"/>
      <c r="D10" s="5"/>
      <c r="E10" s="37" t="s">
        <v>14</v>
      </c>
      <c r="F10" s="38">
        <v>0.0</v>
      </c>
      <c r="G10" s="25">
        <v>38.3</v>
      </c>
      <c r="H10" s="39">
        <v>36.34</v>
      </c>
      <c r="I10" s="39">
        <v>43.27</v>
      </c>
      <c r="J10" s="40">
        <f>48.94-J11</f>
        <v>41.74</v>
      </c>
      <c r="K10" s="41">
        <f>50.84-K11</f>
        <v>42.54</v>
      </c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24">
        <v>0.0</v>
      </c>
      <c r="G11" s="25">
        <v>5.57</v>
      </c>
      <c r="H11" s="25">
        <v>5.2</v>
      </c>
      <c r="I11" s="25">
        <v>6.8</v>
      </c>
      <c r="J11" s="40">
        <v>7.2</v>
      </c>
      <c r="K11" s="41">
        <v>8.3</v>
      </c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24">
        <v>0.0</v>
      </c>
      <c r="G12" s="25">
        <v>32.51</v>
      </c>
      <c r="H12" s="25">
        <v>57.83</v>
      </c>
      <c r="I12" s="25">
        <v>2.88</v>
      </c>
      <c r="J12" s="40">
        <v>1.1</v>
      </c>
      <c r="K12" s="41">
        <v>0.0</v>
      </c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38">
        <f t="shared" ref="F13:K13" si="5">F6+F10+F11+F12</f>
        <v>0</v>
      </c>
      <c r="G13" s="39">
        <f t="shared" si="5"/>
        <v>433.13</v>
      </c>
      <c r="H13" s="39">
        <f t="shared" si="5"/>
        <v>389.64</v>
      </c>
      <c r="I13" s="39">
        <f t="shared" si="5"/>
        <v>450.59</v>
      </c>
      <c r="J13" s="39">
        <f t="shared" si="5"/>
        <v>525.42</v>
      </c>
      <c r="K13" s="45">
        <f t="shared" si="5"/>
        <v>545.13</v>
      </c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32">
        <f t="shared" ref="F14:K14" si="6">F4-F13</f>
        <v>0</v>
      </c>
      <c r="G14" s="33">
        <f t="shared" si="6"/>
        <v>33.25</v>
      </c>
      <c r="H14" s="33">
        <f t="shared" si="6"/>
        <v>-26.57</v>
      </c>
      <c r="I14" s="33">
        <f t="shared" si="6"/>
        <v>75.22</v>
      </c>
      <c r="J14" s="40">
        <f t="shared" si="6"/>
        <v>116.19</v>
      </c>
      <c r="K14" s="41">
        <f t="shared" si="6"/>
        <v>116.92</v>
      </c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 t="str">
        <f t="shared" ref="F15:K15" si="7">F14/F4</f>
        <v>#DIV/0!</v>
      </c>
      <c r="G15" s="29">
        <f t="shared" si="7"/>
        <v>0.07129379476</v>
      </c>
      <c r="H15" s="29">
        <f t="shared" si="7"/>
        <v>-0.07318148016</v>
      </c>
      <c r="I15" s="29">
        <f t="shared" si="7"/>
        <v>0.1430554763</v>
      </c>
      <c r="J15" s="29">
        <f t="shared" si="7"/>
        <v>0.1810913172</v>
      </c>
      <c r="K15" s="30">
        <f t="shared" si="7"/>
        <v>0.1766029756</v>
      </c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48" t="s">
        <v>21</v>
      </c>
      <c r="G16" s="49" t="s">
        <v>21</v>
      </c>
      <c r="H16" s="49" t="s">
        <v>21</v>
      </c>
      <c r="I16" s="49" t="s">
        <v>21</v>
      </c>
      <c r="J16" s="49" t="s">
        <v>21</v>
      </c>
      <c r="K16" s="50" t="s">
        <v>21</v>
      </c>
      <c r="L16" s="5"/>
      <c r="M16" s="5"/>
      <c r="N16" s="5"/>
    </row>
    <row r="17">
      <c r="A17" s="1"/>
      <c r="B17" s="19"/>
      <c r="C17" s="42"/>
      <c r="D17" s="47"/>
      <c r="E17" s="37" t="s">
        <v>22</v>
      </c>
      <c r="F17" s="48" t="s">
        <v>21</v>
      </c>
      <c r="G17" s="49" t="s">
        <v>21</v>
      </c>
      <c r="H17" s="49" t="s">
        <v>21</v>
      </c>
      <c r="I17" s="49" t="s">
        <v>21</v>
      </c>
      <c r="J17" s="49" t="s">
        <v>21</v>
      </c>
      <c r="K17" s="50" t="s">
        <v>21</v>
      </c>
      <c r="L17" s="5"/>
      <c r="M17" s="5"/>
      <c r="N17" s="5"/>
    </row>
    <row r="18">
      <c r="A18" s="1"/>
      <c r="B18" s="19"/>
      <c r="C18" s="19"/>
      <c r="D18" s="51"/>
      <c r="E18" s="44" t="s">
        <v>23</v>
      </c>
      <c r="F18" s="24">
        <v>0.0</v>
      </c>
      <c r="G18" s="25">
        <v>26.75</v>
      </c>
      <c r="H18" s="25">
        <v>-31.61</v>
      </c>
      <c r="I18" s="25">
        <v>71.83</v>
      </c>
      <c r="J18" s="40">
        <v>114.72</v>
      </c>
      <c r="K18" s="41">
        <v>117.59</v>
      </c>
      <c r="L18" s="52"/>
      <c r="M18" s="52"/>
      <c r="N18" s="52"/>
      <c r="O18" s="53"/>
    </row>
    <row r="19">
      <c r="A19" s="1"/>
      <c r="B19" s="19"/>
      <c r="C19" s="31"/>
      <c r="D19" s="54"/>
      <c r="E19" s="44" t="s">
        <v>24</v>
      </c>
      <c r="F19" s="24">
        <v>0.0</v>
      </c>
      <c r="G19" s="25">
        <v>5.39</v>
      </c>
      <c r="H19" s="25">
        <v>-7.57</v>
      </c>
      <c r="I19" s="25">
        <v>15.66</v>
      </c>
      <c r="J19" s="25">
        <v>26.78</v>
      </c>
      <c r="K19" s="26">
        <v>27.14</v>
      </c>
      <c r="L19" s="52"/>
      <c r="M19" s="52" t="s">
        <v>25</v>
      </c>
      <c r="N19" s="52"/>
      <c r="O19" s="53"/>
    </row>
    <row r="20">
      <c r="A20" s="1"/>
      <c r="B20" s="19"/>
      <c r="C20" s="19"/>
      <c r="D20" s="54"/>
      <c r="E20" s="44" t="s">
        <v>26</v>
      </c>
      <c r="F20" s="32">
        <f t="shared" ref="F20:K20" si="8">F18-F19</f>
        <v>0</v>
      </c>
      <c r="G20" s="33">
        <f t="shared" si="8"/>
        <v>21.36</v>
      </c>
      <c r="H20" s="33">
        <f t="shared" si="8"/>
        <v>-24.04</v>
      </c>
      <c r="I20" s="33">
        <f t="shared" si="8"/>
        <v>56.17</v>
      </c>
      <c r="J20" s="40">
        <f t="shared" si="8"/>
        <v>87.94</v>
      </c>
      <c r="K20" s="41">
        <f t="shared" si="8"/>
        <v>90.45</v>
      </c>
      <c r="L20" s="52"/>
      <c r="M20" s="55">
        <f>C26/G20</f>
        <v>17.05758427</v>
      </c>
      <c r="N20" s="52"/>
      <c r="O20" s="53"/>
    </row>
    <row r="21">
      <c r="B21" s="5"/>
      <c r="C21" s="5"/>
      <c r="D21" s="5"/>
      <c r="E21" s="37" t="s">
        <v>27</v>
      </c>
      <c r="F21" s="56">
        <v>0.0</v>
      </c>
      <c r="G21" s="22" t="str">
        <f>(G20-F20)/ABS(F20)</f>
        <v>#DIV/0!</v>
      </c>
      <c r="H21" s="57">
        <f>(H20-G20)/G20</f>
        <v>-2.125468165</v>
      </c>
      <c r="I21" s="57">
        <f t="shared" ref="I21:K21" si="9">(I20-H20)/ABS(H20)</f>
        <v>3.336522463</v>
      </c>
      <c r="J21" s="57">
        <f t="shared" si="9"/>
        <v>0.5656044152</v>
      </c>
      <c r="K21" s="58">
        <f t="shared" si="9"/>
        <v>0.02854218786</v>
      </c>
      <c r="L21" s="52"/>
      <c r="M21" s="52"/>
      <c r="N21" s="52"/>
      <c r="O21" s="53"/>
    </row>
    <row r="22">
      <c r="B22" s="5"/>
      <c r="C22" s="19"/>
      <c r="D22" s="51"/>
      <c r="E22" s="44" t="s">
        <v>28</v>
      </c>
      <c r="F22" s="24" t="str">
        <f t="shared" ref="F22:K22" si="10">F20/F23</f>
        <v>#DIV/0!</v>
      </c>
      <c r="G22" s="25">
        <f t="shared" si="10"/>
        <v>1.145308311</v>
      </c>
      <c r="H22" s="25">
        <f t="shared" si="10"/>
        <v>-1.283502403</v>
      </c>
      <c r="I22" s="25">
        <f t="shared" si="10"/>
        <v>2.986177565</v>
      </c>
      <c r="J22" s="40">
        <f t="shared" si="10"/>
        <v>4.763813651</v>
      </c>
      <c r="K22" s="41">
        <f t="shared" si="10"/>
        <v>5.133371169</v>
      </c>
      <c r="L22" s="52"/>
      <c r="M22" s="52"/>
      <c r="N22" s="52"/>
      <c r="O22" s="53"/>
    </row>
    <row r="23">
      <c r="A23" s="1"/>
      <c r="B23" s="3" t="s">
        <v>29</v>
      </c>
      <c r="C23" s="59" t="s">
        <v>30</v>
      </c>
      <c r="D23" s="5"/>
      <c r="E23" s="44" t="s">
        <v>31</v>
      </c>
      <c r="F23" s="60">
        <v>0.0</v>
      </c>
      <c r="G23" s="61">
        <v>18.65</v>
      </c>
      <c r="H23" s="61">
        <v>18.73</v>
      </c>
      <c r="I23" s="61">
        <v>18.81</v>
      </c>
      <c r="J23" s="61">
        <v>18.46</v>
      </c>
      <c r="K23" s="62">
        <v>17.62</v>
      </c>
      <c r="L23" s="52"/>
      <c r="M23" s="52"/>
      <c r="N23" s="52"/>
      <c r="O23" s="53"/>
    </row>
    <row r="24">
      <c r="A24" s="1"/>
      <c r="B24" s="20"/>
      <c r="C24" s="5"/>
      <c r="D24" s="5"/>
      <c r="E24" s="20"/>
      <c r="F24" s="63"/>
      <c r="G24" s="63"/>
      <c r="H24" s="31"/>
      <c r="I24" s="31"/>
      <c r="J24" s="31"/>
      <c r="K24" s="5"/>
      <c r="L24" s="52"/>
      <c r="M24" s="52"/>
      <c r="N24" s="52"/>
      <c r="O24" s="53"/>
    </row>
    <row r="25">
      <c r="A25" s="1"/>
      <c r="B25" s="20" t="s">
        <v>32</v>
      </c>
      <c r="C25" s="64">
        <f>C26/K23</f>
        <v>20.67820658</v>
      </c>
      <c r="D25" s="5"/>
      <c r="E25" s="20" t="s">
        <v>33</v>
      </c>
      <c r="F25" s="65">
        <v>0.0</v>
      </c>
      <c r="G25" s="66">
        <f>105.02+8.73</f>
        <v>113.75</v>
      </c>
      <c r="H25" s="67">
        <v>108.598</v>
      </c>
      <c r="I25" s="67">
        <v>93.143</v>
      </c>
      <c r="J25" s="67">
        <v>56.747</v>
      </c>
      <c r="K25" s="68">
        <v>56.378</v>
      </c>
      <c r="L25" s="52"/>
      <c r="M25" s="52"/>
      <c r="N25" s="52"/>
      <c r="O25" s="53"/>
    </row>
    <row r="26">
      <c r="A26" s="1"/>
      <c r="B26" s="10" t="s">
        <v>34</v>
      </c>
      <c r="C26" s="69">
        <v>364.35</v>
      </c>
      <c r="D26" s="5"/>
      <c r="E26" s="20" t="s">
        <v>35</v>
      </c>
      <c r="F26" s="70">
        <v>0.0</v>
      </c>
      <c r="G26" s="71">
        <v>72.32</v>
      </c>
      <c r="H26" s="72">
        <v>48.87</v>
      </c>
      <c r="I26" s="72">
        <v>107.79</v>
      </c>
      <c r="J26" s="72">
        <v>143.65</v>
      </c>
      <c r="K26" s="73">
        <v>191.97</v>
      </c>
      <c r="L26" s="52"/>
      <c r="M26" s="52"/>
      <c r="N26" s="52"/>
      <c r="O26" s="53"/>
    </row>
    <row r="27">
      <c r="A27" s="1"/>
      <c r="B27" s="10" t="s">
        <v>36</v>
      </c>
      <c r="C27" s="69">
        <f>C38</f>
        <v>776.8579074</v>
      </c>
      <c r="D27" s="5"/>
      <c r="E27" s="20" t="s">
        <v>37</v>
      </c>
      <c r="F27" s="70">
        <v>0.0</v>
      </c>
      <c r="G27" s="71">
        <v>0.0</v>
      </c>
      <c r="H27" s="72">
        <v>0.0</v>
      </c>
      <c r="I27" s="72">
        <v>0.0</v>
      </c>
      <c r="J27" s="72">
        <v>0.198</v>
      </c>
      <c r="K27" s="73">
        <v>2.702</v>
      </c>
      <c r="L27" s="52"/>
      <c r="M27" s="52"/>
      <c r="N27" s="52"/>
      <c r="O27" s="53"/>
    </row>
    <row r="28">
      <c r="A28" s="1"/>
      <c r="B28" s="10" t="s">
        <v>38</v>
      </c>
      <c r="C28" s="74">
        <f>K20/K29</f>
        <v>0.6475979094</v>
      </c>
      <c r="D28" s="5"/>
      <c r="E28" s="20" t="s">
        <v>39</v>
      </c>
      <c r="F28" s="70">
        <v>0.0</v>
      </c>
      <c r="G28" s="71">
        <v>5.83</v>
      </c>
      <c r="H28" s="72">
        <v>16.32</v>
      </c>
      <c r="I28" s="72">
        <v>39.25</v>
      </c>
      <c r="J28" s="72">
        <v>34.2</v>
      </c>
      <c r="K28" s="73">
        <v>111.38</v>
      </c>
      <c r="L28" s="52"/>
      <c r="M28" s="52"/>
      <c r="N28" s="52"/>
      <c r="O28" s="53"/>
    </row>
    <row r="29">
      <c r="A29" s="1"/>
      <c r="B29" s="20" t="s">
        <v>40</v>
      </c>
      <c r="C29" s="69">
        <f>C26+K25-K28</f>
        <v>309.348</v>
      </c>
      <c r="D29" s="5"/>
      <c r="E29" s="20" t="s">
        <v>41</v>
      </c>
      <c r="F29" s="75">
        <f t="shared" ref="F29:K29" si="11">F25+F26+F27-F28</f>
        <v>0</v>
      </c>
      <c r="G29" s="76">
        <f t="shared" si="11"/>
        <v>180.24</v>
      </c>
      <c r="H29" s="76">
        <f t="shared" si="11"/>
        <v>141.148</v>
      </c>
      <c r="I29" s="76">
        <f t="shared" si="11"/>
        <v>161.683</v>
      </c>
      <c r="J29" s="76">
        <f t="shared" si="11"/>
        <v>166.395</v>
      </c>
      <c r="K29" s="77">
        <f t="shared" si="11"/>
        <v>139.67</v>
      </c>
      <c r="L29" s="52"/>
      <c r="M29" s="52"/>
      <c r="N29" s="52"/>
      <c r="O29" s="53"/>
    </row>
    <row r="30">
      <c r="A30" s="1"/>
      <c r="B30" s="78" t="s">
        <v>42</v>
      </c>
      <c r="C30" s="79">
        <f>C26/K20</f>
        <v>4.028192371</v>
      </c>
      <c r="D30" s="5"/>
      <c r="E30" s="20"/>
      <c r="F30" s="63"/>
      <c r="G30" s="63"/>
      <c r="H30" s="31"/>
      <c r="I30" s="31"/>
      <c r="J30" s="31"/>
      <c r="K30" s="5"/>
      <c r="L30" s="52"/>
      <c r="M30" s="52"/>
      <c r="N30" s="52"/>
      <c r="O30" s="53"/>
    </row>
    <row r="31">
      <c r="B31" s="44" t="s">
        <v>43</v>
      </c>
      <c r="C31" s="79">
        <f>C26/K4</f>
        <v>0.5503360773</v>
      </c>
      <c r="D31" s="5"/>
      <c r="E31" s="10" t="s">
        <v>44</v>
      </c>
      <c r="F31" s="80">
        <v>0.0</v>
      </c>
      <c r="G31" s="81">
        <v>0.0</v>
      </c>
      <c r="H31" s="82">
        <v>0.0</v>
      </c>
      <c r="I31" s="82">
        <v>0.0</v>
      </c>
      <c r="J31" s="83">
        <v>-25.45</v>
      </c>
      <c r="K31" s="84">
        <v>-22.95</v>
      </c>
      <c r="L31" s="52"/>
      <c r="M31" s="52"/>
      <c r="N31" s="52"/>
      <c r="O31" s="53"/>
    </row>
    <row r="32">
      <c r="B32" s="85" t="s">
        <v>45</v>
      </c>
      <c r="C32" s="86">
        <f>C26/K26</f>
        <v>1.897952805</v>
      </c>
      <c r="D32" s="5"/>
      <c r="E32" s="87" t="s">
        <v>46</v>
      </c>
      <c r="F32" s="88">
        <v>0.0</v>
      </c>
      <c r="G32" s="89">
        <v>0.0</v>
      </c>
      <c r="H32" s="89">
        <v>0.0</v>
      </c>
      <c r="I32" s="89">
        <v>0.0</v>
      </c>
      <c r="J32" s="90">
        <v>0.0</v>
      </c>
      <c r="K32" s="91">
        <v>0.0</v>
      </c>
      <c r="L32" s="5"/>
      <c r="M32" s="5"/>
      <c r="N32" s="5"/>
    </row>
    <row r="33">
      <c r="B33" s="85" t="s">
        <v>47</v>
      </c>
      <c r="C33" s="79">
        <f>C29/K4</f>
        <v>0.46725776</v>
      </c>
      <c r="D33" s="5"/>
      <c r="E33" s="20" t="s">
        <v>48</v>
      </c>
      <c r="F33" s="88">
        <v>0.0</v>
      </c>
      <c r="G33" s="92">
        <v>0.0</v>
      </c>
      <c r="H33" s="92">
        <v>0.0</v>
      </c>
      <c r="I33" s="92">
        <v>0.0</v>
      </c>
      <c r="J33" s="92">
        <v>0.0</v>
      </c>
      <c r="K33" s="91">
        <v>0.0</v>
      </c>
      <c r="L33" s="52"/>
      <c r="M33" s="52"/>
      <c r="N33" s="52"/>
      <c r="O33" s="53"/>
    </row>
    <row r="34">
      <c r="B34" s="44" t="s">
        <v>49</v>
      </c>
      <c r="C34" s="93">
        <f>C29/K18</f>
        <v>2.630733906</v>
      </c>
      <c r="D34" s="9"/>
      <c r="E34" s="87" t="s">
        <v>50</v>
      </c>
      <c r="F34" s="88">
        <v>0.0</v>
      </c>
      <c r="G34" s="89">
        <v>79.27</v>
      </c>
      <c r="H34" s="89">
        <v>35.0</v>
      </c>
      <c r="I34" s="89">
        <v>116.23</v>
      </c>
      <c r="J34" s="90">
        <v>12.0</v>
      </c>
      <c r="K34" s="91">
        <v>0.0</v>
      </c>
      <c r="L34" s="52"/>
      <c r="M34" s="52"/>
      <c r="N34" s="52"/>
      <c r="O34" s="53"/>
    </row>
    <row r="35">
      <c r="A35" s="1"/>
      <c r="B35" s="9"/>
      <c r="C35" s="94"/>
      <c r="D35" s="95"/>
      <c r="E35" s="87" t="s">
        <v>51</v>
      </c>
      <c r="F35" s="96">
        <v>0.0</v>
      </c>
      <c r="G35" s="97">
        <v>-41.31</v>
      </c>
      <c r="H35" s="97">
        <v>-40.36</v>
      </c>
      <c r="I35" s="97">
        <v>-132.49</v>
      </c>
      <c r="J35" s="98">
        <v>-48.73</v>
      </c>
      <c r="K35" s="99">
        <v>-3.0</v>
      </c>
      <c r="L35" s="52"/>
      <c r="M35" s="52"/>
      <c r="N35" s="52"/>
      <c r="O35" s="53"/>
    </row>
    <row r="36">
      <c r="A36" s="1"/>
      <c r="B36" s="37" t="s">
        <v>52</v>
      </c>
      <c r="C36" s="100">
        <v>0.11</v>
      </c>
      <c r="D36" s="101"/>
      <c r="E36" s="87"/>
      <c r="F36" s="102"/>
      <c r="G36" s="102"/>
      <c r="H36" s="102"/>
      <c r="I36" s="63"/>
      <c r="J36" s="5"/>
      <c r="K36" s="5"/>
      <c r="L36" s="5"/>
      <c r="M36" s="5"/>
      <c r="N36" s="5"/>
    </row>
    <row r="37">
      <c r="B37" s="37" t="s">
        <v>53</v>
      </c>
      <c r="C37" s="103">
        <v>0.08</v>
      </c>
      <c r="D37" s="9"/>
      <c r="E37" s="10" t="s">
        <v>54</v>
      </c>
      <c r="F37" s="104">
        <v>0.0</v>
      </c>
      <c r="G37" s="105">
        <v>55.89</v>
      </c>
      <c r="H37" s="106">
        <v>30.2</v>
      </c>
      <c r="I37" s="106">
        <v>68.54</v>
      </c>
      <c r="J37" s="107">
        <v>73.31</v>
      </c>
      <c r="K37" s="108">
        <v>134.2</v>
      </c>
      <c r="L37" s="5"/>
      <c r="M37" s="5"/>
      <c r="N37" s="5"/>
    </row>
    <row r="38">
      <c r="B38" s="44" t="s">
        <v>55</v>
      </c>
      <c r="C38" s="109">
        <f t="array" ref="C38">NPV(C36, J50:J60)</f>
        <v>776.8579074</v>
      </c>
      <c r="D38" s="9"/>
      <c r="E38" s="87" t="s">
        <v>56</v>
      </c>
      <c r="F38" s="110">
        <v>0.0</v>
      </c>
      <c r="G38" s="111">
        <v>-95.79</v>
      </c>
      <c r="H38" s="111">
        <v>-14.22</v>
      </c>
      <c r="I38" s="111">
        <v>-27.83</v>
      </c>
      <c r="J38" s="112">
        <v>-15.82</v>
      </c>
      <c r="K38" s="113">
        <v>-121.43</v>
      </c>
      <c r="L38" s="5"/>
      <c r="M38" s="5"/>
      <c r="N38" s="5"/>
    </row>
    <row r="39">
      <c r="B39" s="44" t="s">
        <v>57</v>
      </c>
      <c r="C39" s="109">
        <f>C38+K28-K25</f>
        <v>831.8599074</v>
      </c>
      <c r="D39" s="9"/>
      <c r="E39" s="87" t="s">
        <v>58</v>
      </c>
      <c r="F39" s="110">
        <v>0.0</v>
      </c>
      <c r="G39" s="111">
        <v>37.82</v>
      </c>
      <c r="H39" s="111">
        <v>-5.49</v>
      </c>
      <c r="I39" s="111">
        <v>-17.77</v>
      </c>
      <c r="J39" s="112">
        <v>-62.54</v>
      </c>
      <c r="K39" s="113">
        <v>-27.15</v>
      </c>
      <c r="L39" s="5"/>
      <c r="M39" s="5"/>
      <c r="N39" s="5"/>
    </row>
    <row r="40">
      <c r="B40" s="44" t="s">
        <v>31</v>
      </c>
      <c r="C40" s="114">
        <f>K23</f>
        <v>17.62</v>
      </c>
      <c r="D40" s="9"/>
      <c r="E40" s="87" t="s">
        <v>59</v>
      </c>
      <c r="F40" s="110">
        <v>0.0</v>
      </c>
      <c r="G40" s="111">
        <v>-2.08</v>
      </c>
      <c r="H40" s="111">
        <v>10.49</v>
      </c>
      <c r="I40" s="111">
        <v>22.93</v>
      </c>
      <c r="J40" s="112">
        <v>-5.05</v>
      </c>
      <c r="K40" s="113">
        <v>-14.39</v>
      </c>
      <c r="L40" s="5"/>
      <c r="M40" s="5"/>
      <c r="N40" s="5"/>
    </row>
    <row r="41">
      <c r="A41" s="1"/>
      <c r="B41" s="37" t="s">
        <v>60</v>
      </c>
      <c r="C41" s="115">
        <f>C38/C40</f>
        <v>44.08955207</v>
      </c>
      <c r="D41" s="116"/>
      <c r="E41" s="87" t="s">
        <v>61</v>
      </c>
      <c r="F41" s="117">
        <v>0.0</v>
      </c>
      <c r="G41" s="118">
        <v>41.82</v>
      </c>
      <c r="H41" s="118">
        <v>15.96</v>
      </c>
      <c r="I41" s="118">
        <v>40.68</v>
      </c>
      <c r="J41" s="119">
        <v>61.02</v>
      </c>
      <c r="K41" s="120">
        <v>103.87</v>
      </c>
      <c r="L41" s="5"/>
      <c r="M41" s="5"/>
      <c r="N41" s="5"/>
    </row>
    <row r="42">
      <c r="A42" s="1"/>
      <c r="B42" s="20" t="s">
        <v>62</v>
      </c>
      <c r="C42" s="121">
        <f>(C41-C25)/C41</f>
        <v>0.5309953126</v>
      </c>
      <c r="D42" s="101"/>
      <c r="E42" s="122"/>
      <c r="F42" s="51"/>
      <c r="G42" s="51"/>
      <c r="H42" s="123"/>
      <c r="I42" s="5"/>
      <c r="J42" s="5"/>
      <c r="K42" s="5"/>
      <c r="L42" s="5"/>
      <c r="M42" s="5"/>
      <c r="N42" s="5"/>
    </row>
    <row r="43">
      <c r="B43" s="20"/>
      <c r="C43" s="124"/>
      <c r="D43" s="51"/>
      <c r="E43" s="125" t="s">
        <v>63</v>
      </c>
      <c r="F43" s="126" t="s">
        <v>8</v>
      </c>
      <c r="G43" s="127" t="s">
        <v>64</v>
      </c>
      <c r="H43" s="128" t="s">
        <v>26</v>
      </c>
      <c r="I43" s="126" t="s">
        <v>65</v>
      </c>
      <c r="J43" s="129" t="s">
        <v>66</v>
      </c>
      <c r="K43" s="130" t="s">
        <v>67</v>
      </c>
      <c r="L43" s="52"/>
      <c r="M43" s="5"/>
      <c r="N43" s="5"/>
    </row>
    <row r="44">
      <c r="A44" s="1"/>
      <c r="B44" s="10" t="s">
        <v>68</v>
      </c>
      <c r="C44" s="131">
        <f>C38+K28-K60</f>
        <v>887.9943157</v>
      </c>
      <c r="D44" s="51"/>
      <c r="E44" s="132"/>
      <c r="F44" s="133"/>
      <c r="G44" s="133"/>
      <c r="H44" s="134"/>
      <c r="I44" s="135"/>
      <c r="J44" s="52"/>
      <c r="K44" s="52"/>
      <c r="L44" s="52"/>
      <c r="M44" s="5"/>
      <c r="N44" s="5"/>
    </row>
    <row r="45">
      <c r="A45" s="1"/>
      <c r="B45" s="10" t="s">
        <v>69</v>
      </c>
      <c r="C45" s="136">
        <f>C44/K23</f>
        <v>50.39695322</v>
      </c>
      <c r="D45" s="51"/>
      <c r="E45" s="137">
        <v>2018.0</v>
      </c>
      <c r="F45" s="138">
        <f>F4</f>
        <v>0</v>
      </c>
      <c r="G45" s="139">
        <f>F5</f>
        <v>0</v>
      </c>
      <c r="H45" s="140">
        <f>F20</f>
        <v>0</v>
      </c>
      <c r="I45" s="141">
        <v>0.0</v>
      </c>
      <c r="J45" s="142">
        <f>F41</f>
        <v>0</v>
      </c>
      <c r="K45" s="143">
        <f>F25</f>
        <v>0</v>
      </c>
      <c r="L45" s="52"/>
      <c r="M45" s="5"/>
      <c r="N45" s="5"/>
    </row>
    <row r="46">
      <c r="A46" s="1"/>
      <c r="B46" s="1"/>
      <c r="C46" s="124"/>
      <c r="D46" s="51"/>
      <c r="E46" s="137">
        <v>2019.0</v>
      </c>
      <c r="F46" s="144">
        <f>G4</f>
        <v>466.38</v>
      </c>
      <c r="G46" s="145" t="str">
        <f>G5</f>
        <v>#DIV/0!</v>
      </c>
      <c r="H46" s="146">
        <f>G20</f>
        <v>21.36</v>
      </c>
      <c r="I46" s="147">
        <v>0.0</v>
      </c>
      <c r="J46" s="148">
        <f>G41</f>
        <v>41.82</v>
      </c>
      <c r="K46" s="149">
        <f>G25</f>
        <v>113.75</v>
      </c>
      <c r="L46" s="150">
        <v>1.0</v>
      </c>
      <c r="M46" s="1"/>
      <c r="N46" s="1"/>
    </row>
    <row r="47">
      <c r="A47" s="1"/>
      <c r="B47" s="37" t="s">
        <v>70</v>
      </c>
      <c r="C47" s="151">
        <f>C37</f>
        <v>0.08</v>
      </c>
      <c r="D47" s="78"/>
      <c r="E47" s="137">
        <v>2020.0</v>
      </c>
      <c r="F47" s="152">
        <f>H4</f>
        <v>363.07</v>
      </c>
      <c r="G47" s="153">
        <f>H5</f>
        <v>-0.2215146447</v>
      </c>
      <c r="H47" s="146">
        <f>H20</f>
        <v>-24.04</v>
      </c>
      <c r="I47" s="147">
        <v>0.0</v>
      </c>
      <c r="J47" s="148">
        <f>H41</f>
        <v>15.96</v>
      </c>
      <c r="K47" s="149">
        <f>H25</f>
        <v>108.598</v>
      </c>
      <c r="L47" s="150">
        <f>(K47/K46)</f>
        <v>0.9547076923</v>
      </c>
      <c r="M47" s="1"/>
      <c r="N47" s="1"/>
    </row>
    <row r="48">
      <c r="B48" s="20" t="s">
        <v>71</v>
      </c>
      <c r="C48" s="154">
        <f t="array" ref="C48">NPV(C36, I64:I74)</f>
        <v>1522.975604</v>
      </c>
      <c r="D48" s="155"/>
      <c r="E48" s="156">
        <v>2021.0</v>
      </c>
      <c r="F48" s="152">
        <f>I4</f>
        <v>525.81</v>
      </c>
      <c r="G48" s="153">
        <f>I5</f>
        <v>0.4482331231</v>
      </c>
      <c r="H48" s="146">
        <f>I20</f>
        <v>56.17</v>
      </c>
      <c r="I48" s="147">
        <v>0.0</v>
      </c>
      <c r="J48" s="148">
        <f>I41</f>
        <v>40.68</v>
      </c>
      <c r="K48" s="149">
        <f>I25</f>
        <v>93.143</v>
      </c>
      <c r="L48" s="150">
        <f t="shared" ref="L48:L49" si="12">K48/K47</f>
        <v>0.8576861452</v>
      </c>
      <c r="M48" s="1"/>
      <c r="N48" s="1"/>
    </row>
    <row r="49">
      <c r="B49" s="10" t="s">
        <v>72</v>
      </c>
      <c r="C49" s="157">
        <f>C48/K64</f>
        <v>91.87956194</v>
      </c>
      <c r="D49" s="155"/>
      <c r="E49" s="156">
        <v>2022.0</v>
      </c>
      <c r="F49" s="152">
        <f>J4</f>
        <v>641.61</v>
      </c>
      <c r="G49" s="153">
        <f>J5</f>
        <v>0.2202316426</v>
      </c>
      <c r="H49" s="146">
        <f>J20</f>
        <v>87.94</v>
      </c>
      <c r="I49" s="147">
        <v>0.0</v>
      </c>
      <c r="J49" s="148">
        <f>J41</f>
        <v>61.02</v>
      </c>
      <c r="K49" s="149">
        <f>J25</f>
        <v>56.747</v>
      </c>
      <c r="L49" s="150">
        <f t="shared" si="12"/>
        <v>0.6092459981</v>
      </c>
      <c r="M49" s="1"/>
      <c r="N49" s="1"/>
    </row>
    <row r="50">
      <c r="B50" s="10" t="s">
        <v>73</v>
      </c>
      <c r="C50" s="158">
        <f>(C49/C25)^(1/10)-1</f>
        <v>0.1608352959</v>
      </c>
      <c r="D50" s="155"/>
      <c r="E50" s="156">
        <v>2023.0</v>
      </c>
      <c r="F50" s="144">
        <f>K4</f>
        <v>662.05</v>
      </c>
      <c r="G50" s="145">
        <f>K5</f>
        <v>0.03185735883</v>
      </c>
      <c r="H50" s="146">
        <f>K20</f>
        <v>90.45</v>
      </c>
      <c r="I50" s="147">
        <v>0.0</v>
      </c>
      <c r="J50" s="148">
        <f>K41</f>
        <v>103.87</v>
      </c>
      <c r="K50" s="149">
        <f>K49*L49</f>
        <v>34.57288265</v>
      </c>
      <c r="L50" s="124">
        <f>L49</f>
        <v>0.6092459981</v>
      </c>
      <c r="M50" s="1"/>
      <c r="N50" s="1"/>
    </row>
    <row r="51">
      <c r="A51" s="1"/>
      <c r="B51" s="37"/>
      <c r="D51" s="155"/>
      <c r="E51" s="156">
        <v>2024.0</v>
      </c>
      <c r="F51" s="144">
        <f t="shared" ref="F51:F60" si="13">F50*(1+G51)</f>
        <v>683.1411644</v>
      </c>
      <c r="G51" s="145">
        <f>G50</f>
        <v>0.03185735883</v>
      </c>
      <c r="H51" s="146">
        <f t="shared" ref="H51:H60" si="14">H50*(1+G51)</f>
        <v>93.33149811</v>
      </c>
      <c r="I51" s="147">
        <v>0.0</v>
      </c>
      <c r="J51" s="159">
        <f t="shared" ref="J51:J60" si="15">J50*(1+G51)</f>
        <v>107.1790239</v>
      </c>
      <c r="K51" s="160">
        <f>L50*K50</f>
        <v>21.0633904</v>
      </c>
      <c r="L51" s="5"/>
      <c r="M51" s="5"/>
      <c r="N51" s="5"/>
    </row>
    <row r="52">
      <c r="A52" s="1"/>
      <c r="B52" s="10" t="s">
        <v>74</v>
      </c>
      <c r="C52" s="161">
        <f>I52</f>
        <v>0.004814264117</v>
      </c>
      <c r="D52" s="52"/>
      <c r="E52" s="156">
        <v>2025.0</v>
      </c>
      <c r="F52" s="144">
        <f t="shared" si="13"/>
        <v>708.1930596</v>
      </c>
      <c r="G52" s="145">
        <f>G51-(G51-G60) / 10</f>
        <v>0.03667162295</v>
      </c>
      <c r="H52" s="146">
        <f t="shared" si="14"/>
        <v>96.75411561</v>
      </c>
      <c r="I52" s="162">
        <f>G52-G51</f>
        <v>0.004814264117</v>
      </c>
      <c r="J52" s="148">
        <f t="shared" si="15"/>
        <v>111.1094526</v>
      </c>
      <c r="K52" s="149">
        <f>L50*K51</f>
        <v>12.83278631</v>
      </c>
      <c r="L52" s="52"/>
      <c r="M52" s="5"/>
      <c r="N52" s="5"/>
    </row>
    <row r="53">
      <c r="A53" s="1"/>
      <c r="B53" s="10" t="s">
        <v>75</v>
      </c>
      <c r="C53" s="163">
        <f>J60/H60</f>
        <v>1.148369265</v>
      </c>
      <c r="D53" s="52"/>
      <c r="E53" s="164">
        <v>2026.0</v>
      </c>
      <c r="F53" s="144">
        <f t="shared" si="13"/>
        <v>737.5730769</v>
      </c>
      <c r="G53" s="145">
        <f>G52-(G51-G60) / 10</f>
        <v>0.04148588707</v>
      </c>
      <c r="H53" s="146">
        <f t="shared" si="14"/>
        <v>100.7680459</v>
      </c>
      <c r="I53" s="162">
        <f t="shared" ref="I53:I60" si="16">I52 * (1+G52)</f>
        <v>0.004990810995</v>
      </c>
      <c r="J53" s="148">
        <f t="shared" si="15"/>
        <v>115.7189268</v>
      </c>
      <c r="K53" s="149">
        <f>L50*K52</f>
        <v>7.818323702</v>
      </c>
      <c r="L53" s="52"/>
      <c r="M53" s="5"/>
      <c r="N53" s="5"/>
    </row>
    <row r="54">
      <c r="A54" s="1"/>
      <c r="B54" s="10" t="s">
        <v>76</v>
      </c>
      <c r="C54" s="165">
        <f>C53*(1+C52)^10</f>
        <v>1.204868017</v>
      </c>
      <c r="D54" s="52"/>
      <c r="E54" s="164">
        <v>2027.0</v>
      </c>
      <c r="F54" s="144">
        <f t="shared" si="13"/>
        <v>771.7228219</v>
      </c>
      <c r="G54" s="145">
        <f>G53-(G51-G60) / 10</f>
        <v>0.04630015118</v>
      </c>
      <c r="H54" s="146">
        <f t="shared" si="14"/>
        <v>105.4336217</v>
      </c>
      <c r="I54" s="162">
        <f t="shared" si="16"/>
        <v>0.005197859217</v>
      </c>
      <c r="J54" s="148">
        <f t="shared" si="15"/>
        <v>121.0767306</v>
      </c>
      <c r="K54" s="149">
        <f>L50*K53</f>
        <v>4.763282427</v>
      </c>
      <c r="L54" s="52"/>
      <c r="M54" s="5"/>
      <c r="N54" s="5"/>
    </row>
    <row r="55">
      <c r="B55" s="10" t="s">
        <v>77</v>
      </c>
      <c r="C55" s="166">
        <f t="array" ref="C55">NPV(C36, J64:J74)</f>
        <v>1597.904657</v>
      </c>
      <c r="D55" s="19"/>
      <c r="E55" s="164">
        <v>2028.0</v>
      </c>
      <c r="F55" s="144">
        <f t="shared" si="13"/>
        <v>811.1689827</v>
      </c>
      <c r="G55" s="145">
        <f>G54-(G51-G60) / 10</f>
        <v>0.0511144153</v>
      </c>
      <c r="H55" s="146">
        <f t="shared" si="14"/>
        <v>110.8227996</v>
      </c>
      <c r="I55" s="162">
        <f t="shared" si="16"/>
        <v>0.005438520884</v>
      </c>
      <c r="J55" s="148">
        <f t="shared" si="15"/>
        <v>127.2654969</v>
      </c>
      <c r="K55" s="149">
        <f>L50*K54</f>
        <v>2.902010756</v>
      </c>
      <c r="L55" s="52"/>
      <c r="M55" s="5"/>
      <c r="N55" s="5"/>
    </row>
    <row r="56">
      <c r="B56" s="10" t="s">
        <v>72</v>
      </c>
      <c r="C56" s="167">
        <f>C55/K64</f>
        <v>96.39995513</v>
      </c>
      <c r="D56" s="52"/>
      <c r="E56" s="164">
        <v>2029.0</v>
      </c>
      <c r="F56" s="144">
        <f t="shared" si="13"/>
        <v>856.5365927</v>
      </c>
      <c r="G56" s="145">
        <f>G55-(G51-G60) / 10</f>
        <v>0.05592867942</v>
      </c>
      <c r="H56" s="146">
        <f t="shared" si="14"/>
        <v>117.0209724</v>
      </c>
      <c r="I56" s="162">
        <f t="shared" si="16"/>
        <v>0.005716507699</v>
      </c>
      <c r="J56" s="148">
        <f t="shared" si="15"/>
        <v>134.3832881</v>
      </c>
      <c r="K56" s="149">
        <f>L50*K55</f>
        <v>1.76803844</v>
      </c>
      <c r="L56" s="52"/>
      <c r="M56" s="5"/>
      <c r="N56" s="5"/>
    </row>
    <row r="57">
      <c r="A57" s="1"/>
      <c r="B57" s="10" t="s">
        <v>73</v>
      </c>
      <c r="C57" s="168">
        <f>(C56/C25)^(1/10)-1</f>
        <v>0.1664238636</v>
      </c>
      <c r="D57" s="52"/>
      <c r="E57" s="164">
        <v>2030.0</v>
      </c>
      <c r="F57" s="144">
        <f t="shared" si="13"/>
        <v>908.5651466</v>
      </c>
      <c r="G57" s="145">
        <f>G56-(G51-G60) / 10</f>
        <v>0.06074294353</v>
      </c>
      <c r="H57" s="146">
        <f t="shared" si="14"/>
        <v>124.1291708</v>
      </c>
      <c r="I57" s="162">
        <f t="shared" si="16"/>
        <v>0.006036224426</v>
      </c>
      <c r="J57" s="148">
        <f t="shared" si="15"/>
        <v>142.5461246</v>
      </c>
      <c r="K57" s="160">
        <f>L50*K56</f>
        <v>1.077170344</v>
      </c>
      <c r="L57" s="5"/>
      <c r="M57" s="5"/>
      <c r="N57" s="5"/>
    </row>
    <row r="58">
      <c r="A58" s="1"/>
      <c r="B58" s="37"/>
      <c r="C58" s="124"/>
      <c r="D58" s="52"/>
      <c r="E58" s="122">
        <v>2031.0</v>
      </c>
      <c r="F58" s="144">
        <f t="shared" si="13"/>
        <v>968.1281405</v>
      </c>
      <c r="G58" s="145">
        <f>G57-(G51-G60) / 10</f>
        <v>0.06555720765</v>
      </c>
      <c r="H58" s="146">
        <f t="shared" si="14"/>
        <v>132.2667326</v>
      </c>
      <c r="I58" s="162">
        <f t="shared" si="16"/>
        <v>0.006402882465</v>
      </c>
      <c r="J58" s="148">
        <f t="shared" si="15"/>
        <v>151.8910505</v>
      </c>
      <c r="K58" s="160">
        <f>L50*K57</f>
        <v>0.6562617213</v>
      </c>
      <c r="L58" s="5"/>
      <c r="M58" s="5"/>
      <c r="N58" s="5"/>
    </row>
    <row r="59">
      <c r="A59" s="1"/>
      <c r="B59" s="20"/>
      <c r="C59" s="169"/>
      <c r="D59" s="19"/>
      <c r="E59" s="122">
        <v>2032.0</v>
      </c>
      <c r="F59" s="144">
        <f t="shared" si="13"/>
        <v>1036.256743</v>
      </c>
      <c r="G59" s="145">
        <f>G58-(G51-G60) / 10</f>
        <v>0.07037147177</v>
      </c>
      <c r="H59" s="146">
        <f t="shared" si="14"/>
        <v>141.5745372</v>
      </c>
      <c r="I59" s="162">
        <f t="shared" si="16"/>
        <v>0.006822637561</v>
      </c>
      <c r="J59" s="148">
        <f t="shared" si="15"/>
        <v>162.5798472</v>
      </c>
      <c r="K59" s="160">
        <f>L50*K58</f>
        <v>0.3998248274</v>
      </c>
      <c r="L59" s="5"/>
      <c r="M59" s="5"/>
      <c r="N59" s="5"/>
    </row>
    <row r="60">
      <c r="A60" s="1"/>
      <c r="B60" s="10"/>
      <c r="C60" s="169"/>
      <c r="D60" s="19"/>
      <c r="E60" s="122">
        <v>2033.0</v>
      </c>
      <c r="F60" s="170">
        <f t="shared" si="13"/>
        <v>1119.157282</v>
      </c>
      <c r="G60" s="171">
        <f>C37</f>
        <v>0.08</v>
      </c>
      <c r="H60" s="172">
        <f t="shared" si="14"/>
        <v>152.9005002</v>
      </c>
      <c r="I60" s="173">
        <f t="shared" si="16"/>
        <v>0.007302756607</v>
      </c>
      <c r="J60" s="174">
        <f t="shared" si="15"/>
        <v>175.586235</v>
      </c>
      <c r="K60" s="175">
        <f>L50*K59</f>
        <v>0.243591676</v>
      </c>
      <c r="L60" s="5"/>
      <c r="M60" s="5"/>
      <c r="N60" s="5"/>
    </row>
    <row r="61">
      <c r="A61" s="1"/>
      <c r="B61" s="10"/>
      <c r="C61" s="124"/>
      <c r="D61" s="155"/>
      <c r="E61" s="5"/>
      <c r="F61" s="176"/>
      <c r="G61" s="176"/>
      <c r="H61" s="5"/>
      <c r="I61" s="5"/>
      <c r="J61" s="5"/>
      <c r="K61" s="5"/>
      <c r="L61" s="5"/>
      <c r="M61" s="5"/>
      <c r="N61" s="5"/>
    </row>
    <row r="62">
      <c r="A62" s="1"/>
      <c r="B62" s="1"/>
      <c r="C62" s="177"/>
      <c r="D62" s="155"/>
      <c r="E62" s="125" t="s">
        <v>63</v>
      </c>
      <c r="F62" s="126" t="s">
        <v>78</v>
      </c>
      <c r="G62" s="126" t="s">
        <v>64</v>
      </c>
      <c r="H62" s="178" t="s">
        <v>26</v>
      </c>
      <c r="I62" s="129" t="s">
        <v>66</v>
      </c>
      <c r="J62" s="129" t="s">
        <v>79</v>
      </c>
      <c r="K62" s="130" t="s">
        <v>31</v>
      </c>
      <c r="L62" s="5"/>
      <c r="M62" s="5"/>
      <c r="N62" s="5"/>
    </row>
    <row r="63">
      <c r="A63" s="1"/>
      <c r="B63" s="1"/>
      <c r="C63" s="179"/>
      <c r="D63" s="155"/>
      <c r="E63" s="132"/>
      <c r="F63" s="133"/>
      <c r="G63" s="133"/>
      <c r="H63" s="134"/>
      <c r="I63" s="135"/>
      <c r="J63" s="52"/>
      <c r="L63" s="5"/>
      <c r="M63" s="5"/>
      <c r="N63" s="5"/>
    </row>
    <row r="64">
      <c r="A64" s="124"/>
      <c r="B64" s="1"/>
      <c r="C64" s="124"/>
      <c r="D64" s="31"/>
      <c r="E64" s="122">
        <v>2033.0</v>
      </c>
      <c r="F64" s="138">
        <f>F60*C54</f>
        <v>1348.436815</v>
      </c>
      <c r="G64" s="139">
        <f t="shared" ref="G64:H64" si="17">G60</f>
        <v>0.08</v>
      </c>
      <c r="H64" s="180">
        <f t="shared" si="17"/>
        <v>152.9005002</v>
      </c>
      <c r="I64" s="181">
        <f>J60</f>
        <v>175.586235</v>
      </c>
      <c r="J64" s="142">
        <f>H64*C54</f>
        <v>184.2249225</v>
      </c>
      <c r="K64" s="182">
        <f>L64*K23</f>
        <v>16.57578217</v>
      </c>
      <c r="L64" s="5">
        <f>((K23-H23)/H23 + 1)</f>
        <v>0.9407367859</v>
      </c>
      <c r="M64" s="5"/>
      <c r="N64" s="5"/>
    </row>
    <row r="65">
      <c r="A65" s="124"/>
      <c r="B65" s="1"/>
      <c r="C65" s="124"/>
      <c r="D65" s="31"/>
      <c r="E65" s="122">
        <v>2034.0</v>
      </c>
      <c r="F65" s="144">
        <f t="shared" ref="F65:F74" si="18">F64*(1+G65)</f>
        <v>1456.31176</v>
      </c>
      <c r="G65" s="145">
        <f>G64-(G64-G74) / 10</f>
        <v>0.08</v>
      </c>
      <c r="H65" s="146">
        <f t="shared" ref="H65:H74" si="19">H64*(1+G65)</f>
        <v>165.1325402</v>
      </c>
      <c r="I65" s="183">
        <f t="shared" ref="I65:I74" si="20">I64*(1+G65)</f>
        <v>189.6331338</v>
      </c>
      <c r="J65" s="159">
        <f>H65*C54</f>
        <v>198.9629163</v>
      </c>
      <c r="K65" s="184">
        <f t="shared" ref="K65:K68" si="21">L65*K64</f>
        <v>14.81377564</v>
      </c>
      <c r="L65" s="5">
        <f t="shared" ref="L65:L68" si="22">L64*0.95</f>
        <v>0.8936999466</v>
      </c>
      <c r="M65" s="5"/>
      <c r="N65" s="5"/>
    </row>
    <row r="66">
      <c r="A66" s="124"/>
      <c r="B66" s="1"/>
      <c r="C66" s="169"/>
      <c r="D66" s="31"/>
      <c r="E66" s="122">
        <v>2035.0</v>
      </c>
      <c r="F66" s="144">
        <f t="shared" si="18"/>
        <v>1572.816701</v>
      </c>
      <c r="G66" s="145">
        <f>G65-(G64-G74) / 10</f>
        <v>0.08</v>
      </c>
      <c r="H66" s="146">
        <f t="shared" si="19"/>
        <v>178.3431434</v>
      </c>
      <c r="I66" s="183">
        <f t="shared" si="20"/>
        <v>204.8037845</v>
      </c>
      <c r="J66" s="148">
        <f>H66*C54</f>
        <v>214.8799496</v>
      </c>
      <c r="K66" s="185">
        <f t="shared" si="21"/>
        <v>12.57711697</v>
      </c>
      <c r="L66" s="5">
        <f t="shared" si="22"/>
        <v>0.8490149493</v>
      </c>
      <c r="M66" s="5"/>
      <c r="N66" s="5"/>
    </row>
    <row r="67">
      <c r="A67" s="124"/>
      <c r="B67" s="1"/>
      <c r="C67" s="169"/>
      <c r="D67" s="31"/>
      <c r="E67" s="122">
        <v>2036.0</v>
      </c>
      <c r="F67" s="144">
        <f t="shared" si="18"/>
        <v>1698.642037</v>
      </c>
      <c r="G67" s="145">
        <f>G66-(G64-G74) / 10</f>
        <v>0.08</v>
      </c>
      <c r="H67" s="146">
        <f t="shared" si="19"/>
        <v>192.6105949</v>
      </c>
      <c r="I67" s="183">
        <f t="shared" si="20"/>
        <v>221.1880873</v>
      </c>
      <c r="J67" s="159">
        <f>H67*C54</f>
        <v>232.0703455</v>
      </c>
      <c r="K67" s="184">
        <f t="shared" si="21"/>
        <v>10.14425231</v>
      </c>
      <c r="L67" s="5">
        <f t="shared" si="22"/>
        <v>0.8065642018</v>
      </c>
      <c r="M67" s="5"/>
      <c r="N67" s="5"/>
    </row>
    <row r="68">
      <c r="A68" s="1"/>
      <c r="B68" s="1"/>
      <c r="C68" s="124"/>
      <c r="D68" s="19"/>
      <c r="E68" s="122">
        <v>2037.0</v>
      </c>
      <c r="F68" s="144">
        <f t="shared" si="18"/>
        <v>1834.5334</v>
      </c>
      <c r="G68" s="145">
        <f>G67-(G64-G74) / 10</f>
        <v>0.08</v>
      </c>
      <c r="H68" s="146">
        <f t="shared" si="19"/>
        <v>208.0194425</v>
      </c>
      <c r="I68" s="183">
        <f t="shared" si="20"/>
        <v>238.8831343</v>
      </c>
      <c r="J68" s="148">
        <f>H68*C54</f>
        <v>250.6359732</v>
      </c>
      <c r="K68" s="185">
        <f t="shared" si="21"/>
        <v>7.77289123</v>
      </c>
      <c r="L68" s="5">
        <f t="shared" si="22"/>
        <v>0.7662359917</v>
      </c>
      <c r="M68" s="5"/>
      <c r="N68" s="5"/>
    </row>
    <row r="69">
      <c r="A69" s="1"/>
      <c r="B69" s="10"/>
      <c r="C69" s="19"/>
      <c r="D69" s="19"/>
      <c r="E69" s="122">
        <v>2038.0</v>
      </c>
      <c r="F69" s="144">
        <f t="shared" si="18"/>
        <v>1981.296072</v>
      </c>
      <c r="G69" s="145">
        <f>G68-(G64-G74) / 10</f>
        <v>0.08</v>
      </c>
      <c r="H69" s="146">
        <f t="shared" si="19"/>
        <v>224.6609979</v>
      </c>
      <c r="I69" s="183">
        <f t="shared" si="20"/>
        <v>257.993785</v>
      </c>
      <c r="J69" s="159">
        <f>H69*C54</f>
        <v>270.686851</v>
      </c>
      <c r="K69" s="184">
        <f>L68*K68</f>
        <v>5.95586902</v>
      </c>
      <c r="L69" s="5"/>
      <c r="M69" s="5"/>
      <c r="N69" s="5"/>
    </row>
    <row r="70">
      <c r="A70" s="1"/>
      <c r="B70" s="10"/>
      <c r="C70" s="186"/>
      <c r="D70" s="19"/>
      <c r="E70" s="122">
        <v>2039.0</v>
      </c>
      <c r="F70" s="144">
        <f t="shared" si="18"/>
        <v>2139.799758</v>
      </c>
      <c r="G70" s="145">
        <f>G69-(G64-G74) / 10</f>
        <v>0.08</v>
      </c>
      <c r="H70" s="146">
        <f t="shared" si="19"/>
        <v>242.6338777</v>
      </c>
      <c r="I70" s="183">
        <f t="shared" si="20"/>
        <v>278.6332878</v>
      </c>
      <c r="J70" s="159">
        <f>H70*C54</f>
        <v>292.3417991</v>
      </c>
      <c r="K70" s="184">
        <f>L68*K69</f>
        <v>4.563601206</v>
      </c>
      <c r="L70" s="5"/>
      <c r="M70" s="5"/>
      <c r="N70" s="5"/>
    </row>
    <row r="71">
      <c r="A71" s="1"/>
      <c r="B71" s="19"/>
      <c r="C71" s="19"/>
      <c r="D71" s="19"/>
      <c r="E71" s="122">
        <v>2040.0</v>
      </c>
      <c r="F71" s="144">
        <f t="shared" si="18"/>
        <v>2310.983739</v>
      </c>
      <c r="G71" s="145">
        <f>G70-(G64-G74) / 10</f>
        <v>0.08</v>
      </c>
      <c r="H71" s="146">
        <f t="shared" si="19"/>
        <v>262.044588</v>
      </c>
      <c r="I71" s="183">
        <f t="shared" si="20"/>
        <v>300.9239508</v>
      </c>
      <c r="J71" s="159">
        <f>H71*C54</f>
        <v>315.7291431</v>
      </c>
      <c r="K71" s="184">
        <f>L68*K70</f>
        <v>3.496795496</v>
      </c>
      <c r="L71" s="5"/>
      <c r="M71" s="5"/>
      <c r="N71" s="5"/>
    </row>
    <row r="72">
      <c r="A72" s="1"/>
      <c r="B72" s="19"/>
      <c r="C72" s="19"/>
      <c r="D72" s="19"/>
      <c r="E72" s="122">
        <v>2041.0</v>
      </c>
      <c r="F72" s="144">
        <f t="shared" si="18"/>
        <v>2495.862438</v>
      </c>
      <c r="G72" s="145">
        <f>G71-(G64-G74) / 10</f>
        <v>0.08</v>
      </c>
      <c r="H72" s="146">
        <f t="shared" si="19"/>
        <v>283.008155</v>
      </c>
      <c r="I72" s="183">
        <f t="shared" si="20"/>
        <v>324.9978669</v>
      </c>
      <c r="J72" s="159">
        <f>H72*C54</f>
        <v>340.9874745</v>
      </c>
      <c r="K72" s="184">
        <f>L68*K71</f>
        <v>2.679370564</v>
      </c>
      <c r="L72" s="5"/>
      <c r="M72" s="5"/>
      <c r="N72" s="5"/>
    </row>
    <row r="73">
      <c r="A73" s="1"/>
      <c r="B73" s="19"/>
      <c r="C73" s="19"/>
      <c r="D73" s="19"/>
      <c r="E73" s="122">
        <v>2042.0</v>
      </c>
      <c r="F73" s="144">
        <f t="shared" si="18"/>
        <v>2695.531433</v>
      </c>
      <c r="G73" s="145">
        <f>G72-(G64-G74) / 10</f>
        <v>0.08</v>
      </c>
      <c r="H73" s="146">
        <f t="shared" si="19"/>
        <v>305.6488074</v>
      </c>
      <c r="I73" s="183">
        <f t="shared" si="20"/>
        <v>350.9976962</v>
      </c>
      <c r="J73" s="159">
        <f>H73*C54</f>
        <v>368.2664725</v>
      </c>
      <c r="K73" s="184">
        <f>L68*K72</f>
        <v>2.053030162</v>
      </c>
      <c r="L73" s="5"/>
      <c r="M73" s="5"/>
      <c r="N73" s="5"/>
    </row>
    <row r="74">
      <c r="A74" s="124"/>
      <c r="B74" s="31"/>
      <c r="C74" s="31"/>
      <c r="D74" s="19"/>
      <c r="E74" s="122">
        <v>2043.0</v>
      </c>
      <c r="F74" s="170">
        <f t="shared" si="18"/>
        <v>2911.173947</v>
      </c>
      <c r="G74" s="171">
        <f>C47</f>
        <v>0.08</v>
      </c>
      <c r="H74" s="172">
        <f t="shared" si="19"/>
        <v>330.100712</v>
      </c>
      <c r="I74" s="187">
        <f t="shared" si="20"/>
        <v>379.0775119</v>
      </c>
      <c r="J74" s="188">
        <f>H74*C54</f>
        <v>397.7277903</v>
      </c>
      <c r="K74" s="189">
        <f>L68*K73</f>
        <v>1.573105602</v>
      </c>
      <c r="L74" s="5"/>
      <c r="M74" s="5"/>
      <c r="N74" s="5"/>
    </row>
    <row r="75">
      <c r="A75" s="124"/>
      <c r="B75" s="31"/>
      <c r="C75" s="31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0" t="s">
        <v>80</v>
      </c>
      <c r="F2" s="191" t="s">
        <v>3</v>
      </c>
      <c r="G2" s="191" t="s">
        <v>4</v>
      </c>
      <c r="H2" s="191" t="s">
        <v>5</v>
      </c>
      <c r="I2" s="191" t="s">
        <v>6</v>
      </c>
      <c r="J2" s="192" t="s">
        <v>81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93"/>
      <c r="G4" s="194"/>
      <c r="H4" s="194"/>
      <c r="I4" s="194"/>
      <c r="J4" s="195"/>
      <c r="K4" s="13"/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 t="str">
        <f t="shared" ref="G5:J5" si="1">(G4-F4)/F4</f>
        <v>#DIV/0!</v>
      </c>
      <c r="H5" s="22" t="str">
        <f t="shared" si="1"/>
        <v>#DIV/0!</v>
      </c>
      <c r="I5" s="22" t="str">
        <f t="shared" si="1"/>
        <v>#DIV/0!</v>
      </c>
      <c r="J5" s="23" t="str">
        <f t="shared" si="1"/>
        <v>#DIV/0!</v>
      </c>
      <c r="K5" s="13"/>
      <c r="L5" s="13"/>
      <c r="M5" s="5"/>
      <c r="N5" s="5"/>
    </row>
    <row r="6">
      <c r="B6" s="5"/>
      <c r="C6" s="19"/>
      <c r="D6" s="5"/>
      <c r="E6" s="10" t="s">
        <v>10</v>
      </c>
      <c r="F6" s="48"/>
      <c r="G6" s="49"/>
      <c r="H6" s="49"/>
      <c r="I6" s="49"/>
      <c r="J6" s="50"/>
      <c r="K6" s="13"/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J7" si="2">(F4-F6)/F4</f>
        <v>#DIV/0!</v>
      </c>
      <c r="G7" s="29" t="str">
        <f t="shared" si="2"/>
        <v>#DIV/0!</v>
      </c>
      <c r="H7" s="29" t="str">
        <f t="shared" si="2"/>
        <v>#DIV/0!</v>
      </c>
      <c r="I7" s="29" t="str">
        <f t="shared" si="2"/>
        <v>#DIV/0!</v>
      </c>
      <c r="J7" s="30" t="str">
        <f t="shared" si="2"/>
        <v>#DIV/0!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196">
        <f t="shared" ref="F8:J8" si="3">F4-F6</f>
        <v>0</v>
      </c>
      <c r="G8" s="197">
        <f t="shared" si="3"/>
        <v>0</v>
      </c>
      <c r="H8" s="197">
        <f t="shared" si="3"/>
        <v>0</v>
      </c>
      <c r="I8" s="197">
        <f t="shared" si="3"/>
        <v>0</v>
      </c>
      <c r="J8" s="198">
        <f t="shared" si="3"/>
        <v>0</v>
      </c>
      <c r="K8" s="5"/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H9" si="4">(G8-F8)/F8</f>
        <v>#DIV/0!</v>
      </c>
      <c r="H9" s="29" t="str">
        <f t="shared" si="4"/>
        <v>#DIV/0!</v>
      </c>
      <c r="I9" s="29" t="str">
        <f>(I8-G8)/G8</f>
        <v>#DIV/0!</v>
      </c>
      <c r="J9" s="30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7" t="s">
        <v>14</v>
      </c>
      <c r="F10" s="199"/>
      <c r="G10" s="49"/>
      <c r="H10" s="200"/>
      <c r="I10" s="200"/>
      <c r="J10" s="201"/>
      <c r="K10" s="52"/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48"/>
      <c r="G11" s="49"/>
      <c r="H11" s="49"/>
      <c r="I11" s="49"/>
      <c r="J11" s="201"/>
      <c r="K11" s="52"/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48"/>
      <c r="G12" s="49"/>
      <c r="H12" s="49"/>
      <c r="I12" s="49"/>
      <c r="J12" s="201"/>
      <c r="K12" s="52"/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199">
        <f t="shared" ref="F13:J13" si="5">F6+F10+F11+F12</f>
        <v>0</v>
      </c>
      <c r="G13" s="200">
        <f t="shared" si="5"/>
        <v>0</v>
      </c>
      <c r="H13" s="200">
        <f t="shared" si="5"/>
        <v>0</v>
      </c>
      <c r="I13" s="200">
        <f t="shared" si="5"/>
        <v>0</v>
      </c>
      <c r="J13" s="202">
        <f t="shared" si="5"/>
        <v>0</v>
      </c>
      <c r="K13" s="52"/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196">
        <f t="shared" ref="F14:J14" si="6">F4-F13</f>
        <v>0</v>
      </c>
      <c r="G14" s="197">
        <f t="shared" si="6"/>
        <v>0</v>
      </c>
      <c r="H14" s="197">
        <f t="shared" si="6"/>
        <v>0</v>
      </c>
      <c r="I14" s="197">
        <f t="shared" si="6"/>
        <v>0</v>
      </c>
      <c r="J14" s="201">
        <f t="shared" si="6"/>
        <v>0</v>
      </c>
      <c r="K14" s="52"/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 t="str">
        <f t="shared" ref="F15:J15" si="7">F14/F4</f>
        <v>#DIV/0!</v>
      </c>
      <c r="G15" s="29" t="str">
        <f t="shared" si="7"/>
        <v>#DIV/0!</v>
      </c>
      <c r="H15" s="29" t="str">
        <f t="shared" si="7"/>
        <v>#DIV/0!</v>
      </c>
      <c r="I15" s="29" t="str">
        <f t="shared" si="7"/>
        <v>#DIV/0!</v>
      </c>
      <c r="J15" s="30" t="str">
        <f t="shared" si="7"/>
        <v>#DIV/0!</v>
      </c>
      <c r="K15" s="52"/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48"/>
      <c r="G16" s="49"/>
      <c r="H16" s="49"/>
      <c r="I16" s="49"/>
      <c r="J16" s="50"/>
      <c r="K16" s="5"/>
      <c r="L16" s="5"/>
      <c r="M16" s="5"/>
      <c r="N16" s="5"/>
    </row>
    <row r="17">
      <c r="A17" s="1"/>
      <c r="B17" s="19"/>
      <c r="C17" s="42"/>
      <c r="D17" s="47"/>
      <c r="E17" s="37" t="s">
        <v>22</v>
      </c>
      <c r="F17" s="48"/>
      <c r="G17" s="49"/>
      <c r="H17" s="49"/>
      <c r="I17" s="49"/>
      <c r="J17" s="50"/>
      <c r="K17" s="5"/>
      <c r="L17" s="5"/>
      <c r="M17" s="5"/>
      <c r="N17" s="5"/>
    </row>
    <row r="18">
      <c r="A18" s="1"/>
      <c r="B18" s="19"/>
      <c r="C18" s="19"/>
      <c r="D18" s="51"/>
      <c r="E18" s="44" t="s">
        <v>23</v>
      </c>
      <c r="F18" s="48"/>
      <c r="G18" s="49"/>
      <c r="H18" s="49"/>
      <c r="I18" s="49"/>
      <c r="J18" s="201"/>
      <c r="K18" s="52"/>
      <c r="L18" s="52"/>
      <c r="M18" s="52"/>
      <c r="N18" s="52"/>
      <c r="O18" s="53"/>
    </row>
    <row r="19">
      <c r="A19" s="1"/>
      <c r="B19" s="19"/>
      <c r="C19" s="31"/>
      <c r="D19" s="54"/>
      <c r="E19" s="44" t="s">
        <v>24</v>
      </c>
      <c r="F19" s="48"/>
      <c r="G19" s="49"/>
      <c r="H19" s="49"/>
      <c r="I19" s="49"/>
      <c r="J19" s="50"/>
      <c r="K19" s="52"/>
      <c r="L19" s="52"/>
      <c r="M19" s="52"/>
      <c r="N19" s="52"/>
      <c r="O19" s="53"/>
    </row>
    <row r="20">
      <c r="A20" s="1"/>
      <c r="B20" s="19"/>
      <c r="C20" s="19"/>
      <c r="D20" s="54"/>
      <c r="E20" s="44" t="s">
        <v>26</v>
      </c>
      <c r="F20" s="196">
        <f t="shared" ref="F20:J20" si="8">F18-F19</f>
        <v>0</v>
      </c>
      <c r="G20" s="197">
        <f t="shared" si="8"/>
        <v>0</v>
      </c>
      <c r="H20" s="197">
        <f t="shared" si="8"/>
        <v>0</v>
      </c>
      <c r="I20" s="197">
        <f t="shared" si="8"/>
        <v>0</v>
      </c>
      <c r="J20" s="201">
        <f t="shared" si="8"/>
        <v>0</v>
      </c>
      <c r="K20" s="52"/>
      <c r="L20" s="52"/>
      <c r="M20" s="52"/>
      <c r="N20" s="52"/>
      <c r="O20" s="53"/>
    </row>
    <row r="21">
      <c r="B21" s="5"/>
      <c r="C21" s="5"/>
      <c r="D21" s="5"/>
      <c r="E21" s="37" t="s">
        <v>27</v>
      </c>
      <c r="F21" s="56">
        <v>0.0</v>
      </c>
      <c r="G21" s="203">
        <v>0.0</v>
      </c>
      <c r="H21" s="57" t="str">
        <f>(H20-G20)/G20</f>
        <v>#DIV/0!</v>
      </c>
      <c r="I21" s="57" t="str">
        <f>(I20-G20)/ABS(G20)</f>
        <v>#DIV/0!</v>
      </c>
      <c r="J21" s="58" t="str">
        <f>(J20-I20)/ABS(I20)</f>
        <v>#DIV/0!</v>
      </c>
      <c r="K21" s="52"/>
      <c r="L21" s="52"/>
      <c r="M21" s="52"/>
      <c r="N21" s="52"/>
      <c r="O21" s="53"/>
    </row>
    <row r="22">
      <c r="B22" s="5"/>
      <c r="C22" s="19"/>
      <c r="D22" s="51"/>
      <c r="E22" s="44" t="s">
        <v>28</v>
      </c>
      <c r="F22" s="24" t="str">
        <f t="shared" ref="F22:J22" si="9">F20/F23</f>
        <v>#DIV/0!</v>
      </c>
      <c r="G22" s="25" t="str">
        <f t="shared" si="9"/>
        <v>#DIV/0!</v>
      </c>
      <c r="H22" s="25" t="str">
        <f t="shared" si="9"/>
        <v>#DIV/0!</v>
      </c>
      <c r="I22" s="25" t="str">
        <f t="shared" si="9"/>
        <v>#DIV/0!</v>
      </c>
      <c r="J22" s="41" t="str">
        <f t="shared" si="9"/>
        <v>#DIV/0!</v>
      </c>
      <c r="K22" s="5"/>
      <c r="L22" s="52"/>
      <c r="M22" s="52"/>
      <c r="N22" s="52"/>
      <c r="O22" s="53"/>
    </row>
    <row r="23">
      <c r="A23" s="1"/>
      <c r="B23" s="3"/>
      <c r="C23" s="59" t="s">
        <v>30</v>
      </c>
      <c r="D23" s="5"/>
      <c r="E23" s="44" t="s">
        <v>31</v>
      </c>
      <c r="F23" s="204"/>
      <c r="G23" s="205"/>
      <c r="H23" s="205"/>
      <c r="I23" s="205"/>
      <c r="J23" s="206"/>
      <c r="K23" s="5"/>
      <c r="L23" s="52"/>
      <c r="M23" s="52"/>
      <c r="N23" s="52"/>
      <c r="O23" s="53"/>
    </row>
    <row r="24">
      <c r="A24" s="1"/>
      <c r="B24" s="19"/>
      <c r="C24" s="5"/>
      <c r="D24" s="5"/>
      <c r="E24" s="20"/>
      <c r="F24" s="63"/>
      <c r="G24" s="63"/>
      <c r="H24" s="31"/>
      <c r="I24" s="31"/>
      <c r="J24" s="31"/>
      <c r="K24" s="5"/>
      <c r="L24" s="52"/>
      <c r="M24" s="52"/>
      <c r="N24" s="52"/>
      <c r="O24" s="53"/>
    </row>
    <row r="25">
      <c r="B25" s="78" t="s">
        <v>82</v>
      </c>
      <c r="C25" s="207"/>
      <c r="D25" s="5"/>
      <c r="E25" s="10" t="s">
        <v>44</v>
      </c>
      <c r="F25" s="208">
        <v>0.0</v>
      </c>
      <c r="G25" s="209">
        <v>0.0</v>
      </c>
      <c r="H25" s="210">
        <v>0.0</v>
      </c>
      <c r="I25" s="210">
        <v>0.0</v>
      </c>
      <c r="J25" s="211">
        <v>0.0</v>
      </c>
      <c r="K25" s="5"/>
      <c r="L25" s="52"/>
      <c r="M25" s="52"/>
      <c r="N25" s="52"/>
      <c r="O25" s="53"/>
    </row>
    <row r="26">
      <c r="B26" s="212" t="s">
        <v>83</v>
      </c>
      <c r="C26" s="213"/>
      <c r="D26" s="5"/>
      <c r="E26" s="87" t="s">
        <v>46</v>
      </c>
      <c r="F26" s="214"/>
      <c r="G26" s="215"/>
      <c r="H26" s="215"/>
      <c r="I26" s="215"/>
      <c r="J26" s="216"/>
      <c r="K26" s="5"/>
      <c r="L26" s="5"/>
      <c r="M26" s="5"/>
      <c r="N26" s="5"/>
    </row>
    <row r="27">
      <c r="B27" s="78" t="s">
        <v>84</v>
      </c>
      <c r="C27" s="217"/>
      <c r="D27" s="5"/>
      <c r="E27" s="20" t="s">
        <v>48</v>
      </c>
      <c r="F27" s="214"/>
      <c r="G27" s="218"/>
      <c r="H27" s="218"/>
      <c r="I27" s="218"/>
      <c r="J27" s="219"/>
      <c r="K27" s="5"/>
      <c r="L27" s="52"/>
      <c r="M27" s="52"/>
      <c r="N27" s="52"/>
      <c r="O27" s="53"/>
    </row>
    <row r="28">
      <c r="B28" s="78" t="s">
        <v>67</v>
      </c>
      <c r="C28" s="220"/>
      <c r="D28" s="9"/>
      <c r="E28" s="87" t="s">
        <v>50</v>
      </c>
      <c r="F28" s="214"/>
      <c r="G28" s="215"/>
      <c r="H28" s="215"/>
      <c r="I28" s="215"/>
      <c r="J28" s="216"/>
      <c r="K28" s="5"/>
      <c r="L28" s="52"/>
      <c r="M28" s="52"/>
      <c r="N28" s="52"/>
      <c r="O28" s="53"/>
    </row>
    <row r="29">
      <c r="A29" s="1"/>
      <c r="B29" s="9" t="s">
        <v>85</v>
      </c>
      <c r="C29" s="221"/>
      <c r="D29" s="95"/>
      <c r="E29" s="87" t="s">
        <v>51</v>
      </c>
      <c r="F29" s="222"/>
      <c r="G29" s="223"/>
      <c r="H29" s="223"/>
      <c r="I29" s="223"/>
      <c r="J29" s="224"/>
      <c r="K29" s="5"/>
      <c r="L29" s="52"/>
      <c r="M29" s="52"/>
      <c r="N29" s="52"/>
      <c r="O29" s="53"/>
    </row>
    <row r="30">
      <c r="A30" s="1"/>
      <c r="B30" s="9"/>
      <c r="C30" s="20"/>
      <c r="D30" s="101"/>
      <c r="E30" s="87"/>
      <c r="F30" s="102"/>
      <c r="G30" s="102"/>
      <c r="H30" s="102"/>
      <c r="I30" s="63"/>
      <c r="J30" s="5"/>
      <c r="K30" s="5"/>
      <c r="L30" s="5"/>
      <c r="M30" s="5"/>
      <c r="N30" s="5"/>
    </row>
    <row r="31">
      <c r="B31" s="225" t="s">
        <v>86</v>
      </c>
      <c r="C31" s="226">
        <f>C25*C26</f>
        <v>0</v>
      </c>
      <c r="D31" s="9"/>
      <c r="E31" s="10" t="s">
        <v>54</v>
      </c>
      <c r="F31" s="227"/>
      <c r="G31" s="228"/>
      <c r="H31" s="229"/>
      <c r="I31" s="229"/>
      <c r="J31" s="230"/>
      <c r="K31" s="5"/>
      <c r="L31" s="5"/>
      <c r="M31" s="5"/>
      <c r="N31" s="5"/>
    </row>
    <row r="32">
      <c r="B32" s="225" t="s">
        <v>40</v>
      </c>
      <c r="C32" s="231">
        <f>C31-C27+C28</f>
        <v>0</v>
      </c>
      <c r="D32" s="9"/>
      <c r="E32" s="87" t="s">
        <v>56</v>
      </c>
      <c r="F32" s="232"/>
      <c r="G32" s="233"/>
      <c r="H32" s="233"/>
      <c r="I32" s="233"/>
      <c r="J32" s="234"/>
      <c r="K32" s="5"/>
      <c r="L32" s="5"/>
      <c r="M32" s="5"/>
      <c r="N32" s="5"/>
    </row>
    <row r="33">
      <c r="B33" s="225" t="s">
        <v>42</v>
      </c>
      <c r="C33" s="235" t="str">
        <f>C31/J20</f>
        <v>#DIV/0!</v>
      </c>
      <c r="D33" s="9"/>
      <c r="E33" s="87" t="s">
        <v>58</v>
      </c>
      <c r="F33" s="232"/>
      <c r="G33" s="233"/>
      <c r="H33" s="233"/>
      <c r="I33" s="233"/>
      <c r="J33" s="234"/>
      <c r="K33" s="5"/>
      <c r="L33" s="5"/>
      <c r="M33" s="5"/>
      <c r="N33" s="5"/>
    </row>
    <row r="34">
      <c r="B34" s="236" t="s">
        <v>43</v>
      </c>
      <c r="C34" s="235" t="str">
        <f>C31/J4</f>
        <v>#DIV/0!</v>
      </c>
      <c r="D34" s="9"/>
      <c r="E34" s="87" t="s">
        <v>59</v>
      </c>
      <c r="F34" s="232"/>
      <c r="G34" s="233"/>
      <c r="H34" s="233"/>
      <c r="I34" s="233"/>
      <c r="J34" s="234"/>
      <c r="K34" s="5"/>
      <c r="L34" s="5"/>
      <c r="M34" s="5"/>
      <c r="N34" s="5"/>
    </row>
    <row r="35">
      <c r="A35" s="1"/>
      <c r="B35" s="237" t="s">
        <v>45</v>
      </c>
      <c r="C35" s="238" t="str">
        <f>C31/C27</f>
        <v>#DIV/0!</v>
      </c>
      <c r="D35" s="116"/>
      <c r="E35" s="87" t="s">
        <v>33</v>
      </c>
      <c r="F35" s="239"/>
      <c r="G35" s="240"/>
      <c r="H35" s="240"/>
      <c r="I35" s="240"/>
      <c r="J35" s="241"/>
      <c r="K35" s="5"/>
      <c r="L35" s="5"/>
      <c r="M35" s="5"/>
      <c r="N35" s="5"/>
    </row>
    <row r="36">
      <c r="A36" s="1"/>
      <c r="B36" s="237" t="s">
        <v>47</v>
      </c>
      <c r="C36" s="238" t="str">
        <f>C32/J4</f>
        <v>#DIV/0!</v>
      </c>
      <c r="D36" s="101"/>
      <c r="E36" s="122"/>
      <c r="F36" s="51"/>
      <c r="G36" s="51"/>
      <c r="H36" s="123"/>
      <c r="I36" s="5"/>
      <c r="J36" s="5"/>
      <c r="K36" s="5"/>
      <c r="L36" s="5"/>
      <c r="M36" s="5"/>
      <c r="N36" s="5"/>
    </row>
    <row r="37">
      <c r="B37" s="236" t="s">
        <v>49</v>
      </c>
      <c r="C37" s="242" t="str">
        <f>C32/J18</f>
        <v>#DIV/0!</v>
      </c>
      <c r="D37" s="51"/>
      <c r="E37" s="125" t="s">
        <v>63</v>
      </c>
      <c r="F37" s="126" t="s">
        <v>8</v>
      </c>
      <c r="G37" s="127" t="s">
        <v>64</v>
      </c>
      <c r="H37" s="128" t="s">
        <v>26</v>
      </c>
      <c r="I37" s="126" t="s">
        <v>65</v>
      </c>
      <c r="J37" s="129" t="s">
        <v>66</v>
      </c>
      <c r="K37" s="130" t="s">
        <v>67</v>
      </c>
      <c r="L37" s="52"/>
      <c r="M37" s="5"/>
      <c r="N37" s="5"/>
    </row>
    <row r="38">
      <c r="A38" s="1"/>
      <c r="B38" s="19"/>
      <c r="C38" s="5"/>
      <c r="D38" s="51"/>
      <c r="E38" s="132"/>
      <c r="F38" s="133"/>
      <c r="G38" s="133"/>
      <c r="H38" s="134"/>
      <c r="I38" s="135"/>
      <c r="J38" s="52"/>
      <c r="K38" s="52"/>
      <c r="L38" s="52"/>
      <c r="M38" s="5"/>
      <c r="N38" s="5"/>
    </row>
    <row r="39">
      <c r="A39" s="1"/>
      <c r="B39" s="37" t="s">
        <v>52</v>
      </c>
      <c r="C39" s="100">
        <v>0.11</v>
      </c>
      <c r="D39" s="51"/>
      <c r="E39" s="137">
        <v>2018.0</v>
      </c>
      <c r="F39" s="243" t="s">
        <v>87</v>
      </c>
      <c r="G39" s="244" t="s">
        <v>87</v>
      </c>
      <c r="H39" s="140">
        <v>0.0</v>
      </c>
      <c r="I39" s="141">
        <v>0.0</v>
      </c>
      <c r="J39" s="142"/>
      <c r="K39" s="143">
        <v>0.0</v>
      </c>
      <c r="L39" s="52"/>
      <c r="M39" s="5"/>
      <c r="N39" s="5"/>
    </row>
    <row r="40">
      <c r="A40" s="1"/>
      <c r="B40" s="37" t="s">
        <v>53</v>
      </c>
      <c r="C40" s="103">
        <v>0.1</v>
      </c>
      <c r="D40" s="51"/>
      <c r="E40" s="137">
        <v>2019.0</v>
      </c>
      <c r="F40" s="144" t="str">
        <f>G4</f>
        <v/>
      </c>
      <c r="G40" s="245" t="s">
        <v>87</v>
      </c>
      <c r="H40" s="146">
        <f>G20</f>
        <v>0</v>
      </c>
      <c r="I40" s="147">
        <v>0.0</v>
      </c>
      <c r="J40" s="148"/>
      <c r="K40" s="149" t="str">
        <f>F35</f>
        <v/>
      </c>
      <c r="L40" s="150">
        <v>1.0</v>
      </c>
      <c r="M40" s="5"/>
      <c r="N40" s="5"/>
    </row>
    <row r="41">
      <c r="A41" s="1"/>
      <c r="B41" s="44" t="s">
        <v>55</v>
      </c>
      <c r="C41" s="109" t="str">
        <f t="array" ref="C41">NPV(C39, J45:J54)</f>
        <v>#DIV/0!</v>
      </c>
      <c r="D41" s="78"/>
      <c r="E41" s="137">
        <v>2020.0</v>
      </c>
      <c r="F41" s="152" t="str">
        <f>H4</f>
        <v/>
      </c>
      <c r="G41" s="153" t="str">
        <f>G5</f>
        <v>#DIV/0!</v>
      </c>
      <c r="H41" s="146">
        <f>H20</f>
        <v>0</v>
      </c>
      <c r="I41" s="147">
        <v>0.0</v>
      </c>
      <c r="J41" s="148"/>
      <c r="K41" s="149" t="str">
        <f>G35</f>
        <v/>
      </c>
      <c r="L41" s="150" t="str">
        <f>(K41/K40)</f>
        <v>#DIV/0!</v>
      </c>
      <c r="M41" s="5"/>
      <c r="N41" s="5"/>
    </row>
    <row r="42">
      <c r="B42" s="44" t="s">
        <v>57</v>
      </c>
      <c r="C42" s="109" t="str">
        <f>C41+C27-C28</f>
        <v>#DIV/0!</v>
      </c>
      <c r="D42" s="155"/>
      <c r="E42" s="156">
        <v>2021.0</v>
      </c>
      <c r="F42" s="152" t="str">
        <f>I4</f>
        <v/>
      </c>
      <c r="G42" s="153" t="str">
        <f>H5</f>
        <v>#DIV/0!</v>
      </c>
      <c r="H42" s="146">
        <f>I20</f>
        <v>0</v>
      </c>
      <c r="I42" s="147">
        <v>0.0</v>
      </c>
      <c r="J42" s="148"/>
      <c r="K42" s="149" t="str">
        <f>H35</f>
        <v/>
      </c>
      <c r="L42" s="150" t="str">
        <f t="shared" ref="L42:L43" si="10">K42/K41</f>
        <v>#DIV/0!</v>
      </c>
      <c r="M42" s="5"/>
      <c r="N42" s="5"/>
    </row>
    <row r="43">
      <c r="B43" s="44" t="s">
        <v>31</v>
      </c>
      <c r="C43" s="246" t="str">
        <f>C26</f>
        <v/>
      </c>
      <c r="D43" s="155"/>
      <c r="E43" s="156">
        <v>2022.0</v>
      </c>
      <c r="F43" s="152" t="str">
        <f>J4</f>
        <v/>
      </c>
      <c r="G43" s="153" t="str">
        <f>I5</f>
        <v>#DIV/0!</v>
      </c>
      <c r="H43" s="146">
        <f>J20</f>
        <v>0</v>
      </c>
      <c r="I43" s="147">
        <v>0.0</v>
      </c>
      <c r="J43" s="148"/>
      <c r="K43" s="149" t="str">
        <f>I35</f>
        <v/>
      </c>
      <c r="L43" s="150" t="str">
        <f t="shared" si="10"/>
        <v>#DIV/0!</v>
      </c>
      <c r="M43" s="5"/>
      <c r="N43" s="5"/>
    </row>
    <row r="44">
      <c r="B44" s="37" t="s">
        <v>60</v>
      </c>
      <c r="C44" s="247" t="str">
        <f>C42/C43</f>
        <v>#DIV/0!</v>
      </c>
      <c r="D44" s="155"/>
      <c r="E44" s="156">
        <v>2023.0</v>
      </c>
      <c r="F44" s="144" t="str">
        <f t="shared" ref="F44:F54" si="11">F43*(1+G44)</f>
        <v>#DIV/0!</v>
      </c>
      <c r="G44" s="145" t="str">
        <f>J5</f>
        <v>#DIV/0!</v>
      </c>
      <c r="H44" s="146" t="str">
        <f>H40*(1+G44)</f>
        <v>#DIV/0!</v>
      </c>
      <c r="I44" s="147">
        <v>0.0</v>
      </c>
      <c r="J44" s="148"/>
      <c r="K44" s="149" t="str">
        <f>J35</f>
        <v/>
      </c>
      <c r="L44" s="150">
        <v>1.1</v>
      </c>
      <c r="M44" s="5"/>
      <c r="N44" s="5"/>
    </row>
    <row r="45">
      <c r="A45" s="1"/>
      <c r="B45" s="37"/>
      <c r="D45" s="155"/>
      <c r="E45" s="156">
        <v>2024.0</v>
      </c>
      <c r="F45" s="144" t="str">
        <f t="shared" si="11"/>
        <v>#DIV/0!</v>
      </c>
      <c r="G45" s="145" t="str">
        <f>AVERAGE(G41:G44) -0.3</f>
        <v>#DIV/0!</v>
      </c>
      <c r="H45" s="146" t="str">
        <f t="shared" ref="H45:H54" si="12">H44*(1+G45)</f>
        <v>#DIV/0!</v>
      </c>
      <c r="I45" s="162" t="str">
        <f>G45-G44</f>
        <v>#DIV/0!</v>
      </c>
      <c r="J45" s="159" t="str">
        <f>AVERAGE(J40:J44)*(1+G45)</f>
        <v>#DIV/0!</v>
      </c>
      <c r="K45" s="160">
        <f>L44*K44</f>
        <v>0</v>
      </c>
      <c r="L45" s="5"/>
      <c r="M45" s="5"/>
      <c r="N45" s="5"/>
    </row>
    <row r="46">
      <c r="A46" s="1"/>
      <c r="B46" s="20" t="s">
        <v>88</v>
      </c>
      <c r="C46" s="248" t="str">
        <f>(C44-C25)/C44</f>
        <v>#DIV/0!</v>
      </c>
      <c r="D46" s="52"/>
      <c r="E46" s="156">
        <v>2025.0</v>
      </c>
      <c r="F46" s="144" t="str">
        <f t="shared" si="11"/>
        <v>#DIV/0!</v>
      </c>
      <c r="G46" s="145" t="str">
        <f>G45-(G45-G54) / 10</f>
        <v>#DIV/0!</v>
      </c>
      <c r="H46" s="146" t="str">
        <f t="shared" si="12"/>
        <v>#DIV/0!</v>
      </c>
      <c r="I46" s="162" t="str">
        <f t="shared" ref="I46:I54" si="13">I45 * (1+G45)</f>
        <v>#DIV/0!</v>
      </c>
      <c r="J46" s="148" t="str">
        <f t="shared" ref="J46:J54" si="14">J45*(1+G46)</f>
        <v>#DIV/0!</v>
      </c>
      <c r="K46" s="149">
        <f>L44*K45</f>
        <v>0</v>
      </c>
      <c r="L46" s="52"/>
      <c r="M46" s="5"/>
      <c r="N46" s="5"/>
    </row>
    <row r="47">
      <c r="A47" s="1"/>
      <c r="B47" s="20" t="s">
        <v>88</v>
      </c>
      <c r="C47" s="249" t="str">
        <f>I54</f>
        <v>#DIV/0!</v>
      </c>
      <c r="D47" s="52"/>
      <c r="E47" s="164">
        <v>2026.0</v>
      </c>
      <c r="F47" s="144" t="str">
        <f t="shared" si="11"/>
        <v>#DIV/0!</v>
      </c>
      <c r="G47" s="245" t="str">
        <f>G46-(G45-G54) / 10</f>
        <v>#DIV/0!</v>
      </c>
      <c r="H47" s="146" t="str">
        <f t="shared" si="12"/>
        <v>#DIV/0!</v>
      </c>
      <c r="I47" s="162" t="str">
        <f t="shared" si="13"/>
        <v>#DIV/0!</v>
      </c>
      <c r="J47" s="148" t="str">
        <f t="shared" si="14"/>
        <v>#DIV/0!</v>
      </c>
      <c r="K47" s="149">
        <f>L44*K46</f>
        <v>0</v>
      </c>
      <c r="L47" s="52"/>
      <c r="M47" s="5"/>
      <c r="N47" s="5"/>
    </row>
    <row r="48">
      <c r="A48" s="1"/>
      <c r="B48" s="20"/>
      <c r="C48" s="1"/>
      <c r="D48" s="52"/>
      <c r="E48" s="164">
        <v>2027.0</v>
      </c>
      <c r="F48" s="144" t="str">
        <f t="shared" si="11"/>
        <v>#DIV/0!</v>
      </c>
      <c r="G48" s="145" t="str">
        <f>G47-(G45-G54) / 10</f>
        <v>#DIV/0!</v>
      </c>
      <c r="H48" s="146" t="str">
        <f t="shared" si="12"/>
        <v>#DIV/0!</v>
      </c>
      <c r="I48" s="162" t="str">
        <f t="shared" si="13"/>
        <v>#DIV/0!</v>
      </c>
      <c r="J48" s="148" t="str">
        <f t="shared" si="14"/>
        <v>#DIV/0!</v>
      </c>
      <c r="K48" s="149">
        <f>L44*K47</f>
        <v>0</v>
      </c>
      <c r="L48" s="52"/>
      <c r="M48" s="5"/>
      <c r="N48" s="5"/>
    </row>
    <row r="49">
      <c r="B49" s="10" t="s">
        <v>68</v>
      </c>
      <c r="C49" s="250" t="str">
        <f>C41+C27-J54</f>
        <v>#DIV/0!</v>
      </c>
      <c r="D49" s="19"/>
      <c r="E49" s="164">
        <v>2028.0</v>
      </c>
      <c r="F49" s="144" t="str">
        <f t="shared" si="11"/>
        <v>#DIV/0!</v>
      </c>
      <c r="G49" s="145" t="str">
        <f>G48-(G45-G54) / 10</f>
        <v>#DIV/0!</v>
      </c>
      <c r="H49" s="146" t="str">
        <f t="shared" si="12"/>
        <v>#DIV/0!</v>
      </c>
      <c r="I49" s="162" t="str">
        <f t="shared" si="13"/>
        <v>#DIV/0!</v>
      </c>
      <c r="J49" s="148" t="str">
        <f t="shared" si="14"/>
        <v>#DIV/0!</v>
      </c>
      <c r="K49" s="149">
        <f>L44*K48</f>
        <v>0</v>
      </c>
      <c r="L49" s="52"/>
      <c r="M49" s="5"/>
      <c r="N49" s="5"/>
    </row>
    <row r="50">
      <c r="B50" s="10" t="s">
        <v>69</v>
      </c>
      <c r="C50" s="251" t="str">
        <f>C49/J58</f>
        <v>#DIV/0!</v>
      </c>
      <c r="D50" s="52"/>
      <c r="E50" s="164">
        <v>2029.0</v>
      </c>
      <c r="F50" s="144" t="str">
        <f t="shared" si="11"/>
        <v>#DIV/0!</v>
      </c>
      <c r="G50" s="145" t="str">
        <f>G49-(G45-G54) / 10</f>
        <v>#DIV/0!</v>
      </c>
      <c r="H50" s="146" t="str">
        <f t="shared" si="12"/>
        <v>#DIV/0!</v>
      </c>
      <c r="I50" s="162" t="str">
        <f t="shared" si="13"/>
        <v>#DIV/0!</v>
      </c>
      <c r="J50" s="148" t="str">
        <f t="shared" si="14"/>
        <v>#DIV/0!</v>
      </c>
      <c r="K50" s="149">
        <f>L44*K49</f>
        <v>0</v>
      </c>
      <c r="L50" s="52"/>
      <c r="M50" s="5"/>
      <c r="N50" s="5"/>
    </row>
    <row r="51">
      <c r="A51" s="1"/>
      <c r="B51" s="10"/>
      <c r="C51" s="1"/>
      <c r="D51" s="52"/>
      <c r="E51" s="164">
        <v>2030.0</v>
      </c>
      <c r="F51" s="144" t="str">
        <f t="shared" si="11"/>
        <v>#DIV/0!</v>
      </c>
      <c r="G51" s="145" t="str">
        <f>G50-(G45-G54) / 10</f>
        <v>#DIV/0!</v>
      </c>
      <c r="H51" s="146" t="str">
        <f t="shared" si="12"/>
        <v>#DIV/0!</v>
      </c>
      <c r="I51" s="162" t="str">
        <f t="shared" si="13"/>
        <v>#DIV/0!</v>
      </c>
      <c r="J51" s="148" t="str">
        <f t="shared" si="14"/>
        <v>#DIV/0!</v>
      </c>
      <c r="K51" s="160">
        <f>L44*K50</f>
        <v>0</v>
      </c>
      <c r="L51" s="5"/>
      <c r="M51" s="5"/>
      <c r="N51" s="5"/>
    </row>
    <row r="52">
      <c r="A52" s="1"/>
      <c r="B52" s="37" t="s">
        <v>70</v>
      </c>
      <c r="C52" s="151">
        <v>0.1</v>
      </c>
      <c r="D52" s="52"/>
      <c r="E52" s="122">
        <v>2031.0</v>
      </c>
      <c r="F52" s="144" t="str">
        <f t="shared" si="11"/>
        <v>#DIV/0!</v>
      </c>
      <c r="G52" s="145" t="str">
        <f>G51-(G45-G54) / 10</f>
        <v>#DIV/0!</v>
      </c>
      <c r="H52" s="146" t="str">
        <f t="shared" si="12"/>
        <v>#DIV/0!</v>
      </c>
      <c r="I52" s="162" t="str">
        <f t="shared" si="13"/>
        <v>#DIV/0!</v>
      </c>
      <c r="J52" s="148" t="str">
        <f t="shared" si="14"/>
        <v>#DIV/0!</v>
      </c>
      <c r="K52" s="160">
        <f>L44*K51</f>
        <v>0</v>
      </c>
      <c r="L52" s="5"/>
      <c r="M52" s="5"/>
      <c r="N52" s="5"/>
    </row>
    <row r="53">
      <c r="A53" s="1"/>
      <c r="B53" s="20" t="s">
        <v>71</v>
      </c>
      <c r="C53" s="154" t="str">
        <f t="array" ref="C53">NPV(C39, I59:I68)</f>
        <v>#DIV/0!</v>
      </c>
      <c r="D53" s="19"/>
      <c r="E53" s="122">
        <v>2032.0</v>
      </c>
      <c r="F53" s="144" t="str">
        <f t="shared" si="11"/>
        <v>#DIV/0!</v>
      </c>
      <c r="G53" s="145" t="str">
        <f>G52-(G45-G54) / 10</f>
        <v>#DIV/0!</v>
      </c>
      <c r="H53" s="146" t="str">
        <f t="shared" si="12"/>
        <v>#DIV/0!</v>
      </c>
      <c r="I53" s="162" t="str">
        <f t="shared" si="13"/>
        <v>#DIV/0!</v>
      </c>
      <c r="J53" s="148" t="str">
        <f t="shared" si="14"/>
        <v>#DIV/0!</v>
      </c>
      <c r="K53" s="160">
        <f>L44*K52</f>
        <v>0</v>
      </c>
      <c r="L53" s="5"/>
      <c r="M53" s="5"/>
      <c r="N53" s="5"/>
    </row>
    <row r="54">
      <c r="A54" s="1"/>
      <c r="B54" s="10" t="s">
        <v>72</v>
      </c>
      <c r="C54" s="252" t="str">
        <f>C53/J68</f>
        <v>#DIV/0!</v>
      </c>
      <c r="D54" s="19"/>
      <c r="E54" s="122">
        <v>2033.0</v>
      </c>
      <c r="F54" s="170" t="str">
        <f t="shared" si="11"/>
        <v>#DIV/0!</v>
      </c>
      <c r="G54" s="171">
        <f>C40</f>
        <v>0.1</v>
      </c>
      <c r="H54" s="172" t="str">
        <f t="shared" si="12"/>
        <v>#DIV/0!</v>
      </c>
      <c r="I54" s="173" t="str">
        <f t="shared" si="13"/>
        <v>#DIV/0!</v>
      </c>
      <c r="J54" s="174" t="str">
        <f t="shared" si="14"/>
        <v>#DIV/0!</v>
      </c>
      <c r="K54" s="175">
        <f>L44*K53</f>
        <v>0</v>
      </c>
      <c r="L54" s="5"/>
      <c r="M54" s="5"/>
      <c r="N54" s="5"/>
    </row>
    <row r="55">
      <c r="A55" s="1"/>
      <c r="B55" s="10" t="s">
        <v>73</v>
      </c>
      <c r="C55" s="158" t="str">
        <f>(C54/C25)^(1/10)-1</f>
        <v>#DIV/0!</v>
      </c>
      <c r="D55" s="155"/>
      <c r="E55" s="5"/>
      <c r="F55" s="176"/>
      <c r="G55" s="176"/>
      <c r="H55" s="5"/>
      <c r="I55" s="5"/>
      <c r="J55" s="5"/>
      <c r="K55" s="5"/>
      <c r="L55" s="5"/>
      <c r="M55" s="5"/>
      <c r="N55" s="5"/>
    </row>
    <row r="56">
      <c r="A56" s="1"/>
      <c r="B56" s="10"/>
      <c r="C56" s="177"/>
      <c r="D56" s="155"/>
      <c r="E56" s="125" t="s">
        <v>63</v>
      </c>
      <c r="F56" s="126" t="s">
        <v>78</v>
      </c>
      <c r="G56" s="126" t="s">
        <v>64</v>
      </c>
      <c r="H56" s="178" t="s">
        <v>26</v>
      </c>
      <c r="I56" s="129" t="s">
        <v>66</v>
      </c>
      <c r="J56" s="130" t="s">
        <v>31</v>
      </c>
      <c r="L56" s="5"/>
      <c r="M56" s="5"/>
      <c r="N56" s="5"/>
    </row>
    <row r="57">
      <c r="A57" s="1"/>
      <c r="B57" s="10" t="s">
        <v>74</v>
      </c>
      <c r="C57" s="161">
        <v>0.02</v>
      </c>
      <c r="D57" s="155"/>
      <c r="E57" s="132"/>
      <c r="F57" s="133"/>
      <c r="G57" s="133"/>
      <c r="H57" s="134"/>
      <c r="I57" s="135"/>
      <c r="J57" s="52"/>
      <c r="L57" s="5"/>
      <c r="M57" s="5"/>
      <c r="N57" s="5"/>
    </row>
    <row r="58">
      <c r="A58" s="124"/>
      <c r="B58" s="10" t="s">
        <v>89</v>
      </c>
      <c r="C58" s="163" t="str">
        <f>J44/F44</f>
        <v>#DIV/0!</v>
      </c>
      <c r="D58" s="31"/>
      <c r="E58" s="122">
        <v>2033.0</v>
      </c>
      <c r="F58" s="138" t="str">
        <f>F54*C59</f>
        <v>#DIV/0!</v>
      </c>
      <c r="G58" s="139">
        <f t="shared" ref="G58:H58" si="15">G54</f>
        <v>0.1</v>
      </c>
      <c r="H58" s="180" t="str">
        <f t="shared" si="15"/>
        <v>#DIV/0!</v>
      </c>
      <c r="I58" s="181" t="str">
        <f>J54</f>
        <v>#DIV/0!</v>
      </c>
      <c r="J58" s="182" t="str">
        <f>K58*J23</f>
        <v>#DIV/0!</v>
      </c>
      <c r="K58" s="253" t="str">
        <f>((J23-G23)/G23 + 1)</f>
        <v>#DIV/0!</v>
      </c>
      <c r="L58" s="5"/>
      <c r="M58" s="5"/>
      <c r="N58" s="5"/>
    </row>
    <row r="59">
      <c r="A59" s="124"/>
      <c r="B59" s="10" t="s">
        <v>90</v>
      </c>
      <c r="C59" s="165" t="str">
        <f>C58*(1+C57)^10</f>
        <v>#DIV/0!</v>
      </c>
      <c r="D59" s="31"/>
      <c r="E59" s="122">
        <v>2034.0</v>
      </c>
      <c r="F59" s="144" t="str">
        <f t="shared" ref="F59:F68" si="16">F58*(1+G59)</f>
        <v>#DIV/0!</v>
      </c>
      <c r="G59" s="145">
        <f>G58-(G58-G68) / 10</f>
        <v>0.1</v>
      </c>
      <c r="H59" s="146" t="str">
        <f t="shared" ref="H59:H68" si="17">H58*(1+G59)</f>
        <v>#DIV/0!</v>
      </c>
      <c r="I59" s="183" t="str">
        <f t="shared" ref="I59:I68" si="18">I58*(1+G59)</f>
        <v>#DIV/0!</v>
      </c>
      <c r="J59" s="184" t="str">
        <f t="shared" ref="J59:J62" si="19">K59*J58</f>
        <v>#DIV/0!</v>
      </c>
      <c r="K59" s="253" t="str">
        <f t="shared" ref="K59:K61" si="20">K58*0.95</f>
        <v>#DIV/0!</v>
      </c>
      <c r="L59" s="5"/>
      <c r="M59" s="5"/>
      <c r="N59" s="5"/>
    </row>
    <row r="60">
      <c r="A60" s="124"/>
      <c r="B60" s="10" t="s">
        <v>77</v>
      </c>
      <c r="C60" s="166" t="str">
        <f t="array" ref="C60">NPV(C39, I59:I68)</f>
        <v>#DIV/0!</v>
      </c>
      <c r="D60" s="31"/>
      <c r="E60" s="122">
        <v>2035.0</v>
      </c>
      <c r="F60" s="144" t="str">
        <f t="shared" si="16"/>
        <v>#DIV/0!</v>
      </c>
      <c r="G60" s="145">
        <f>G59-(G58-G68) / 10</f>
        <v>0.1</v>
      </c>
      <c r="H60" s="146" t="str">
        <f t="shared" si="17"/>
        <v>#DIV/0!</v>
      </c>
      <c r="I60" s="183" t="str">
        <f t="shared" si="18"/>
        <v>#DIV/0!</v>
      </c>
      <c r="J60" s="185" t="str">
        <f t="shared" si="19"/>
        <v>#DIV/0!</v>
      </c>
      <c r="K60" s="253" t="str">
        <f t="shared" si="20"/>
        <v>#DIV/0!</v>
      </c>
      <c r="L60" s="5"/>
      <c r="M60" s="5"/>
      <c r="N60" s="5"/>
    </row>
    <row r="61">
      <c r="A61" s="124"/>
      <c r="B61" s="10" t="s">
        <v>72</v>
      </c>
      <c r="C61" s="254" t="str">
        <f>C60/J68</f>
        <v>#DIV/0!</v>
      </c>
      <c r="D61" s="31"/>
      <c r="E61" s="122">
        <v>2036.0</v>
      </c>
      <c r="F61" s="144" t="str">
        <f t="shared" si="16"/>
        <v>#DIV/0!</v>
      </c>
      <c r="G61" s="145">
        <f>G60-(G58-G68) / 10</f>
        <v>0.1</v>
      </c>
      <c r="H61" s="146" t="str">
        <f t="shared" si="17"/>
        <v>#DIV/0!</v>
      </c>
      <c r="I61" s="183" t="str">
        <f t="shared" si="18"/>
        <v>#DIV/0!</v>
      </c>
      <c r="J61" s="184" t="str">
        <f t="shared" si="19"/>
        <v>#DIV/0!</v>
      </c>
      <c r="K61" s="253" t="str">
        <f t="shared" si="20"/>
        <v>#DIV/0!</v>
      </c>
      <c r="L61" s="5"/>
      <c r="M61" s="5"/>
      <c r="N61" s="5"/>
    </row>
    <row r="62">
      <c r="A62" s="1"/>
      <c r="B62" s="10" t="s">
        <v>73</v>
      </c>
      <c r="C62" s="168" t="str">
        <f>(C61/C25)^(1/10)-1</f>
        <v>#DIV/0!</v>
      </c>
      <c r="D62" s="19"/>
      <c r="E62" s="122">
        <v>2037.0</v>
      </c>
      <c r="F62" s="144" t="str">
        <f t="shared" si="16"/>
        <v>#DIV/0!</v>
      </c>
      <c r="G62" s="145">
        <f>G61-(G58-G68) / 10</f>
        <v>0.1</v>
      </c>
      <c r="H62" s="146" t="str">
        <f t="shared" si="17"/>
        <v>#DIV/0!</v>
      </c>
      <c r="I62" s="183" t="str">
        <f t="shared" si="18"/>
        <v>#DIV/0!</v>
      </c>
      <c r="J62" s="185" t="str">
        <f t="shared" si="19"/>
        <v>#DIV/0!</v>
      </c>
      <c r="K62" s="255">
        <v>1.02</v>
      </c>
      <c r="L62" s="5"/>
      <c r="M62" s="5"/>
      <c r="N62" s="5"/>
    </row>
    <row r="63">
      <c r="A63" s="1"/>
      <c r="B63" s="10"/>
      <c r="C63" s="19"/>
      <c r="D63" s="19"/>
      <c r="E63" s="122">
        <v>2038.0</v>
      </c>
      <c r="F63" s="144" t="str">
        <f t="shared" si="16"/>
        <v>#DIV/0!</v>
      </c>
      <c r="G63" s="145">
        <f>G62-(G58-G68) / 10</f>
        <v>0.1</v>
      </c>
      <c r="H63" s="146" t="str">
        <f t="shared" si="17"/>
        <v>#DIV/0!</v>
      </c>
      <c r="I63" s="183" t="str">
        <f t="shared" si="18"/>
        <v>#DIV/0!</v>
      </c>
      <c r="J63" s="184" t="str">
        <f>K62*J62</f>
        <v>#DIV/0!</v>
      </c>
      <c r="L63" s="5"/>
      <c r="M63" s="5"/>
      <c r="N63" s="5"/>
    </row>
    <row r="64">
      <c r="A64" s="1"/>
      <c r="B64" s="10"/>
      <c r="C64" s="186"/>
      <c r="D64" s="19"/>
      <c r="E64" s="122">
        <v>2039.0</v>
      </c>
      <c r="F64" s="144" t="str">
        <f t="shared" si="16"/>
        <v>#DIV/0!</v>
      </c>
      <c r="G64" s="145">
        <f>G63-(G58-G68) / 10</f>
        <v>0.1</v>
      </c>
      <c r="H64" s="146" t="str">
        <f t="shared" si="17"/>
        <v>#DIV/0!</v>
      </c>
      <c r="I64" s="183" t="str">
        <f t="shared" si="18"/>
        <v>#DIV/0!</v>
      </c>
      <c r="J64" s="184" t="str">
        <f>K62*J63</f>
        <v>#DIV/0!</v>
      </c>
      <c r="L64" s="5"/>
      <c r="M64" s="5"/>
      <c r="N64" s="5"/>
    </row>
    <row r="65">
      <c r="A65" s="1"/>
      <c r="B65" s="19"/>
      <c r="C65" s="19"/>
      <c r="D65" s="19"/>
      <c r="E65" s="122">
        <v>2040.0</v>
      </c>
      <c r="F65" s="144" t="str">
        <f t="shared" si="16"/>
        <v>#DIV/0!</v>
      </c>
      <c r="G65" s="145">
        <f>G64-(G58-G68) / 10</f>
        <v>0.1</v>
      </c>
      <c r="H65" s="146" t="str">
        <f t="shared" si="17"/>
        <v>#DIV/0!</v>
      </c>
      <c r="I65" s="183" t="str">
        <f t="shared" si="18"/>
        <v>#DIV/0!</v>
      </c>
      <c r="J65" s="184" t="str">
        <f>K62*J64</f>
        <v>#DIV/0!</v>
      </c>
      <c r="L65" s="5"/>
      <c r="M65" s="5"/>
      <c r="N65" s="5"/>
    </row>
    <row r="66">
      <c r="A66" s="1"/>
      <c r="B66" s="19"/>
      <c r="C66" s="19"/>
      <c r="D66" s="19"/>
      <c r="E66" s="122">
        <v>2041.0</v>
      </c>
      <c r="F66" s="144" t="str">
        <f t="shared" si="16"/>
        <v>#DIV/0!</v>
      </c>
      <c r="G66" s="145">
        <f>G65-(G58-G68) / 10</f>
        <v>0.1</v>
      </c>
      <c r="H66" s="146" t="str">
        <f t="shared" si="17"/>
        <v>#DIV/0!</v>
      </c>
      <c r="I66" s="183" t="str">
        <f t="shared" si="18"/>
        <v>#DIV/0!</v>
      </c>
      <c r="J66" s="184" t="str">
        <f>K62*J65</f>
        <v>#DIV/0!</v>
      </c>
      <c r="L66" s="5"/>
      <c r="M66" s="5"/>
      <c r="N66" s="5"/>
    </row>
    <row r="67">
      <c r="A67" s="1"/>
      <c r="B67" s="19"/>
      <c r="C67" s="19"/>
      <c r="D67" s="19"/>
      <c r="E67" s="122">
        <v>2042.0</v>
      </c>
      <c r="F67" s="144" t="str">
        <f t="shared" si="16"/>
        <v>#DIV/0!</v>
      </c>
      <c r="G67" s="145">
        <f>G66-(G58-G68) / 10</f>
        <v>0.1</v>
      </c>
      <c r="H67" s="146" t="str">
        <f t="shared" si="17"/>
        <v>#DIV/0!</v>
      </c>
      <c r="I67" s="183" t="str">
        <f t="shared" si="18"/>
        <v>#DIV/0!</v>
      </c>
      <c r="J67" s="184" t="str">
        <f>K62*J66</f>
        <v>#DIV/0!</v>
      </c>
      <c r="L67" s="5"/>
      <c r="M67" s="5"/>
      <c r="N67" s="5"/>
    </row>
    <row r="68">
      <c r="A68" s="124"/>
      <c r="B68" s="31"/>
      <c r="C68" s="31"/>
      <c r="D68" s="19"/>
      <c r="E68" s="122">
        <v>2043.0</v>
      </c>
      <c r="F68" s="170" t="str">
        <f t="shared" si="16"/>
        <v>#DIV/0!</v>
      </c>
      <c r="G68" s="171">
        <f>C52</f>
        <v>0.1</v>
      </c>
      <c r="H68" s="172" t="str">
        <f t="shared" si="17"/>
        <v>#DIV/0!</v>
      </c>
      <c r="I68" s="187" t="str">
        <f t="shared" si="18"/>
        <v>#DIV/0!</v>
      </c>
      <c r="J68" s="189" t="str">
        <f>K62*J67</f>
        <v>#DIV/0!</v>
      </c>
      <c r="K68" s="5"/>
      <c r="L68" s="5"/>
      <c r="M68" s="5"/>
      <c r="N68" s="5"/>
    </row>
    <row r="69">
      <c r="A69" s="124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6"/>
      <c r="B3" s="257" t="s">
        <v>91</v>
      </c>
    </row>
    <row r="4">
      <c r="A4" s="258"/>
      <c r="B4" s="258"/>
      <c r="C4" s="258"/>
    </row>
    <row r="5">
      <c r="A5" s="259"/>
      <c r="B5" s="259" t="s">
        <v>92</v>
      </c>
    </row>
    <row r="6">
      <c r="A6" s="259"/>
      <c r="B6" s="260" t="s">
        <v>93</v>
      </c>
      <c r="C6" s="259"/>
      <c r="D6" s="259"/>
      <c r="E6" s="259"/>
    </row>
    <row r="7">
      <c r="A7" s="261"/>
      <c r="B7" s="262" t="s">
        <v>94</v>
      </c>
    </row>
    <row r="8">
      <c r="A8" s="261"/>
      <c r="B8" s="262" t="s">
        <v>95</v>
      </c>
    </row>
    <row r="9">
      <c r="A9" s="259"/>
      <c r="B9" s="262" t="s">
        <v>96</v>
      </c>
    </row>
    <row r="10">
      <c r="A10" s="259"/>
      <c r="B10" s="262" t="s">
        <v>97</v>
      </c>
    </row>
    <row r="11">
      <c r="A11" s="259"/>
      <c r="B11" s="262" t="s">
        <v>98</v>
      </c>
    </row>
    <row r="12">
      <c r="A12" s="259"/>
      <c r="B12" s="262" t="s">
        <v>99</v>
      </c>
    </row>
    <row r="13">
      <c r="A13" s="261"/>
      <c r="B13" s="261"/>
      <c r="C13" s="261"/>
      <c r="D13" s="261"/>
      <c r="E13" s="261"/>
    </row>
    <row r="14">
      <c r="A14" s="261"/>
      <c r="B14" s="261"/>
      <c r="C14" s="261"/>
      <c r="D14" s="261"/>
      <c r="E14" s="261"/>
    </row>
    <row r="15">
      <c r="A15" s="261"/>
      <c r="B15" s="261"/>
      <c r="C15" s="261"/>
      <c r="D15" s="261"/>
      <c r="E15" s="261"/>
    </row>
    <row r="16">
      <c r="A16" s="261"/>
      <c r="B16" s="261"/>
      <c r="C16" s="261"/>
      <c r="D16" s="261"/>
      <c r="E16" s="261"/>
    </row>
    <row r="17">
      <c r="A17" s="261"/>
      <c r="B17" s="261"/>
      <c r="C17" s="261"/>
      <c r="D17" s="261"/>
      <c r="E17" s="261"/>
    </row>
    <row r="18">
      <c r="A18" s="261"/>
      <c r="B18" s="261"/>
      <c r="C18" s="261"/>
      <c r="D18" s="261"/>
      <c r="E18" s="261"/>
    </row>
    <row r="19">
      <c r="A19" s="263"/>
      <c r="B19" s="261"/>
      <c r="C19" s="261"/>
      <c r="D19" s="261"/>
      <c r="E19" s="261"/>
    </row>
    <row r="20">
      <c r="A20" s="263"/>
      <c r="B20" s="261"/>
      <c r="C20" s="261"/>
      <c r="D20" s="261"/>
      <c r="E20" s="261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