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<sst xmlns="http://schemas.openxmlformats.org/spreadsheetml/2006/main" count="88" uniqueCount="86">
  <si>
    <t>AMZN</t>
  </si>
  <si>
    <t>Y20</t>
  </si>
  <si>
    <t>Y21</t>
  </si>
  <si>
    <t>Y22</t>
  </si>
  <si>
    <t>source</t>
  </si>
  <si>
    <t>Price</t>
  </si>
  <si>
    <t>Revenue</t>
  </si>
  <si>
    <t>Shares Outstanding</t>
  </si>
  <si>
    <t>COGS</t>
  </si>
  <si>
    <t>Cash</t>
  </si>
  <si>
    <t>Profit Margin</t>
  </si>
  <si>
    <t>Debt</t>
  </si>
  <si>
    <t>Gross Profit</t>
  </si>
  <si>
    <t>Fulfillment</t>
  </si>
  <si>
    <t>Technology and Content</t>
  </si>
  <si>
    <t>&lt;- This growth may be a product of increasing competitive heat + broader overcrowding in the technology space.</t>
  </si>
  <si>
    <t>Market Cap</t>
  </si>
  <si>
    <t>SG&amp;A</t>
  </si>
  <si>
    <t>EV</t>
  </si>
  <si>
    <t>Operating Expenses</t>
  </si>
  <si>
    <t>P/E</t>
  </si>
  <si>
    <t>Operating Income</t>
  </si>
  <si>
    <t>P/S</t>
  </si>
  <si>
    <t>Interest Income</t>
  </si>
  <si>
    <t>P/B</t>
  </si>
  <si>
    <t>Interest Expense</t>
  </si>
  <si>
    <t>Pretax Income</t>
  </si>
  <si>
    <t>&lt;- Odious year. Why?</t>
  </si>
  <si>
    <t>From the 10-K: The (North America, International) "operating loss in 2022, as compared to the operating income in the prior year, is primarily due to increased fulfillment and shipping costs, due in part to increases in investments in our fulfillment network, transportation costs, and wage rates and incentives, increased technology and content costs, and growth in certain operating expenses, partially offset by increased unit sales, including sales by third-party sellers, and advertising sales. Changes in foreign currency exchange rates positively impacted operating loss by $274 million in 2022."</t>
  </si>
  <si>
    <t>EV / Revenue</t>
  </si>
  <si>
    <t>Taxes</t>
  </si>
  <si>
    <t>EV / Pretax Income</t>
  </si>
  <si>
    <t>Net Income</t>
  </si>
  <si>
    <t>EPS</t>
  </si>
  <si>
    <t>Discount (WAPM)</t>
  </si>
  <si>
    <t>Shares</t>
  </si>
  <si>
    <t>Terminal Growth Rate</t>
  </si>
  <si>
    <t>Revenue Growth</t>
  </si>
  <si>
    <t>N/A</t>
  </si>
  <si>
    <t>NPV</t>
  </si>
  <si>
    <t>NPV + Cash - Debt</t>
  </si>
  <si>
    <t>Share Repurchases</t>
  </si>
  <si>
    <t>Shares Issued</t>
  </si>
  <si>
    <t>-479</t>
  </si>
  <si>
    <t>Expected Price</t>
  </si>
  <si>
    <t>Later on in the 10-K: "We expect our cost of shipping to continue to increase..."</t>
  </si>
  <si>
    <t>Debt Issued</t>
  </si>
  <si>
    <t>Price Margin</t>
  </si>
  <si>
    <t>Debt Repaid</t>
  </si>
  <si>
    <t>Terminal Income Margin</t>
  </si>
  <si>
    <t>Net Operating Cash</t>
  </si>
  <si>
    <t>Capex</t>
  </si>
  <si>
    <t>-58154</t>
  </si>
  <si>
    <t>Net Cash Increase (decrease)</t>
  </si>
  <si>
    <t>-5900</t>
  </si>
  <si>
    <t>Valueline (3-5 pt)</t>
  </si>
  <si>
    <t>$170 - $230</t>
  </si>
  <si>
    <t>Stock Based Comp</t>
  </si>
  <si>
    <t>9208</t>
  </si>
  <si>
    <t>12757</t>
  </si>
  <si>
    <t>Year</t>
  </si>
  <si>
    <t>Growth Rate</t>
  </si>
  <si>
    <t>Safety Margin</t>
  </si>
  <si>
    <t>Note: This is a rough estimate - margin of safety is estimated by using a lagged rate of revenue growth using measures of net income. This largely assumes operating efficiency tailwinds continue even if top-line growth slows.</t>
  </si>
  <si>
    <t>-</t>
  </si>
  <si>
    <t>Products</t>
  </si>
  <si>
    <t>AWS</t>
  </si>
  <si>
    <t>Consumer Market</t>
  </si>
  <si>
    <t>Shipping logistics?</t>
  </si>
  <si>
    <t>Entertainment</t>
  </si>
  <si>
    <t>Groceries</t>
  </si>
  <si>
    <t>Note: We are expecting shipping costs and fulfillment costs to continue to increase, so are expecting net income to rebound considerably, but not to the extent prior seen. This is a conservative approach</t>
  </si>
  <si>
    <t>Pharmacy</t>
  </si>
  <si>
    <t>Notes</t>
  </si>
  <si>
    <t>AWS continues to show solid growth.</t>
  </si>
  <si>
    <t>Shipping network is critical to the world.</t>
  </si>
  <si>
    <t>Extremely strong moat.</t>
  </si>
  <si>
    <t>Still early in the company's life cycle wrt growth.</t>
  </si>
  <si>
    <t>Questions</t>
  </si>
  <si>
    <t>What are you doing, that your competitors aren't doing yet?</t>
  </si>
  <si>
    <t>What are the insiders doing?</t>
  </si>
  <si>
    <t>Will products or services sizably increase for at least several years?</t>
  </si>
  <si>
    <t>Is management determined and how important is mgmt to the business's success?</t>
  </si>
  <si>
    <t>What is the company doing to improve profit margins?</t>
  </si>
  <si>
    <t>Does management talk freely in all situations - or do they "clam up"?</t>
  </si>
  <si>
    <t>In the foreseeable future, will growth require significant equity financing?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</si>
</sst>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quot;$&quot;#,##0.00"/>
  </numFmts>
  <fonts count="8">
    <font>
      <sz val="10.0"/>
      <color rgb="FF000000"/>
      <name val="Arial"/>
      <scheme val="minor"/>
    </font>
    <font>
      <b/>
      <color theme="1"/>
      <name val="Arial"/>
      <scheme val="minor"/>
    </font>
    <font>
      <color theme="1"/>
      <name val="Arial"/>
      <scheme val="minor"/>
    </font>
    <font>
      <b/>
      <color theme="1"/>
      <name val="Arial"/>
    </font>
    <font>
      <u/>
      <color rgb="FF0000FF"/>
    </font>
    <font>
      <b/>
      <color rgb="FF000000"/>
      <name val="Arial"/>
    </font>
    <font>
      <color theme="1"/>
      <name val="Arial"/>
    </font>
    <font/>
  </fonts>
  <fills count="8">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EA9999"/>
        <bgColor rgb="FFEA9999"/>
      </patternFill>
    </fill>
    <fill>
      <patternFill patternType="solid">
        <fgColor rgb="FFF9CB9C"/>
        <bgColor rgb="FFF9CB9C"/>
      </patternFill>
    </fill>
    <fill>
      <patternFill patternType="solid">
        <fgColor rgb="FFD5A6BD"/>
        <bgColor rgb="FFD5A6BD"/>
      </patternFill>
    </fill>
    <fill>
      <patternFill patternType="solid">
        <fgColor rgb="FF9FC5E8"/>
        <bgColor rgb="FF9FC5E8"/>
      </patternFill>
    </fill>
  </fills>
  <borders count="5">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horizontal="left" vertical="bottom"/>
    </xf>
    <xf borderId="0" fillId="0" fontId="1" numFmtId="0" xfId="0" applyAlignment="1" applyFont="1">
      <alignment horizontal="left" readingOrder="0"/>
    </xf>
    <xf borderId="0" fillId="0" fontId="2" numFmtId="0" xfId="0" applyFont="1"/>
    <xf borderId="0" fillId="0" fontId="4" numFmtId="0" xfId="0" applyAlignment="1" applyFont="1">
      <alignment readingOrder="0"/>
    </xf>
    <xf borderId="0" fillId="0" fontId="3" numFmtId="0" xfId="0" applyAlignment="1" applyFont="1">
      <alignment vertical="bottom"/>
    </xf>
    <xf borderId="0" fillId="0" fontId="2" numFmtId="165" xfId="0" applyAlignment="1" applyFont="1" applyNumberFormat="1">
      <alignment readingOrder="0"/>
    </xf>
    <xf borderId="0" fillId="0" fontId="2" numFmtId="0" xfId="0" applyAlignment="1" applyFont="1">
      <alignment readingOrder="0"/>
    </xf>
    <xf borderId="0" fillId="0" fontId="3" numFmtId="0" xfId="0" applyAlignment="1" applyFont="1">
      <alignment shrinkToFit="0" vertical="bottom" wrapText="0"/>
    </xf>
    <xf borderId="0" fillId="0" fontId="2" numFmtId="3" xfId="0" applyAlignment="1" applyFont="1" applyNumberFormat="1">
      <alignment readingOrder="0"/>
    </xf>
    <xf borderId="0" fillId="0" fontId="2" numFmtId="10" xfId="0" applyFont="1" applyNumberFormat="1"/>
    <xf borderId="0" fillId="0" fontId="2" numFmtId="0" xfId="0" applyFont="1"/>
    <xf borderId="0" fillId="0" fontId="3" numFmtId="0" xfId="0" applyAlignment="1" applyFont="1">
      <alignment readingOrder="0" shrinkToFit="0" vertical="bottom" wrapText="1"/>
    </xf>
    <xf borderId="0" fillId="2" fontId="2" numFmtId="0" xfId="0" applyAlignment="1" applyFill="1" applyFont="1">
      <alignment horizontal="right" readingOrder="0"/>
    </xf>
    <xf borderId="0" fillId="2" fontId="2" numFmtId="0" xfId="0" applyAlignment="1" applyFont="1">
      <alignment readingOrder="0" shrinkToFit="0" vertical="top" wrapText="1"/>
    </xf>
    <xf borderId="0" fillId="0" fontId="2" numFmtId="4" xfId="0" applyFont="1" applyNumberFormat="1"/>
    <xf borderId="0" fillId="0" fontId="3" numFmtId="0" xfId="0" applyAlignment="1" applyFont="1">
      <alignment shrinkToFit="0" vertical="bottom" wrapText="1"/>
    </xf>
    <xf borderId="0" fillId="3" fontId="5" numFmtId="0" xfId="0" applyAlignment="1" applyFill="1" applyFont="1">
      <alignment horizontal="left" readingOrder="0"/>
    </xf>
    <xf borderId="0" fillId="0" fontId="2" numFmtId="4" xfId="0" applyAlignment="1" applyFont="1" applyNumberFormat="1">
      <alignment horizontal="right"/>
    </xf>
    <xf borderId="0" fillId="0" fontId="2" numFmtId="0" xfId="0" applyAlignment="1" applyFont="1">
      <alignment horizontal="right"/>
    </xf>
    <xf borderId="0" fillId="0" fontId="2" numFmtId="0" xfId="0" applyAlignment="1" applyFont="1">
      <alignment horizontal="right" readingOrder="0"/>
    </xf>
    <xf borderId="0" fillId="0" fontId="2" numFmtId="4" xfId="0" applyAlignment="1" applyFont="1" applyNumberFormat="1">
      <alignment readingOrder="0"/>
    </xf>
    <xf borderId="0" fillId="0" fontId="2" numFmtId="2" xfId="0" applyAlignment="1" applyFont="1" applyNumberFormat="1">
      <alignment horizontal="right" readingOrder="0"/>
    </xf>
    <xf borderId="0" fillId="0" fontId="2" numFmtId="10" xfId="0" applyAlignment="1" applyFont="1" applyNumberFormat="1">
      <alignment readingOrder="0"/>
    </xf>
    <xf borderId="0" fillId="4" fontId="2" numFmtId="0" xfId="0" applyAlignment="1" applyFill="1" applyFont="1">
      <alignment readingOrder="0"/>
    </xf>
    <xf borderId="0" fillId="4" fontId="2" numFmtId="0" xfId="0" applyAlignment="1" applyFont="1">
      <alignment readingOrder="0" shrinkToFit="0" vertical="top" wrapText="1"/>
    </xf>
    <xf borderId="0" fillId="0" fontId="2" numFmtId="2" xfId="0" applyFont="1" applyNumberFormat="1"/>
    <xf borderId="0" fillId="0" fontId="2" numFmtId="0" xfId="0" applyAlignment="1" applyFont="1">
      <alignment readingOrder="0" shrinkToFit="0" vertical="top" wrapText="1"/>
    </xf>
    <xf borderId="0" fillId="0" fontId="3" numFmtId="0" xfId="0" applyAlignment="1" applyFont="1">
      <alignment readingOrder="0" vertical="bottom"/>
    </xf>
    <xf borderId="0" fillId="0" fontId="2" numFmtId="165" xfId="0" applyFont="1" applyNumberFormat="1"/>
    <xf borderId="0" fillId="0" fontId="6" numFmtId="0" xfId="0" applyAlignment="1" applyFont="1">
      <alignment vertical="bottom"/>
    </xf>
    <xf borderId="0" fillId="0" fontId="6" numFmtId="0" xfId="0" applyAlignment="1" applyFont="1">
      <alignment horizontal="right" readingOrder="0" vertical="bottom"/>
    </xf>
    <xf borderId="0" fillId="0" fontId="2" numFmtId="49" xfId="0" applyAlignment="1" applyFont="1" applyNumberFormat="1">
      <alignment horizontal="right" readingOrder="0"/>
    </xf>
    <xf borderId="0" fillId="5" fontId="2" numFmtId="0" xfId="0" applyAlignment="1" applyFill="1" applyFont="1">
      <alignment readingOrder="0" shrinkToFit="0" vertical="top" wrapText="1"/>
    </xf>
    <xf borderId="0" fillId="0" fontId="3" numFmtId="0" xfId="0" applyAlignment="1" applyFont="1">
      <alignment vertical="bottom"/>
    </xf>
    <xf borderId="0" fillId="0" fontId="6" numFmtId="10" xfId="0" applyAlignment="1" applyFont="1" applyNumberFormat="1">
      <alignment vertical="bottom"/>
    </xf>
    <xf borderId="0" fillId="0" fontId="3" numFmtId="10" xfId="0" applyAlignment="1" applyFont="1" applyNumberFormat="1">
      <alignment vertical="bottom"/>
    </xf>
    <xf borderId="0" fillId="3" fontId="3" numFmtId="0" xfId="0" applyAlignment="1" applyFont="1">
      <alignment vertical="bottom"/>
    </xf>
    <xf borderId="0" fillId="0" fontId="6" numFmtId="0" xfId="0" applyAlignment="1" applyFont="1">
      <alignment vertical="bottom"/>
    </xf>
    <xf borderId="0" fillId="0" fontId="2" numFmtId="0" xfId="0" applyAlignment="1" applyFont="1">
      <alignment horizontal="left" readingOrder="0"/>
    </xf>
    <xf borderId="0" fillId="0" fontId="2" numFmtId="49" xfId="0" applyFont="1" applyNumberFormat="1"/>
    <xf borderId="0" fillId="0" fontId="3" numFmtId="10" xfId="0" applyAlignment="1" applyFont="1" applyNumberFormat="1">
      <alignment horizontal="right" vertical="bottom"/>
    </xf>
    <xf borderId="0" fillId="0" fontId="3" numFmtId="165" xfId="0" applyAlignment="1" applyFont="1" applyNumberFormat="1">
      <alignment horizontal="right" vertical="bottom"/>
    </xf>
    <xf borderId="0" fillId="6" fontId="3" numFmtId="0" xfId="0" applyAlignment="1" applyFill="1" applyFont="1">
      <alignment horizontal="right" readingOrder="0" vertical="bottom"/>
    </xf>
    <xf borderId="0" fillId="6" fontId="2" numFmtId="0" xfId="0" applyAlignment="1" applyFont="1">
      <alignment readingOrder="0" shrinkToFit="0" vertical="top" wrapText="1"/>
    </xf>
    <xf borderId="0" fillId="0" fontId="6" numFmtId="0" xfId="0" applyAlignment="1" applyFont="1">
      <alignment readingOrder="0" vertical="bottom"/>
    </xf>
    <xf borderId="0" fillId="0" fontId="6" numFmtId="165" xfId="0" applyAlignment="1" applyFont="1" applyNumberFormat="1">
      <alignment horizontal="right" vertical="bottom"/>
    </xf>
    <xf borderId="0" fillId="0" fontId="6" numFmtId="10" xfId="0" applyAlignment="1" applyFont="1" applyNumberFormat="1">
      <alignment readingOrder="0" vertical="bottom"/>
    </xf>
    <xf borderId="0" fillId="0" fontId="6" numFmtId="10" xfId="0" applyAlignment="1" applyFont="1" applyNumberFormat="1">
      <alignment horizontal="right" vertical="bottom"/>
    </xf>
    <xf borderId="0" fillId="7" fontId="6" numFmtId="165" xfId="0" applyAlignment="1" applyFill="1" applyFont="1" applyNumberFormat="1">
      <alignment horizontal="right" vertical="bottom"/>
    </xf>
    <xf borderId="0" fillId="0" fontId="6" numFmtId="10" xfId="0" applyAlignment="1" applyFont="1" applyNumberFormat="1">
      <alignment shrinkToFit="0" vertical="bottom" wrapText="1"/>
    </xf>
    <xf borderId="0" fillId="0" fontId="6" numFmtId="10" xfId="0" applyAlignment="1" applyFont="1" applyNumberFormat="1">
      <alignment horizontal="right" readingOrder="0" vertical="bottom"/>
    </xf>
    <xf borderId="0" fillId="7" fontId="2" numFmtId="0" xfId="0" applyAlignment="1" applyFont="1">
      <alignment readingOrder="0" shrinkToFit="0" vertical="top" wrapText="1"/>
    </xf>
    <xf borderId="0" fillId="0" fontId="6" numFmtId="0" xfId="0" applyAlignment="1" applyFont="1">
      <alignment shrinkToFit="0" vertical="bottom" wrapText="1"/>
    </xf>
    <xf borderId="1" fillId="0" fontId="6" numFmtId="10" xfId="0" applyAlignment="1" applyBorder="1" applyFont="1" applyNumberFormat="1">
      <alignment shrinkToFit="0" vertical="bottom" wrapText="1"/>
    </xf>
    <xf borderId="2" fillId="0" fontId="7" numFmtId="0" xfId="0" applyBorder="1" applyFont="1"/>
    <xf borderId="3" fillId="0" fontId="7" numFmtId="0" xfId="0" applyBorder="1" applyFont="1"/>
    <xf borderId="4" fillId="0" fontId="7" numFmtId="0" xfId="0" applyBorder="1" applyFont="1"/>
    <xf borderId="1" fillId="0" fontId="6" numFmtId="10" xfId="0" applyAlignment="1" applyBorder="1" applyFont="1" applyNumberFormat="1">
      <alignment vertical="bottom"/>
    </xf>
    <xf borderId="1" fillId="0" fontId="6" numFmtId="0" xfId="0" applyAlignment="1" applyBorder="1" applyFont="1">
      <alignment shrinkToFit="0" vertical="bottom" wrapText="1"/>
    </xf>
    <xf borderId="1" fillId="0" fontId="6"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ec.gov/ix?doc=/Archives/edgar/data/1018724/000101872423000004/amzn-20221231.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21.38"/>
    <col customWidth="1" min="3" max="3" width="14.88"/>
    <col customWidth="1" min="4" max="4" width="8.63"/>
    <col customWidth="1" min="5" max="5" width="24.25"/>
    <col customWidth="1" min="6" max="8" width="13.5"/>
    <col customWidth="1" min="9" max="9" width="12.25"/>
  </cols>
  <sheetData>
    <row r="2">
      <c r="B2" s="1" t="s">
        <v>0</v>
      </c>
      <c r="C2" s="2">
        <v>45107.0</v>
      </c>
      <c r="D2" s="2"/>
      <c r="E2" s="3"/>
      <c r="F2" s="4" t="s">
        <v>1</v>
      </c>
      <c r="G2" s="4" t="s">
        <v>2</v>
      </c>
      <c r="H2" s="5" t="s">
        <v>3</v>
      </c>
      <c r="M2" s="6"/>
      <c r="N2" s="6"/>
      <c r="O2" s="6"/>
      <c r="P2" s="1"/>
      <c r="Q2" s="1"/>
      <c r="R2" s="1"/>
      <c r="S2" s="1"/>
      <c r="T2" s="1"/>
      <c r="U2" s="1"/>
    </row>
    <row r="3">
      <c r="E3" s="7" t="s">
        <v>4</v>
      </c>
    </row>
    <row r="4">
      <c r="B4" s="8" t="s">
        <v>5</v>
      </c>
      <c r="C4" s="9">
        <v>127.9</v>
      </c>
      <c r="D4" s="9"/>
      <c r="E4" s="1" t="s">
        <v>6</v>
      </c>
      <c r="F4" s="10">
        <v>386064.0</v>
      </c>
      <c r="G4" s="10">
        <v>469822.0</v>
      </c>
      <c r="H4" s="10">
        <v>513983.0</v>
      </c>
    </row>
    <row r="5">
      <c r="B5" s="11" t="s">
        <v>7</v>
      </c>
      <c r="C5" s="10">
        <v>10260.0</v>
      </c>
      <c r="D5" s="10"/>
      <c r="E5" s="1" t="s">
        <v>8</v>
      </c>
      <c r="F5" s="10">
        <v>233307.0</v>
      </c>
      <c r="G5" s="10">
        <v>272344.0</v>
      </c>
      <c r="H5" s="10">
        <v>288831.0</v>
      </c>
    </row>
    <row r="6">
      <c r="B6" s="8" t="s">
        <v>9</v>
      </c>
      <c r="C6" s="12">
        <v>64410.0</v>
      </c>
      <c r="D6" s="12"/>
      <c r="E6" s="1" t="s">
        <v>10</v>
      </c>
      <c r="F6" s="13">
        <f t="shared" ref="F6:H6" si="1">(F4-F5)/F4</f>
        <v>0.3956779187</v>
      </c>
      <c r="G6" s="13">
        <f t="shared" si="1"/>
        <v>0.4203251444</v>
      </c>
      <c r="H6" s="13">
        <f t="shared" si="1"/>
        <v>0.4380533987</v>
      </c>
      <c r="I6" s="13"/>
      <c r="J6" s="13"/>
      <c r="K6" s="13"/>
      <c r="L6" s="13"/>
      <c r="M6" s="13"/>
    </row>
    <row r="7">
      <c r="B7" s="8" t="s">
        <v>11</v>
      </c>
      <c r="C7" s="10">
        <v>178550.0</v>
      </c>
      <c r="D7" s="10"/>
      <c r="E7" s="1" t="s">
        <v>12</v>
      </c>
      <c r="F7" s="14">
        <f t="shared" ref="F7:H7" si="2">F4-F5</f>
        <v>152757</v>
      </c>
      <c r="G7" s="14">
        <f t="shared" si="2"/>
        <v>197478</v>
      </c>
      <c r="H7" s="14">
        <f t="shared" si="2"/>
        <v>225152</v>
      </c>
    </row>
    <row r="8">
      <c r="B8" s="8"/>
      <c r="C8" s="10"/>
      <c r="D8" s="10"/>
      <c r="E8" s="1" t="s">
        <v>13</v>
      </c>
      <c r="F8" s="10">
        <v>58517.0</v>
      </c>
      <c r="G8" s="10">
        <v>75111.0</v>
      </c>
      <c r="H8" s="10">
        <v>84299.0</v>
      </c>
    </row>
    <row r="9">
      <c r="B9" s="8"/>
      <c r="E9" s="15" t="s">
        <v>14</v>
      </c>
      <c r="F9" s="16">
        <v>42740.0</v>
      </c>
      <c r="G9" s="16">
        <v>56052.0</v>
      </c>
      <c r="H9" s="16">
        <v>73213.0</v>
      </c>
      <c r="I9" s="17" t="s">
        <v>15</v>
      </c>
      <c r="K9" s="6"/>
      <c r="L9" s="6"/>
      <c r="M9" s="6"/>
    </row>
    <row r="10">
      <c r="B10" s="8" t="s">
        <v>16</v>
      </c>
      <c r="C10" s="18">
        <f>C4*C5</f>
        <v>1312254</v>
      </c>
      <c r="D10" s="18"/>
      <c r="E10" s="19" t="s">
        <v>17</v>
      </c>
      <c r="F10" s="14">
        <f>22008+6668</f>
        <v>28676</v>
      </c>
      <c r="G10" s="14">
        <f>32551+8823</f>
        <v>41374</v>
      </c>
      <c r="H10" s="14">
        <f>42238+11891</f>
        <v>54129</v>
      </c>
    </row>
    <row r="11">
      <c r="B11" s="20" t="s">
        <v>18</v>
      </c>
      <c r="C11" s="21">
        <f>C10+C7-C6</f>
        <v>1426394</v>
      </c>
      <c r="D11" s="22"/>
      <c r="E11" s="19" t="s">
        <v>19</v>
      </c>
      <c r="F11" s="23">
        <f t="shared" ref="F11:H11" si="3">F5+F8+F9+F10</f>
        <v>363240</v>
      </c>
      <c r="G11" s="23">
        <f t="shared" si="3"/>
        <v>444881</v>
      </c>
      <c r="H11" s="23">
        <f t="shared" si="3"/>
        <v>500472</v>
      </c>
    </row>
    <row r="12">
      <c r="B12" s="1" t="s">
        <v>20</v>
      </c>
      <c r="C12" s="24">
        <f>C4/H18</f>
        <v>-473.7037037</v>
      </c>
      <c r="D12" s="24"/>
      <c r="E12" s="19" t="s">
        <v>21</v>
      </c>
      <c r="F12" s="10">
        <v>22899.0</v>
      </c>
      <c r="G12" s="10">
        <v>24879.0</v>
      </c>
      <c r="H12" s="10">
        <v>12248.0</v>
      </c>
    </row>
    <row r="13">
      <c r="B13" s="15" t="s">
        <v>22</v>
      </c>
      <c r="C13" s="25">
        <f>C10/H4</f>
        <v>2.553107788</v>
      </c>
      <c r="D13" s="25"/>
      <c r="E13" s="19" t="s">
        <v>23</v>
      </c>
      <c r="F13" s="10">
        <v>555.0</v>
      </c>
      <c r="G13" s="10">
        <v>448.0</v>
      </c>
      <c r="H13" s="10">
        <v>989.0</v>
      </c>
    </row>
    <row r="14">
      <c r="B14" s="15" t="s">
        <v>24</v>
      </c>
      <c r="C14" s="25">
        <f>C10/C6</f>
        <v>20.37345133</v>
      </c>
      <c r="D14" s="25"/>
      <c r="E14" s="15" t="s">
        <v>25</v>
      </c>
      <c r="F14" s="10">
        <v>-1647.0</v>
      </c>
      <c r="G14" s="10">
        <v>-1809.0</v>
      </c>
      <c r="H14" s="10">
        <v>-2367.0</v>
      </c>
    </row>
    <row r="15">
      <c r="B15" s="15"/>
      <c r="C15" s="26"/>
      <c r="D15" s="26"/>
      <c r="E15" s="19" t="s">
        <v>26</v>
      </c>
      <c r="F15" s="10">
        <v>24178.0</v>
      </c>
      <c r="G15" s="10">
        <v>38151.0</v>
      </c>
      <c r="H15" s="27">
        <v>-5936.0</v>
      </c>
      <c r="I15" s="28" t="s">
        <v>27</v>
      </c>
      <c r="K15" s="28" t="s">
        <v>28</v>
      </c>
    </row>
    <row r="16">
      <c r="B16" s="15" t="s">
        <v>29</v>
      </c>
      <c r="C16" s="29">
        <f>C11/H4</f>
        <v>2.775177389</v>
      </c>
      <c r="D16" s="29"/>
      <c r="E16" s="19" t="s">
        <v>30</v>
      </c>
      <c r="F16" s="10">
        <v>-2863.0</v>
      </c>
      <c r="G16" s="10">
        <v>-4791.0</v>
      </c>
      <c r="H16" s="10">
        <v>3217.0</v>
      </c>
      <c r="I16" s="30"/>
      <c r="J16" s="30"/>
    </row>
    <row r="17">
      <c r="B17" s="15" t="s">
        <v>31</v>
      </c>
      <c r="C17" s="29">
        <f>C11/H15</f>
        <v>-240.2954852</v>
      </c>
      <c r="D17" s="29"/>
      <c r="E17" s="19" t="s">
        <v>32</v>
      </c>
      <c r="F17" s="10">
        <v>21331.0</v>
      </c>
      <c r="G17" s="10">
        <v>33264.0</v>
      </c>
      <c r="H17" s="10">
        <v>-2722.0</v>
      </c>
      <c r="I17" s="30"/>
      <c r="J17" s="30"/>
    </row>
    <row r="18">
      <c r="B18" s="19"/>
      <c r="E18" s="19" t="s">
        <v>33</v>
      </c>
      <c r="F18" s="10">
        <v>2.13</v>
      </c>
      <c r="G18" s="10">
        <v>3.3</v>
      </c>
      <c r="H18" s="10">
        <v>-0.27</v>
      </c>
      <c r="I18" s="30"/>
      <c r="J18" s="30"/>
    </row>
    <row r="19">
      <c r="B19" s="15" t="s">
        <v>34</v>
      </c>
      <c r="C19" s="26">
        <v>0.07</v>
      </c>
      <c r="D19" s="26"/>
      <c r="E19" s="19" t="s">
        <v>35</v>
      </c>
      <c r="F19" s="12">
        <v>10005.0</v>
      </c>
      <c r="G19" s="12">
        <v>10117.0</v>
      </c>
      <c r="H19" s="12">
        <v>10189.0</v>
      </c>
    </row>
    <row r="20">
      <c r="B20" s="15" t="s">
        <v>36</v>
      </c>
      <c r="C20" s="13">
        <f>F40</f>
        <v>0.1</v>
      </c>
      <c r="E20" s="31" t="s">
        <v>37</v>
      </c>
      <c r="F20" s="23" t="s">
        <v>38</v>
      </c>
      <c r="G20" s="13">
        <f t="shared" ref="G20:H20" si="4">(G4-F4)/F4</f>
        <v>0.2169536657</v>
      </c>
      <c r="H20" s="13">
        <f t="shared" si="4"/>
        <v>0.09399517264</v>
      </c>
    </row>
    <row r="21">
      <c r="B21" s="19" t="s">
        <v>39</v>
      </c>
      <c r="C21" s="32">
        <f t="array" ref="C21">NPV(C19,G38:G48)</f>
        <v>225385.1382</v>
      </c>
      <c r="E21" s="33"/>
    </row>
    <row r="22">
      <c r="B22" s="19" t="s">
        <v>40</v>
      </c>
      <c r="C22" s="32">
        <f>C21+C6-C7</f>
        <v>111245.1382</v>
      </c>
      <c r="E22" s="1" t="s">
        <v>41</v>
      </c>
      <c r="F22" s="23">
        <v>0.0</v>
      </c>
      <c r="G22" s="34">
        <v>0.0</v>
      </c>
      <c r="H22" s="34">
        <v>-6000.0</v>
      </c>
      <c r="I22" s="6"/>
    </row>
    <row r="23">
      <c r="B23" s="19" t="s">
        <v>35</v>
      </c>
      <c r="C23" s="14">
        <f>C5</f>
        <v>10260</v>
      </c>
      <c r="E23" s="5" t="s">
        <v>42</v>
      </c>
      <c r="F23" s="23">
        <v>-164.0</v>
      </c>
      <c r="G23" s="35" t="s">
        <v>43</v>
      </c>
      <c r="H23" s="23">
        <v>-822.0</v>
      </c>
    </row>
    <row r="24">
      <c r="B24" s="15" t="s">
        <v>44</v>
      </c>
      <c r="C24" s="32">
        <f>C22/C23</f>
        <v>10.84260606</v>
      </c>
      <c r="E24" s="5"/>
      <c r="F24" s="23"/>
      <c r="G24" s="35"/>
      <c r="H24" s="23"/>
      <c r="K24" s="36" t="s">
        <v>45</v>
      </c>
    </row>
    <row r="25">
      <c r="B25" s="37"/>
      <c r="C25" s="37"/>
      <c r="D25" s="37"/>
      <c r="E25" s="5" t="s">
        <v>46</v>
      </c>
      <c r="F25" s="35">
        <f>6797+10525</f>
        <v>17322</v>
      </c>
      <c r="G25" s="35">
        <f>7956+19003</f>
        <v>26959</v>
      </c>
      <c r="H25" s="23">
        <f>41553+21166</f>
        <v>62719</v>
      </c>
    </row>
    <row r="26">
      <c r="B26" s="31" t="s">
        <v>47</v>
      </c>
      <c r="C26" s="38">
        <f>(C24-C4)/C24</f>
        <v>-10.79605708</v>
      </c>
      <c r="D26" s="38"/>
      <c r="E26" s="5" t="s">
        <v>48</v>
      </c>
      <c r="F26" s="35">
        <f>-6177+-1553</f>
        <v>-7730</v>
      </c>
      <c r="G26" s="35">
        <f>-7753+-1590</f>
        <v>-9343</v>
      </c>
      <c r="H26" s="23">
        <f>-37554+-1258</f>
        <v>-38812</v>
      </c>
    </row>
    <row r="27">
      <c r="B27" s="31" t="s">
        <v>49</v>
      </c>
      <c r="C27" s="39">
        <f>H45</f>
        <v>0.1081039493</v>
      </c>
      <c r="D27" s="37"/>
      <c r="E27" s="5"/>
      <c r="F27" s="35"/>
      <c r="G27" s="35"/>
      <c r="H27" s="23"/>
    </row>
    <row r="28">
      <c r="B28" s="37"/>
      <c r="C28" s="37"/>
      <c r="D28" s="37"/>
      <c r="E28" s="1" t="s">
        <v>50</v>
      </c>
      <c r="F28" s="23">
        <v>66064.0</v>
      </c>
      <c r="G28" s="34">
        <v>46327.0</v>
      </c>
      <c r="H28" s="34">
        <v>46752.0</v>
      </c>
    </row>
    <row r="29">
      <c r="B29" s="37"/>
      <c r="C29" s="37"/>
      <c r="D29" s="37"/>
      <c r="E29" s="5" t="s">
        <v>51</v>
      </c>
      <c r="F29" s="23">
        <v>-59611.0</v>
      </c>
      <c r="G29" s="35" t="s">
        <v>52</v>
      </c>
      <c r="H29" s="23">
        <v>-37601.0</v>
      </c>
    </row>
    <row r="30">
      <c r="B30" s="37"/>
      <c r="C30" s="37"/>
      <c r="D30" s="37"/>
      <c r="E30" s="5" t="s">
        <v>53</v>
      </c>
      <c r="F30" s="23">
        <v>5967.0</v>
      </c>
      <c r="G30" s="35" t="s">
        <v>54</v>
      </c>
      <c r="H30" s="23">
        <v>17776.0</v>
      </c>
    </row>
    <row r="31">
      <c r="B31" s="37"/>
      <c r="C31" s="37"/>
      <c r="D31" s="37"/>
      <c r="E31" s="5"/>
      <c r="F31" s="35"/>
      <c r="G31" s="35"/>
      <c r="H31" s="23"/>
    </row>
    <row r="32">
      <c r="B32" s="40" t="s">
        <v>55</v>
      </c>
      <c r="C32" s="34" t="s">
        <v>56</v>
      </c>
      <c r="D32" s="41"/>
      <c r="E32" s="5" t="s">
        <v>57</v>
      </c>
      <c r="F32" s="35" t="s">
        <v>58</v>
      </c>
      <c r="G32" s="35" t="s">
        <v>59</v>
      </c>
      <c r="H32" s="23">
        <v>19621.0</v>
      </c>
    </row>
    <row r="33">
      <c r="B33" s="40"/>
      <c r="C33" s="41"/>
      <c r="D33" s="41"/>
      <c r="E33" s="42"/>
      <c r="F33" s="26"/>
      <c r="G33" s="43"/>
    </row>
    <row r="34">
      <c r="C34" s="26"/>
      <c r="D34" s="26"/>
      <c r="E34" s="37" t="s">
        <v>60</v>
      </c>
      <c r="F34" s="44" t="s">
        <v>61</v>
      </c>
      <c r="G34" s="45" t="s">
        <v>32</v>
      </c>
      <c r="H34" s="46" t="s">
        <v>62</v>
      </c>
      <c r="I34" s="47" t="s">
        <v>63</v>
      </c>
    </row>
    <row r="35">
      <c r="C35" s="26"/>
      <c r="D35" s="26"/>
      <c r="E35" s="48">
        <v>2020.0</v>
      </c>
      <c r="F35" s="34" t="s">
        <v>64</v>
      </c>
      <c r="G35" s="49">
        <f>F17</f>
        <v>21331</v>
      </c>
      <c r="H35" s="50">
        <v>0.0</v>
      </c>
    </row>
    <row r="36">
      <c r="B36" s="1" t="s">
        <v>65</v>
      </c>
      <c r="E36" s="41">
        <v>2021.0</v>
      </c>
      <c r="F36" s="51">
        <f>G20</f>
        <v>0.2169536657</v>
      </c>
      <c r="G36" s="52">
        <f>G17</f>
        <v>33264</v>
      </c>
      <c r="H36" s="50">
        <v>0.0</v>
      </c>
    </row>
    <row r="37">
      <c r="B37" s="10" t="s">
        <v>66</v>
      </c>
      <c r="C37" s="6"/>
      <c r="D37" s="39"/>
      <c r="E37" s="41">
        <v>2022.0</v>
      </c>
      <c r="F37" s="51">
        <f>H20</f>
        <v>0.09399517264</v>
      </c>
      <c r="G37" s="52">
        <f>H17</f>
        <v>-2722</v>
      </c>
      <c r="H37" s="50">
        <v>0.0</v>
      </c>
    </row>
    <row r="38">
      <c r="B38" s="10" t="s">
        <v>67</v>
      </c>
      <c r="C38" s="13"/>
      <c r="D38" s="53"/>
      <c r="E38" s="41">
        <v>2023.0</v>
      </c>
      <c r="F38" s="54">
        <v>0.1</v>
      </c>
      <c r="G38" s="49">
        <f>AVERAGE(G35:G37)*(1+F38)</f>
        <v>19020.1</v>
      </c>
      <c r="H38" s="38">
        <f>(F37 + F36)/2-F38</f>
        <v>0.05547441918</v>
      </c>
    </row>
    <row r="39">
      <c r="B39" s="10" t="s">
        <v>68</v>
      </c>
      <c r="C39" s="13"/>
      <c r="D39" s="53"/>
      <c r="E39" s="41">
        <v>2024.0</v>
      </c>
      <c r="F39" s="54">
        <v>0.1</v>
      </c>
      <c r="G39" s="49">
        <f t="shared" ref="G39:G48" si="5">G38*(1+F39)</f>
        <v>20922.11</v>
      </c>
      <c r="H39" s="38">
        <f t="shared" ref="H39:H48" si="6">H38 * (1+F38)</f>
        <v>0.06102186109</v>
      </c>
    </row>
    <row r="40">
      <c r="B40" s="10" t="s">
        <v>69</v>
      </c>
      <c r="C40" s="13"/>
      <c r="D40" s="38"/>
      <c r="E40" s="41">
        <v>2025.0</v>
      </c>
      <c r="F40" s="54">
        <v>0.1</v>
      </c>
      <c r="G40" s="49">
        <f t="shared" si="5"/>
        <v>23014.321</v>
      </c>
      <c r="H40" s="38">
        <f t="shared" si="6"/>
        <v>0.0671240472</v>
      </c>
    </row>
    <row r="41">
      <c r="B41" s="10" t="s">
        <v>70</v>
      </c>
      <c r="C41" s="13"/>
      <c r="D41" s="38"/>
      <c r="E41" s="33">
        <v>2026.0</v>
      </c>
      <c r="F41" s="54">
        <v>0.1</v>
      </c>
      <c r="G41" s="49">
        <f t="shared" si="5"/>
        <v>25315.7531</v>
      </c>
      <c r="H41" s="38">
        <f t="shared" si="6"/>
        <v>0.07383645192</v>
      </c>
      <c r="I41" s="55" t="s">
        <v>71</v>
      </c>
    </row>
    <row r="42">
      <c r="B42" s="10" t="s">
        <v>72</v>
      </c>
      <c r="C42" s="6"/>
      <c r="D42" s="56"/>
      <c r="E42" s="33">
        <v>2027.0</v>
      </c>
      <c r="F42" s="54">
        <v>0.1</v>
      </c>
      <c r="G42" s="49">
        <f t="shared" si="5"/>
        <v>27847.32841</v>
      </c>
      <c r="H42" s="38">
        <f t="shared" si="6"/>
        <v>0.08122009712</v>
      </c>
    </row>
    <row r="43">
      <c r="B43" s="1"/>
      <c r="C43" s="1"/>
      <c r="D43" s="56"/>
      <c r="E43" s="33">
        <v>2028.0</v>
      </c>
      <c r="F43" s="54">
        <v>0.1</v>
      </c>
      <c r="G43" s="49">
        <f t="shared" si="5"/>
        <v>30632.06125</v>
      </c>
      <c r="H43" s="38">
        <f t="shared" si="6"/>
        <v>0.08934210683</v>
      </c>
    </row>
    <row r="44">
      <c r="B44" s="8" t="s">
        <v>73</v>
      </c>
      <c r="D44" s="56"/>
      <c r="E44" s="33">
        <v>2029.0</v>
      </c>
      <c r="F44" s="54">
        <v>0.1</v>
      </c>
      <c r="G44" s="49">
        <f t="shared" si="5"/>
        <v>33695.26738</v>
      </c>
      <c r="H44" s="38">
        <f t="shared" si="6"/>
        <v>0.09827631751</v>
      </c>
    </row>
    <row r="45">
      <c r="B45" s="33" t="s">
        <v>74</v>
      </c>
      <c r="D45" s="56"/>
      <c r="E45" s="33">
        <v>2030.0</v>
      </c>
      <c r="F45" s="54">
        <v>0.1</v>
      </c>
      <c r="G45" s="49">
        <f t="shared" si="5"/>
        <v>37064.79411</v>
      </c>
      <c r="H45" s="38">
        <f t="shared" si="6"/>
        <v>0.1081039493</v>
      </c>
    </row>
    <row r="46">
      <c r="B46" s="33" t="s">
        <v>75</v>
      </c>
      <c r="D46" s="56"/>
      <c r="E46" s="10">
        <v>2031.0</v>
      </c>
      <c r="F46" s="54">
        <v>0.1</v>
      </c>
      <c r="G46" s="49">
        <f t="shared" si="5"/>
        <v>40771.27353</v>
      </c>
      <c r="H46" s="38">
        <f t="shared" si="6"/>
        <v>0.1189143442</v>
      </c>
    </row>
    <row r="47">
      <c r="B47" s="48" t="s">
        <v>76</v>
      </c>
      <c r="D47" s="56"/>
      <c r="E47" s="10">
        <v>2032.0</v>
      </c>
      <c r="F47" s="54">
        <v>0.1</v>
      </c>
      <c r="G47" s="49">
        <f t="shared" si="5"/>
        <v>44848.40088</v>
      </c>
      <c r="H47" s="38">
        <f t="shared" si="6"/>
        <v>0.1308057786</v>
      </c>
    </row>
    <row r="48">
      <c r="B48" s="10" t="s">
        <v>77</v>
      </c>
      <c r="D48" s="56"/>
      <c r="E48" s="10">
        <v>2033.0</v>
      </c>
      <c r="F48" s="54">
        <v>0.1</v>
      </c>
      <c r="G48" s="49">
        <f t="shared" si="5"/>
        <v>49333.24097</v>
      </c>
      <c r="H48" s="38">
        <f t="shared" si="6"/>
        <v>0.1438863565</v>
      </c>
    </row>
    <row r="49">
      <c r="B49" s="6"/>
      <c r="C49" s="6"/>
      <c r="D49" s="56"/>
    </row>
    <row r="50">
      <c r="B50" s="6"/>
      <c r="C50" s="6"/>
      <c r="D50" s="56"/>
    </row>
    <row r="51">
      <c r="B51" s="6"/>
      <c r="C51" s="6"/>
      <c r="D51" s="56"/>
    </row>
    <row r="54">
      <c r="B54" s="31" t="s">
        <v>78</v>
      </c>
    </row>
    <row r="55">
      <c r="B55" s="57" t="s">
        <v>79</v>
      </c>
      <c r="C55" s="58"/>
    </row>
    <row r="56">
      <c r="B56" s="59"/>
      <c r="C56" s="60"/>
    </row>
    <row r="57">
      <c r="B57" s="61" t="s">
        <v>80</v>
      </c>
      <c r="C57" s="58"/>
    </row>
    <row r="58">
      <c r="B58" s="59"/>
      <c r="C58" s="60"/>
    </row>
    <row r="59">
      <c r="B59" s="62" t="s">
        <v>81</v>
      </c>
      <c r="C59" s="58"/>
    </row>
    <row r="60">
      <c r="B60" s="59"/>
      <c r="C60" s="60"/>
    </row>
    <row r="61">
      <c r="B61" s="63" t="s">
        <v>82</v>
      </c>
      <c r="C61" s="58"/>
    </row>
    <row r="62">
      <c r="B62" s="59"/>
      <c r="C62" s="60"/>
    </row>
    <row r="63">
      <c r="B63" s="62" t="s">
        <v>83</v>
      </c>
      <c r="C63" s="58"/>
    </row>
    <row r="64">
      <c r="B64" s="59"/>
      <c r="C64" s="60"/>
    </row>
    <row r="65">
      <c r="B65" s="62" t="s">
        <v>84</v>
      </c>
      <c r="C65" s="58"/>
    </row>
    <row r="66">
      <c r="B66" s="59"/>
      <c r="C66" s="60"/>
    </row>
    <row r="67">
      <c r="B67" s="62" t="s">
        <v>85</v>
      </c>
      <c r="C67" s="58"/>
    </row>
    <row r="68">
      <c r="B68" s="59"/>
      <c r="C68" s="60"/>
    </row>
  </sheetData>
  <mergeCells count="20">
    <mergeCell ref="K15:N22"/>
    <mergeCell ref="K24:N26"/>
    <mergeCell ref="B55:C56"/>
    <mergeCell ref="B54:C54"/>
    <mergeCell ref="B57:C58"/>
    <mergeCell ref="B59:C60"/>
    <mergeCell ref="I9:J12"/>
    <mergeCell ref="I15:J15"/>
    <mergeCell ref="I41:K45"/>
    <mergeCell ref="I34:K39"/>
    <mergeCell ref="B36:C36"/>
    <mergeCell ref="B46:C46"/>
    <mergeCell ref="B47:C47"/>
    <mergeCell ref="B63:C64"/>
    <mergeCell ref="B65:C66"/>
    <mergeCell ref="B67:C68"/>
    <mergeCell ref="B61:C62"/>
    <mergeCell ref="B44:C44"/>
    <mergeCell ref="B45:C45"/>
    <mergeCell ref="B48:C48"/>
  </mergeCells>
  <hyperlinks>
    <hyperlink r:id="rId1" ref="E3"/>
  </hyperlinks>
  <drawing r:id="rId2"/>
</worksheet>
</file>