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<sst xmlns="http://schemas.openxmlformats.org/spreadsheetml/2006/main" count="86" uniqueCount="81">
  <si>
    <t>MRNA</t>
  </si>
  <si>
    <t>Moderna</t>
  </si>
  <si>
    <t>10-K SEC Filing</t>
  </si>
  <si>
    <t>Y19</t>
  </si>
  <si>
    <t>Y20</t>
  </si>
  <si>
    <t>Y21</t>
  </si>
  <si>
    <t>Y22</t>
  </si>
  <si>
    <t>Price</t>
  </si>
  <si>
    <t>Revenue</t>
  </si>
  <si>
    <t>Shares Outstanding</t>
  </si>
  <si>
    <t>Revenue Growth</t>
  </si>
  <si>
    <t>Cash</t>
  </si>
  <si>
    <t>COGS</t>
  </si>
  <si>
    <t>Debt</t>
  </si>
  <si>
    <t>Profit Margin</t>
  </si>
  <si>
    <t>Valueline (3-5 pt)</t>
  </si>
  <si>
    <t>$195 - $330</t>
  </si>
  <si>
    <t>Gross Profit</t>
  </si>
  <si>
    <t>Gross Profit Growth</t>
  </si>
  <si>
    <t>Market Cap</t>
  </si>
  <si>
    <t>R&amp;D</t>
  </si>
  <si>
    <t>EV</t>
  </si>
  <si>
    <t>SG&amp;A</t>
  </si>
  <si>
    <t>P/E</t>
  </si>
  <si>
    <t>Operating Expenses</t>
  </si>
  <si>
    <t>P/S</t>
  </si>
  <si>
    <t>Operating Income</t>
  </si>
  <si>
    <t>P/B</t>
  </si>
  <si>
    <t>Operating Margin</t>
  </si>
  <si>
    <t>EV / Revenue</t>
  </si>
  <si>
    <t>Interest Income</t>
  </si>
  <si>
    <t>EV / Pretax Income</t>
  </si>
  <si>
    <t>Other expense, net</t>
  </si>
  <si>
    <t>Pretax Income</t>
  </si>
  <si>
    <t>Discount (WAPM)</t>
  </si>
  <si>
    <t>Taxes</t>
  </si>
  <si>
    <t>Terminal Growth Rate</t>
  </si>
  <si>
    <t>Net Income</t>
  </si>
  <si>
    <t>NPV</t>
  </si>
  <si>
    <t>Net Income Growth</t>
  </si>
  <si>
    <t>NPV + Cash - Debt</t>
  </si>
  <si>
    <t>EPS</t>
  </si>
  <si>
    <t>Shares</t>
  </si>
  <si>
    <t>Expected Price</t>
  </si>
  <si>
    <t>Share Repurchase</t>
  </si>
  <si>
    <t>Price Margin</t>
  </si>
  <si>
    <t>Share Proceeds</t>
  </si>
  <si>
    <t>0</t>
  </si>
  <si>
    <t>Terminal Safety Margin</t>
  </si>
  <si>
    <t>Stock Based Comp</t>
  </si>
  <si>
    <t>81</t>
  </si>
  <si>
    <t>93</t>
  </si>
  <si>
    <t>Debt Issued</t>
  </si>
  <si>
    <t>Debt Repaid</t>
  </si>
  <si>
    <t>-6</t>
  </si>
  <si>
    <t>Operating Cash Flow</t>
  </si>
  <si>
    <t>Investing Cash Flow</t>
  </si>
  <si>
    <t>-1672</t>
  </si>
  <si>
    <t>Financing Cash Flow</t>
  </si>
  <si>
    <t>2033</t>
  </si>
  <si>
    <t>Net Cash Change</t>
  </si>
  <si>
    <t>2388</t>
  </si>
  <si>
    <t>Notes</t>
  </si>
  <si>
    <t>Year</t>
  </si>
  <si>
    <t>Growth Rate</t>
  </si>
  <si>
    <t>Safety Margin</t>
  </si>
  <si>
    <t>3,900 employees</t>
  </si>
  <si>
    <t>Founded in 2010 in Cambridge</t>
  </si>
  <si>
    <t>N/A</t>
  </si>
  <si>
    <t>Commercializes MRNA vaccines and therapeutics</t>
  </si>
  <si>
    <t>The market price of moderna almost implies that the market is expecting growth to decline.</t>
  </si>
  <si>
    <t>If this is NOT the case, we can apply this second-level thinking and recognize an opportunity if properly mispriced.</t>
  </si>
  <si>
    <t>Safety margin is a rough estimate using a lagged rate of revenue growth using measures of net income.</t>
  </si>
  <si>
    <t>Questions</t>
  </si>
  <si>
    <t>What are you doing, that your competitors aren't doing yet?</t>
  </si>
  <si>
    <t>What are the insiders doing?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</si>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</sst>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readingOrder="0" vertical="bottom"/>
    </xf>
    <xf borderId="2" fillId="3" fontId="3" numFmtId="0" xfId="0" applyAlignment="1" applyBorder="1" applyFont="1">
      <alignment horizontal="left" readingOrder="0" vertical="bottom"/>
    </xf>
    <xf borderId="2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vertical="bottom"/>
    </xf>
    <xf borderId="4" fillId="3" fontId="4" numFmtId="165" xfId="0" applyAlignment="1" applyBorder="1" applyFont="1" applyNumberFormat="1">
      <alignment readingOrder="0" vertical="bottom"/>
    </xf>
    <xf borderId="0" fillId="0" fontId="2" numFmtId="165" xfId="0" applyAlignment="1" applyFont="1" applyNumberFormat="1">
      <alignment readingOrder="0"/>
    </xf>
    <xf borderId="5" fillId="4" fontId="2" numFmtId="0" xfId="0" applyAlignment="1" applyBorder="1" applyFill="1" applyFont="1">
      <alignment readingOrder="0"/>
    </xf>
    <xf borderId="6" fillId="4" fontId="2" numFmtId="0" xfId="0" applyAlignment="1" applyBorder="1" applyFont="1">
      <alignment readingOrder="0"/>
    </xf>
    <xf borderId="7" fillId="4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8" fillId="3" fontId="4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9" fillId="4" fontId="2" numFmtId="10" xfId="0" applyAlignment="1" applyBorder="1" applyFont="1" applyNumberFormat="1">
      <alignment readingOrder="0"/>
    </xf>
    <xf borderId="0" fillId="4" fontId="2" numFmtId="10" xfId="0" applyAlignment="1" applyFont="1" applyNumberFormat="1">
      <alignment readingOrder="0"/>
    </xf>
    <xf borderId="10" fillId="4" fontId="2" numFmtId="10" xfId="0" applyAlignment="1" applyBorder="1" applyFont="1" applyNumberFormat="1">
      <alignment readingOrder="0"/>
    </xf>
    <xf borderId="8" fillId="3" fontId="4" numFmtId="0" xfId="0" applyAlignment="1" applyBorder="1" applyFont="1">
      <alignment readingOrder="0" shrinkToFit="0" vertical="bottom" wrapText="0"/>
    </xf>
    <xf borderId="9" fillId="4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10" fillId="4" fontId="2" numFmtId="0" xfId="0" applyAlignment="1" applyBorder="1" applyFont="1">
      <alignment readingOrder="0"/>
    </xf>
    <xf borderId="0" fillId="0" fontId="2" numFmtId="3" xfId="0" applyAlignment="1" applyFont="1" applyNumberFormat="1">
      <alignment readingOrder="0"/>
    </xf>
    <xf borderId="9" fillId="4" fontId="2" numFmtId="10" xfId="0" applyBorder="1" applyFont="1" applyNumberFormat="1"/>
    <xf borderId="0" fillId="4" fontId="2" numFmtId="10" xfId="0" applyFont="1" applyNumberFormat="1"/>
    <xf borderId="10" fillId="4" fontId="2" numFmtId="10" xfId="0" applyBorder="1" applyFont="1" applyNumberFormat="1"/>
    <xf borderId="0" fillId="0" fontId="2" numFmtId="10" xfId="0" applyFont="1" applyNumberFormat="1"/>
    <xf borderId="11" fillId="3" fontId="4" numFmtId="165" xfId="0" applyAlignment="1" applyBorder="1" applyFont="1" applyNumberFormat="1">
      <alignment horizontal="right" readingOrder="0" vertical="bottom"/>
    </xf>
    <xf borderId="9" fillId="4" fontId="2" numFmtId="0" xfId="0" applyBorder="1" applyFont="1"/>
    <xf borderId="0" fillId="4" fontId="2" numFmtId="0" xfId="0" applyFont="1"/>
    <xf borderId="10" fillId="4" fontId="2" numFmtId="0" xfId="0" applyBorder="1" applyFont="1"/>
    <xf borderId="0" fillId="0" fontId="4" numFmtId="165" xfId="0" applyAlignment="1" applyFont="1" applyNumberFormat="1">
      <alignment readingOrder="0" vertical="bottom"/>
    </xf>
    <xf borderId="4" fillId="5" fontId="4" numFmtId="165" xfId="0" applyAlignment="1" applyBorder="1" applyFill="1" applyFont="1" applyNumberFormat="1">
      <alignment vertical="bottom"/>
    </xf>
    <xf borderId="0" fillId="0" fontId="3" numFmtId="0" xfId="0" applyAlignment="1" applyFont="1">
      <alignment readingOrder="0" shrinkToFit="0" vertical="bottom" wrapText="1"/>
    </xf>
    <xf borderId="9" fillId="4" fontId="2" numFmtId="0" xfId="0" applyAlignment="1" applyBorder="1" applyFont="1">
      <alignment horizontal="right" readingOrder="0"/>
    </xf>
    <xf borderId="0" fillId="4" fontId="2" numFmtId="0" xfId="0" applyAlignment="1" applyFont="1">
      <alignment horizontal="right" readingOrder="0"/>
    </xf>
    <xf borderId="10" fillId="4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readingOrder="0"/>
    </xf>
    <xf borderId="8" fillId="5" fontId="4" numFmtId="165" xfId="0" applyAlignment="1" applyBorder="1" applyFont="1" applyNumberFormat="1">
      <alignment vertical="bottom"/>
    </xf>
    <xf borderId="0" fillId="0" fontId="2" numFmtId="4" xfId="0" applyFont="1" applyNumberFormat="1"/>
    <xf borderId="0" fillId="0" fontId="3" numFmtId="0" xfId="0" applyAlignment="1" applyFont="1">
      <alignment shrinkToFit="0" vertical="bottom" wrapText="1"/>
    </xf>
    <xf borderId="8" fillId="5" fontId="6" numFmtId="4" xfId="0" applyAlignment="1" applyBorder="1" applyFont="1" applyNumberFormat="1">
      <alignment horizontal="right" readingOrder="0"/>
    </xf>
    <xf borderId="0" fillId="0" fontId="2" numFmtId="0" xfId="0" applyAlignment="1" applyFont="1">
      <alignment horizontal="right"/>
    </xf>
    <xf borderId="10" fillId="4" fontId="2" numFmtId="0" xfId="0" applyAlignment="1" applyBorder="1" applyFont="1">
      <alignment horizontal="right" readingOrder="0"/>
    </xf>
    <xf borderId="8" fillId="5" fontId="2" numFmtId="4" xfId="0" applyAlignment="1" applyBorder="1" applyFont="1" applyNumberFormat="1">
      <alignment readingOrder="0"/>
    </xf>
    <xf borderId="0" fillId="0" fontId="2" numFmtId="4" xfId="0" applyAlignment="1" applyFont="1" applyNumberFormat="1">
      <alignment readingOrder="0"/>
    </xf>
    <xf borderId="8" fillId="5" fontId="4" numFmtId="4" xfId="0" applyAlignment="1" applyBorder="1" applyFont="1" applyNumberFormat="1">
      <alignment readingOrder="0" shrinkToFit="0" vertical="bottom" wrapText="1"/>
    </xf>
    <xf borderId="0" fillId="0" fontId="2" numFmtId="2" xfId="0" applyAlignment="1" applyFont="1" applyNumberFormat="1">
      <alignment horizontal="right" readingOrder="0"/>
    </xf>
    <xf borderId="11" fillId="5" fontId="4" numFmtId="4" xfId="0" applyAlignment="1" applyBorder="1" applyFont="1" applyNumberFormat="1">
      <alignment readingOrder="0" shrinkToFit="0" vertical="bottom" wrapText="1"/>
    </xf>
    <xf borderId="0" fillId="0" fontId="2" numFmtId="10" xfId="0" applyAlignment="1" applyFont="1" applyNumberFormat="1">
      <alignment readingOrder="0"/>
    </xf>
    <xf borderId="4" fillId="4" fontId="4" numFmtId="10" xfId="0" applyAlignment="1" applyBorder="1" applyFont="1" applyNumberFormat="1">
      <alignment readingOrder="0" shrinkToFit="0" vertical="bottom" wrapText="1"/>
    </xf>
    <xf borderId="0" fillId="0" fontId="2" numFmtId="2" xfId="0" applyFont="1" applyNumberFormat="1"/>
    <xf borderId="8" fillId="4" fontId="4" numFmtId="10" xfId="0" applyAlignment="1" applyBorder="1" applyFont="1" applyNumberFormat="1">
      <alignment readingOrder="0" shrinkToFit="0" vertical="bottom" wrapText="1"/>
    </xf>
    <xf borderId="8" fillId="4" fontId="4" numFmtId="165" xfId="0" applyAlignment="1" applyBorder="1" applyFont="1" applyNumberFormat="1">
      <alignment shrinkToFit="0" vertical="bottom" wrapText="1"/>
    </xf>
    <xf borderId="8" fillId="4" fontId="4" numFmtId="165" xfId="0" applyAlignment="1" applyBorder="1" applyFont="1" applyNumberFormat="1">
      <alignment readingOrder="0" shrinkToFit="0" vertical="bottom" wrapText="1"/>
    </xf>
    <xf borderId="8" fillId="4" fontId="4" numFmtId="0" xfId="0" applyAlignment="1" applyBorder="1" applyFont="1">
      <alignment readingOrder="0" shrinkToFit="0" vertical="bottom" wrapText="1"/>
    </xf>
    <xf borderId="12" fillId="4" fontId="2" numFmtId="3" xfId="0" applyAlignment="1" applyBorder="1" applyFont="1" applyNumberFormat="1">
      <alignment readingOrder="0"/>
    </xf>
    <xf borderId="13" fillId="4" fontId="2" numFmtId="3" xfId="0" applyAlignment="1" applyBorder="1" applyFont="1" applyNumberFormat="1">
      <alignment readingOrder="0"/>
    </xf>
    <xf borderId="14" fillId="4" fontId="2" numFmtId="0" xfId="0" applyAlignment="1" applyBorder="1" applyFont="1">
      <alignment readingOrder="0"/>
    </xf>
    <xf borderId="11" fillId="4" fontId="4" numFmtId="165" xfId="0" applyAlignment="1" applyBorder="1" applyFont="1" applyNumberFormat="1">
      <alignment shrinkToFit="0" vertical="bottom" wrapText="1"/>
    </xf>
    <xf borderId="0" fillId="0" fontId="2" numFmtId="0" xfId="0" applyAlignment="1" applyFont="1">
      <alignment horizontal="right" readingOrder="0"/>
    </xf>
    <xf borderId="5" fillId="6" fontId="2" numFmtId="0" xfId="0" applyAlignment="1" applyBorder="1" applyFill="1" applyFont="1">
      <alignment horizontal="right" readingOrder="0"/>
    </xf>
    <xf borderId="6" fillId="6" fontId="4" numFmtId="0" xfId="0" applyAlignment="1" applyBorder="1" applyFont="1">
      <alignment horizontal="right" readingOrder="0" vertical="bottom"/>
    </xf>
    <xf borderId="7" fillId="6" fontId="2" numFmtId="0" xfId="0" applyAlignment="1" applyBorder="1" applyFont="1">
      <alignment readingOrder="0"/>
    </xf>
    <xf borderId="4" fillId="7" fontId="4" numFmtId="10" xfId="0" applyAlignment="1" applyBorder="1" applyFill="1" applyFont="1" applyNumberFormat="1">
      <alignment shrinkToFit="0" vertical="bottom" wrapText="1"/>
    </xf>
    <xf borderId="0" fillId="0" fontId="1" numFmtId="0" xfId="0" applyAlignment="1" applyFont="1">
      <alignment horizontal="left" readingOrder="0"/>
    </xf>
    <xf borderId="9" fillId="6" fontId="2" numFmtId="0" xfId="0" applyAlignment="1" applyBorder="1" applyFont="1">
      <alignment horizontal="right" readingOrder="0"/>
    </xf>
    <xf borderId="0" fillId="6" fontId="2" numFmtId="49" xfId="0" applyAlignment="1" applyFont="1" applyNumberFormat="1">
      <alignment horizontal="right" readingOrder="0"/>
    </xf>
    <xf borderId="0" fillId="6" fontId="2" numFmtId="0" xfId="0" applyAlignment="1" applyFont="1">
      <alignment horizontal="right" readingOrder="0"/>
    </xf>
    <xf borderId="10" fillId="6" fontId="2" numFmtId="0" xfId="0" applyAlignment="1" applyBorder="1" applyFont="1">
      <alignment readingOrder="0"/>
    </xf>
    <xf borderId="11" fillId="7" fontId="4" numFmtId="10" xfId="0" applyAlignment="1" applyBorder="1" applyFont="1" applyNumberFormat="1">
      <alignment readingOrder="0" shrinkToFit="0" vertical="bottom" wrapText="1"/>
    </xf>
    <xf borderId="9" fillId="6" fontId="4" numFmtId="49" xfId="0" applyAlignment="1" applyBorder="1" applyFont="1" applyNumberFormat="1">
      <alignment horizontal="right" readingOrder="0" vertical="bottom"/>
    </xf>
    <xf borderId="0" fillId="6" fontId="4" numFmtId="49" xfId="0" applyAlignment="1" applyFont="1" applyNumberFormat="1">
      <alignment horizontal="right" readingOrder="0" vertical="bottom"/>
    </xf>
    <xf borderId="0" fillId="6" fontId="4" numFmtId="0" xfId="0" applyAlignment="1" applyFont="1">
      <alignment horizontal="right" readingOrder="0" vertical="bottom"/>
    </xf>
    <xf borderId="10" fillId="6" fontId="4" numFmtId="0" xfId="0" applyAlignment="1" applyBorder="1" applyFont="1">
      <alignment horizontal="right" readingOrder="0" vertical="bottom"/>
    </xf>
    <xf borderId="9" fillId="6" fontId="2" numFmtId="49" xfId="0" applyAlignment="1" applyBorder="1" applyFont="1" applyNumberFormat="1">
      <alignment horizontal="right" readingOrder="0"/>
    </xf>
    <xf borderId="0" fillId="0" fontId="4" numFmtId="10" xfId="0" applyAlignment="1" applyFont="1" applyNumberFormat="1">
      <alignment vertical="bottom"/>
    </xf>
    <xf borderId="12" fillId="6" fontId="2" numFmtId="49" xfId="0" applyAlignment="1" applyBorder="1" applyFont="1" applyNumberFormat="1">
      <alignment horizontal="right" readingOrder="0"/>
    </xf>
    <xf borderId="13" fillId="6" fontId="2" numFmtId="49" xfId="0" applyAlignment="1" applyBorder="1" applyFont="1" applyNumberFormat="1">
      <alignment horizontal="right" readingOrder="0"/>
    </xf>
    <xf borderId="13" fillId="6" fontId="2" numFmtId="0" xfId="0" applyAlignment="1" applyBorder="1" applyFont="1">
      <alignment horizontal="right" readingOrder="0"/>
    </xf>
    <xf borderId="14" fillId="6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horizontal="right" readingOrder="0"/>
    </xf>
    <xf borderId="5" fillId="8" fontId="2" numFmtId="0" xfId="0" applyAlignment="1" applyBorder="1" applyFill="1" applyFont="1">
      <alignment horizontal="right" readingOrder="0"/>
    </xf>
    <xf borderId="6" fillId="8" fontId="4" numFmtId="0" xfId="0" applyAlignment="1" applyBorder="1" applyFont="1">
      <alignment horizontal="right" readingOrder="0" vertical="bottom"/>
    </xf>
    <xf borderId="7" fillId="8" fontId="2" numFmtId="0" xfId="0" applyAlignment="1" applyBorder="1" applyFont="1">
      <alignment readingOrder="0"/>
    </xf>
    <xf borderId="9" fillId="8" fontId="2" numFmtId="0" xfId="0" applyAlignment="1" applyBorder="1" applyFont="1">
      <alignment horizontal="right" readingOrder="0"/>
    </xf>
    <xf borderId="0" fillId="8" fontId="2" numFmtId="49" xfId="0" applyAlignment="1" applyFont="1" applyNumberFormat="1">
      <alignment horizontal="right" readingOrder="0"/>
    </xf>
    <xf borderId="0" fillId="8" fontId="2" numFmtId="0" xfId="0" applyAlignment="1" applyFont="1">
      <alignment horizontal="right" readingOrder="0"/>
    </xf>
    <xf borderId="10" fillId="8" fontId="2" numFmtId="0" xfId="0" applyAlignment="1" applyBorder="1" applyFont="1">
      <alignment readingOrder="0"/>
    </xf>
    <xf borderId="12" fillId="8" fontId="2" numFmtId="0" xfId="0" applyAlignment="1" applyBorder="1" applyFont="1">
      <alignment horizontal="right" readingOrder="0"/>
    </xf>
    <xf borderId="13" fillId="8" fontId="2" numFmtId="49" xfId="0" applyAlignment="1" applyBorder="1" applyFont="1" applyNumberFormat="1">
      <alignment horizontal="right" readingOrder="0"/>
    </xf>
    <xf borderId="13" fillId="8" fontId="2" numFmtId="0" xfId="0" applyAlignment="1" applyBorder="1" applyFont="1">
      <alignment horizontal="right" readingOrder="0"/>
    </xf>
    <xf borderId="14" fillId="8" fontId="2" numFmtId="0" xfId="0" applyAlignment="1" applyBorder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/>
    </xf>
    <xf borderId="0" fillId="0" fontId="2" numFmtId="49" xfId="0" applyFont="1" applyNumberFormat="1"/>
    <xf borderId="0" fillId="2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10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9" fontId="3" numFmtId="0" xfId="0" applyAlignment="1" applyFill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5" fillId="5" fontId="4" numFmtId="0" xfId="0" applyAlignment="1" applyBorder="1" applyFont="1">
      <alignment horizontal="right" readingOrder="0" vertical="bottom"/>
    </xf>
    <xf borderId="6" fillId="5" fontId="4" numFmtId="165" xfId="0" applyAlignment="1" applyBorder="1" applyFont="1" applyNumberFormat="1">
      <alignment horizontal="right" vertical="bottom"/>
    </xf>
    <xf borderId="7" fillId="5" fontId="4" numFmtId="10" xfId="0" applyAlignment="1" applyBorder="1" applyFont="1" applyNumberFormat="1">
      <alignment readingOrder="0" vertical="bottom"/>
    </xf>
    <xf borderId="9" fillId="5" fontId="4" numFmtId="10" xfId="0" applyAlignment="1" applyBorder="1" applyFont="1" applyNumberFormat="1">
      <alignment horizontal="right" vertical="bottom"/>
    </xf>
    <xf borderId="0" fillId="5" fontId="4" numFmtId="165" xfId="0" applyAlignment="1" applyFont="1" applyNumberFormat="1">
      <alignment horizontal="right" vertical="bottom"/>
    </xf>
    <xf borderId="10" fillId="5" fontId="4" numFmtId="10" xfId="0" applyAlignment="1" applyBorder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vertical="bottom"/>
    </xf>
    <xf borderId="10" fillId="5" fontId="4" numFmtId="10" xfId="0" applyAlignment="1" applyBorder="1" applyFont="1" applyNumberFormat="1">
      <alignment vertical="bottom"/>
    </xf>
    <xf borderId="9" fillId="5" fontId="4" numFmtId="10" xfId="0" applyAlignment="1" applyBorder="1" applyFont="1" applyNumberForma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9" fontId="2" numFmtId="0" xfId="0" applyAlignment="1" applyFont="1">
      <alignment readingOrder="0" shrinkToFit="0" vertical="top" wrapText="1"/>
    </xf>
    <xf borderId="12" fillId="5" fontId="4" numFmtId="10" xfId="0" applyAlignment="1" applyBorder="1" applyFont="1" applyNumberFormat="1">
      <alignment horizontal="right" readingOrder="0" vertical="bottom"/>
    </xf>
    <xf borderId="13" fillId="5" fontId="4" numFmtId="165" xfId="0" applyAlignment="1" applyBorder="1" applyFont="1" applyNumberFormat="1">
      <alignment horizontal="right" vertical="bottom"/>
    </xf>
    <xf borderId="14" fillId="5" fontId="4" numFmtId="10" xfId="0" applyAlignment="1" applyBorder="1" applyFont="1" applyNumberFormat="1">
      <alignment vertical="bottom"/>
    </xf>
    <xf borderId="0" fillId="0" fontId="4" numFmtId="10" xfId="0" applyAlignment="1" applyFont="1" applyNumberFormat="1">
      <alignment horizontal="right" readingOrder="0" vertical="bottom"/>
    </xf>
    <xf borderId="0" fillId="0" fontId="4" numFmtId="10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4.0"/>
    <col customWidth="1" min="3" max="3" width="7.88"/>
    <col customWidth="1" min="4" max="4" width="24.63"/>
    <col customWidth="1" min="5" max="7" width="13.5"/>
    <col customWidth="1" min="8" max="8" width="12.25"/>
  </cols>
  <sheetData>
    <row r="1">
      <c r="A1" s="1" t="s">
        <v>0</v>
      </c>
      <c r="B1" s="2">
        <v>45108.0</v>
      </c>
    </row>
    <row r="2">
      <c r="A2" s="1" t="s">
        <v>1</v>
      </c>
      <c r="B2" s="3" t="s">
        <v>2</v>
      </c>
      <c r="C2" s="4"/>
      <c r="D2" s="5"/>
      <c r="E2" s="6" t="s">
        <v>3</v>
      </c>
      <c r="F2" s="7" t="s">
        <v>4</v>
      </c>
      <c r="G2" s="8" t="s">
        <v>5</v>
      </c>
      <c r="H2" s="9" t="s">
        <v>6</v>
      </c>
      <c r="I2" s="10"/>
      <c r="J2" s="10"/>
      <c r="K2" s="11"/>
      <c r="L2" s="11"/>
      <c r="M2" s="11"/>
      <c r="N2" s="12"/>
      <c r="O2" s="11"/>
      <c r="P2" s="11"/>
      <c r="Q2" s="11"/>
      <c r="R2" s="11"/>
      <c r="S2" s="11"/>
      <c r="T2" s="11"/>
    </row>
    <row r="3">
      <c r="A3" s="13"/>
      <c r="B3" s="11"/>
      <c r="C3" s="14"/>
      <c r="D3" s="5"/>
      <c r="I3" s="10"/>
      <c r="J3" s="10"/>
    </row>
    <row r="4">
      <c r="A4" s="15" t="s">
        <v>7</v>
      </c>
      <c r="B4" s="16">
        <v>121.5</v>
      </c>
      <c r="C4" s="17"/>
      <c r="D4" s="11" t="s">
        <v>8</v>
      </c>
      <c r="E4" s="18">
        <v>60.0</v>
      </c>
      <c r="F4" s="19">
        <v>803.0</v>
      </c>
      <c r="G4" s="19">
        <v>18471.0</v>
      </c>
      <c r="H4" s="20">
        <v>19263.0</v>
      </c>
      <c r="I4" s="10"/>
      <c r="J4" s="10"/>
    </row>
    <row r="5">
      <c r="A5" s="21" t="s">
        <v>9</v>
      </c>
      <c r="B5" s="22">
        <v>381.0</v>
      </c>
      <c r="C5" s="17"/>
      <c r="D5" s="23" t="s">
        <v>10</v>
      </c>
      <c r="E5" s="24">
        <v>0.0</v>
      </c>
      <c r="F5" s="25">
        <f t="shared" ref="F5:H5" si="1">(F4-E4)/E4</f>
        <v>12.38333333</v>
      </c>
      <c r="G5" s="25">
        <f t="shared" si="1"/>
        <v>22.00249066</v>
      </c>
      <c r="H5" s="26">
        <f t="shared" si="1"/>
        <v>0.04287802501</v>
      </c>
      <c r="I5" s="10"/>
      <c r="J5" s="10"/>
    </row>
    <row r="6">
      <c r="A6" s="15" t="s">
        <v>11</v>
      </c>
      <c r="B6" s="27">
        <v>8920.0</v>
      </c>
      <c r="D6" s="11" t="s">
        <v>12</v>
      </c>
      <c r="E6" s="28">
        <v>0.0</v>
      </c>
      <c r="F6" s="29">
        <v>8.0</v>
      </c>
      <c r="G6" s="29">
        <v>2617.0</v>
      </c>
      <c r="H6" s="30">
        <v>5416.0</v>
      </c>
      <c r="I6" s="10"/>
      <c r="J6" s="10"/>
    </row>
    <row r="7">
      <c r="A7" s="15" t="s">
        <v>13</v>
      </c>
      <c r="B7" s="22">
        <v>1110.0</v>
      </c>
      <c r="C7" s="31"/>
      <c r="D7" s="11" t="s">
        <v>14</v>
      </c>
      <c r="E7" s="32">
        <f t="shared" ref="E7:H7" si="2">(E4-E6)/E4</f>
        <v>1</v>
      </c>
      <c r="F7" s="33">
        <f t="shared" si="2"/>
        <v>0.9900373599</v>
      </c>
      <c r="G7" s="33">
        <f t="shared" si="2"/>
        <v>0.8583184451</v>
      </c>
      <c r="H7" s="34">
        <f t="shared" si="2"/>
        <v>0.7188392255</v>
      </c>
      <c r="I7" s="35"/>
      <c r="J7" s="35"/>
      <c r="K7" s="35"/>
      <c r="L7" s="35"/>
    </row>
    <row r="8">
      <c r="A8" s="13" t="s">
        <v>15</v>
      </c>
      <c r="B8" s="36" t="s">
        <v>16</v>
      </c>
      <c r="D8" s="11" t="s">
        <v>17</v>
      </c>
      <c r="E8" s="37">
        <f t="shared" ref="E8:H8" si="3">E4-E6</f>
        <v>60</v>
      </c>
      <c r="F8" s="38">
        <f t="shared" si="3"/>
        <v>795</v>
      </c>
      <c r="G8" s="38">
        <f t="shared" si="3"/>
        <v>15854</v>
      </c>
      <c r="H8" s="39">
        <f t="shared" si="3"/>
        <v>13847</v>
      </c>
    </row>
    <row r="9">
      <c r="A9" s="13"/>
      <c r="B9" s="40"/>
      <c r="D9" s="11" t="s">
        <v>18</v>
      </c>
      <c r="E9" s="24">
        <v>0.0</v>
      </c>
      <c r="F9" s="33">
        <f t="shared" ref="F9:H9" si="4">(F8-E8)/E8</f>
        <v>12.25</v>
      </c>
      <c r="G9" s="33">
        <f t="shared" si="4"/>
        <v>18.94213836</v>
      </c>
      <c r="H9" s="34">
        <f t="shared" si="4"/>
        <v>-0.126592658</v>
      </c>
    </row>
    <row r="10">
      <c r="A10" s="15" t="s">
        <v>19</v>
      </c>
      <c r="B10" s="41">
        <f>B4*B5</f>
        <v>46291.5</v>
      </c>
      <c r="D10" s="42" t="s">
        <v>20</v>
      </c>
      <c r="E10" s="43">
        <v>496.0</v>
      </c>
      <c r="F10" s="44">
        <v>1370.0</v>
      </c>
      <c r="G10" s="44">
        <v>1991.0</v>
      </c>
      <c r="H10" s="45">
        <v>3295.0</v>
      </c>
      <c r="I10" s="46"/>
    </row>
    <row r="11">
      <c r="A11" s="47" t="s">
        <v>21</v>
      </c>
      <c r="B11" s="48">
        <f>B10-B6+B7</f>
        <v>38481.5</v>
      </c>
      <c r="C11" s="49"/>
      <c r="D11" s="50" t="s">
        <v>22</v>
      </c>
      <c r="E11" s="28">
        <v>110.0</v>
      </c>
      <c r="F11" s="29">
        <v>188.0</v>
      </c>
      <c r="G11" s="29">
        <v>567.0</v>
      </c>
      <c r="H11" s="45">
        <v>1132.0</v>
      </c>
      <c r="I11" s="46"/>
    </row>
    <row r="12">
      <c r="A12" s="11" t="s">
        <v>23</v>
      </c>
      <c r="B12" s="51">
        <f>B10/H19</f>
        <v>5.640489826</v>
      </c>
      <c r="C12" s="52"/>
      <c r="D12" s="50" t="s">
        <v>24</v>
      </c>
      <c r="E12" s="43">
        <f t="shared" ref="E12:H12" si="5">E6+E10+E11</f>
        <v>606</v>
      </c>
      <c r="F12" s="44">
        <f t="shared" si="5"/>
        <v>1566</v>
      </c>
      <c r="G12" s="44">
        <f t="shared" si="5"/>
        <v>5175</v>
      </c>
      <c r="H12" s="53">
        <f t="shared" si="5"/>
        <v>9843</v>
      </c>
      <c r="I12" s="46"/>
    </row>
    <row r="13">
      <c r="A13" s="42" t="s">
        <v>25</v>
      </c>
      <c r="B13" s="54">
        <f>B10/H4</f>
        <v>2.403130354</v>
      </c>
      <c r="C13" s="55"/>
      <c r="D13" s="50" t="s">
        <v>26</v>
      </c>
      <c r="E13" s="37">
        <f t="shared" ref="E13:H13" si="6">E4-E12</f>
        <v>-546</v>
      </c>
      <c r="F13" s="38">
        <f t="shared" si="6"/>
        <v>-763</v>
      </c>
      <c r="G13" s="38">
        <f t="shared" si="6"/>
        <v>13296</v>
      </c>
      <c r="H13" s="45">
        <f t="shared" si="6"/>
        <v>9420</v>
      </c>
      <c r="I13" s="46"/>
    </row>
    <row r="14">
      <c r="A14" s="42" t="s">
        <v>27</v>
      </c>
      <c r="B14" s="56">
        <f>B10/B6</f>
        <v>5.189630045</v>
      </c>
      <c r="C14" s="57"/>
      <c r="D14" s="42" t="s">
        <v>28</v>
      </c>
      <c r="E14" s="32">
        <f t="shared" ref="E14:H14" si="7">E13/E4</f>
        <v>-9.1</v>
      </c>
      <c r="F14" s="33">
        <f t="shared" si="7"/>
        <v>-0.9501867995</v>
      </c>
      <c r="G14" s="33">
        <f t="shared" si="7"/>
        <v>0.7198310866</v>
      </c>
      <c r="H14" s="34">
        <f t="shared" si="7"/>
        <v>0.4890204018</v>
      </c>
      <c r="I14" s="46"/>
    </row>
    <row r="15">
      <c r="A15" s="42" t="s">
        <v>29</v>
      </c>
      <c r="B15" s="56">
        <f>B11/H4</f>
        <v>1.997689872</v>
      </c>
      <c r="C15" s="57"/>
      <c r="D15" s="50" t="s">
        <v>30</v>
      </c>
      <c r="E15" s="28">
        <v>39.0</v>
      </c>
      <c r="F15" s="29">
        <v>25.0</v>
      </c>
      <c r="G15" s="29">
        <v>18.0</v>
      </c>
      <c r="H15" s="30">
        <v>200.0</v>
      </c>
    </row>
    <row r="16">
      <c r="A16" s="42" t="s">
        <v>31</v>
      </c>
      <c r="B16" s="58">
        <f>B11/H17</f>
        <v>4.085084926</v>
      </c>
      <c r="C16" s="57"/>
      <c r="D16" s="42" t="s">
        <v>32</v>
      </c>
      <c r="E16" s="28">
        <v>-8.0</v>
      </c>
      <c r="F16" s="29">
        <v>-6.0</v>
      </c>
      <c r="G16" s="29">
        <v>-29.0</v>
      </c>
      <c r="H16" s="30">
        <v>-45.0</v>
      </c>
    </row>
    <row r="17">
      <c r="A17" s="42"/>
      <c r="B17" s="42"/>
      <c r="C17" s="59"/>
      <c r="D17" s="50" t="s">
        <v>33</v>
      </c>
      <c r="E17" s="28">
        <v>-515.0</v>
      </c>
      <c r="F17" s="29">
        <v>-744.0</v>
      </c>
      <c r="G17" s="29">
        <v>13285.0</v>
      </c>
      <c r="H17" s="45">
        <v>9420.0</v>
      </c>
      <c r="I17" s="46"/>
      <c r="J17" s="46"/>
      <c r="K17" s="46"/>
      <c r="L17" s="46"/>
      <c r="M17" s="46"/>
    </row>
    <row r="18">
      <c r="A18" s="42" t="s">
        <v>34</v>
      </c>
      <c r="B18" s="60">
        <v>0.07</v>
      </c>
      <c r="C18" s="61"/>
      <c r="D18" s="50" t="s">
        <v>35</v>
      </c>
      <c r="E18" s="28">
        <v>-1.0</v>
      </c>
      <c r="F18" s="29">
        <v>3.0</v>
      </c>
      <c r="G18" s="29">
        <v>1083.0</v>
      </c>
      <c r="H18" s="45">
        <v>1213.0</v>
      </c>
      <c r="I18" s="46"/>
      <c r="J18" s="46"/>
      <c r="K18" s="46"/>
      <c r="L18" s="46"/>
      <c r="M18" s="46"/>
    </row>
    <row r="19">
      <c r="A19" s="42" t="s">
        <v>36</v>
      </c>
      <c r="B19" s="62">
        <f>E52</f>
        <v>0.05</v>
      </c>
      <c r="C19" s="61"/>
      <c r="D19" s="50" t="s">
        <v>37</v>
      </c>
      <c r="E19" s="37">
        <f>E17+E18</f>
        <v>-516</v>
      </c>
      <c r="F19" s="38">
        <f t="shared" ref="F19:H19" si="8">F17-F18</f>
        <v>-747</v>
      </c>
      <c r="G19" s="38">
        <f t="shared" si="8"/>
        <v>12202</v>
      </c>
      <c r="H19" s="45">
        <f t="shared" si="8"/>
        <v>8207</v>
      </c>
      <c r="I19" s="46"/>
      <c r="J19" s="46"/>
      <c r="K19" s="46"/>
      <c r="L19" s="46"/>
      <c r="M19" s="46"/>
    </row>
    <row r="20">
      <c r="A20" s="50" t="s">
        <v>38</v>
      </c>
      <c r="B20" s="63">
        <f t="array" ref="B20">NPV(B18, F42:F52)</f>
        <v>50083.5462</v>
      </c>
      <c r="D20" s="42" t="s">
        <v>39</v>
      </c>
      <c r="E20" s="28">
        <v>0.0</v>
      </c>
      <c r="F20" s="33">
        <f>(F19-E19)/E19</f>
        <v>0.4476744186</v>
      </c>
      <c r="G20" s="33">
        <f>(G19-F19)/ABS(F19)</f>
        <v>17.33467202</v>
      </c>
      <c r="H20" s="34">
        <f>(H19-G19)/G19</f>
        <v>-0.3274053434</v>
      </c>
      <c r="I20" s="46"/>
      <c r="J20" s="46"/>
      <c r="K20" s="46"/>
      <c r="L20" s="46"/>
      <c r="M20" s="46"/>
    </row>
    <row r="21">
      <c r="A21" s="50" t="s">
        <v>40</v>
      </c>
      <c r="B21" s="64">
        <f>B20+B6-B7</f>
        <v>57893.5462</v>
      </c>
      <c r="C21" s="59"/>
      <c r="D21" s="50" t="s">
        <v>41</v>
      </c>
      <c r="E21" s="28">
        <v>-1.55</v>
      </c>
      <c r="F21" s="29">
        <v>-1.96</v>
      </c>
      <c r="G21" s="29">
        <v>30.31</v>
      </c>
      <c r="H21" s="45">
        <v>21.26</v>
      </c>
      <c r="J21" s="46"/>
      <c r="K21" s="46"/>
      <c r="L21" s="46"/>
      <c r="M21" s="46"/>
    </row>
    <row r="22">
      <c r="A22" s="50" t="s">
        <v>42</v>
      </c>
      <c r="B22" s="65">
        <f>B5</f>
        <v>381</v>
      </c>
      <c r="D22" s="50" t="s">
        <v>42</v>
      </c>
      <c r="E22" s="66">
        <v>331.0</v>
      </c>
      <c r="F22" s="67">
        <v>381.0</v>
      </c>
      <c r="G22" s="67">
        <v>403.0</v>
      </c>
      <c r="H22" s="68">
        <v>394.0</v>
      </c>
      <c r="J22" s="46"/>
      <c r="K22" s="46"/>
      <c r="L22" s="46"/>
      <c r="M22" s="46"/>
    </row>
    <row r="23">
      <c r="A23" s="42" t="s">
        <v>43</v>
      </c>
      <c r="B23" s="69">
        <f>B21/B22</f>
        <v>151.9515648</v>
      </c>
      <c r="D23" s="23"/>
      <c r="E23" s="70"/>
      <c r="F23" s="35"/>
      <c r="G23" s="35"/>
      <c r="H23" s="35"/>
      <c r="J23" s="46"/>
      <c r="K23" s="46"/>
      <c r="L23" s="46"/>
      <c r="M23" s="46"/>
    </row>
    <row r="24">
      <c r="A24" s="42"/>
      <c r="B24" s="50"/>
      <c r="D24" s="11" t="s">
        <v>44</v>
      </c>
      <c r="E24" s="71">
        <v>0.0</v>
      </c>
      <c r="F24" s="72">
        <v>0.0</v>
      </c>
      <c r="G24" s="72">
        <v>-857.0</v>
      </c>
      <c r="H24" s="73">
        <v>-3329.0</v>
      </c>
      <c r="J24" s="46"/>
      <c r="K24" s="46"/>
      <c r="L24" s="46"/>
      <c r="M24" s="46"/>
    </row>
    <row r="25">
      <c r="A25" s="23" t="s">
        <v>45</v>
      </c>
      <c r="B25" s="74">
        <f>(B23-B4)/B4</f>
        <v>0.2506301633</v>
      </c>
      <c r="D25" s="75" t="s">
        <v>46</v>
      </c>
      <c r="E25" s="76">
        <v>1852.0</v>
      </c>
      <c r="F25" s="77" t="s">
        <v>47</v>
      </c>
      <c r="G25" s="78">
        <v>0.0</v>
      </c>
      <c r="H25" s="79">
        <v>0.0</v>
      </c>
    </row>
    <row r="26">
      <c r="A26" s="23" t="s">
        <v>48</v>
      </c>
      <c r="B26" s="80">
        <f>G52</f>
        <v>29.13342146</v>
      </c>
      <c r="D26" s="13" t="s">
        <v>49</v>
      </c>
      <c r="E26" s="81" t="s">
        <v>50</v>
      </c>
      <c r="F26" s="82" t="s">
        <v>51</v>
      </c>
      <c r="G26" s="83">
        <v>1202.0</v>
      </c>
      <c r="H26" s="84">
        <v>8362.0</v>
      </c>
      <c r="J26" s="46"/>
      <c r="K26" s="46"/>
      <c r="L26" s="46"/>
      <c r="M26" s="46"/>
    </row>
    <row r="27">
      <c r="A27" s="23"/>
      <c r="B27" s="13"/>
      <c r="C27" s="13"/>
      <c r="D27" s="75" t="s">
        <v>52</v>
      </c>
      <c r="E27" s="85" t="s">
        <v>47</v>
      </c>
      <c r="F27" s="77" t="s">
        <v>47</v>
      </c>
      <c r="G27" s="78">
        <v>0.0</v>
      </c>
      <c r="H27" s="79">
        <v>0.0</v>
      </c>
      <c r="J27" s="46"/>
      <c r="K27" s="46"/>
      <c r="L27" s="46"/>
      <c r="M27" s="46"/>
    </row>
    <row r="28">
      <c r="A28" s="23"/>
      <c r="B28" s="23"/>
      <c r="C28" s="86"/>
      <c r="D28" s="75" t="s">
        <v>53</v>
      </c>
      <c r="E28" s="87" t="s">
        <v>47</v>
      </c>
      <c r="F28" s="88" t="s">
        <v>54</v>
      </c>
      <c r="G28" s="89">
        <v>-140.0</v>
      </c>
      <c r="H28" s="90">
        <v>0.0</v>
      </c>
      <c r="J28" s="46"/>
      <c r="K28" s="46"/>
      <c r="L28" s="46"/>
      <c r="M28" s="46"/>
    </row>
    <row r="29">
      <c r="A29" s="13"/>
      <c r="B29" s="23"/>
      <c r="C29" s="91"/>
      <c r="D29" s="75"/>
      <c r="E29" s="92"/>
      <c r="F29" s="92"/>
      <c r="G29" s="70"/>
    </row>
    <row r="30">
      <c r="A30" s="13"/>
      <c r="B30" s="13"/>
      <c r="C30" s="13"/>
      <c r="D30" s="11" t="s">
        <v>55</v>
      </c>
      <c r="E30" s="93">
        <v>459.0</v>
      </c>
      <c r="F30" s="94">
        <v>2027.0</v>
      </c>
      <c r="G30" s="94">
        <v>13620.0</v>
      </c>
      <c r="H30" s="95">
        <v>4981.0</v>
      </c>
    </row>
    <row r="31">
      <c r="A31" s="13"/>
      <c r="B31" s="13"/>
      <c r="C31" s="13"/>
      <c r="D31" s="75" t="s">
        <v>56</v>
      </c>
      <c r="E31" s="96">
        <v>-15.0</v>
      </c>
      <c r="F31" s="97" t="s">
        <v>57</v>
      </c>
      <c r="G31" s="98">
        <v>-8523.0</v>
      </c>
      <c r="H31" s="99">
        <v>-5176.0</v>
      </c>
    </row>
    <row r="32">
      <c r="A32" s="91"/>
      <c r="B32" s="91"/>
      <c r="C32" s="13"/>
      <c r="D32" s="75" t="s">
        <v>58</v>
      </c>
      <c r="E32" s="96">
        <v>52.0</v>
      </c>
      <c r="F32" s="97" t="s">
        <v>59</v>
      </c>
      <c r="G32" s="98">
        <v>-873.0</v>
      </c>
      <c r="H32" s="99">
        <v>-3448.0</v>
      </c>
    </row>
    <row r="33">
      <c r="A33" s="12"/>
      <c r="B33" s="12"/>
      <c r="C33" s="13"/>
      <c r="D33" s="75" t="s">
        <v>60</v>
      </c>
      <c r="E33" s="100">
        <v>-422.0</v>
      </c>
      <c r="F33" s="101" t="s">
        <v>61</v>
      </c>
      <c r="G33" s="102">
        <v>4224.0</v>
      </c>
      <c r="H33" s="103">
        <v>-3643.0</v>
      </c>
    </row>
    <row r="34">
      <c r="A34" s="46"/>
      <c r="B34" s="46"/>
      <c r="C34" s="104"/>
      <c r="D34" s="75"/>
      <c r="E34" s="92"/>
      <c r="F34" s="92"/>
      <c r="G34" s="70"/>
    </row>
    <row r="35">
      <c r="A35" s="46"/>
      <c r="B35" s="46"/>
      <c r="C35" s="91"/>
      <c r="D35" s="105"/>
      <c r="E35" s="59"/>
      <c r="F35" s="106"/>
    </row>
    <row r="36">
      <c r="A36" s="107" t="s">
        <v>62</v>
      </c>
      <c r="C36" s="59"/>
      <c r="D36" s="108" t="s">
        <v>63</v>
      </c>
      <c r="E36" s="109" t="s">
        <v>64</v>
      </c>
      <c r="F36" s="110" t="s">
        <v>37</v>
      </c>
      <c r="G36" s="111" t="s">
        <v>65</v>
      </c>
      <c r="H36" s="46"/>
      <c r="I36" s="46"/>
      <c r="J36" s="46"/>
    </row>
    <row r="37">
      <c r="A37" s="46" t="s">
        <v>66</v>
      </c>
      <c r="C37" s="59"/>
      <c r="D37" s="108"/>
      <c r="E37" s="109"/>
      <c r="F37" s="110"/>
      <c r="G37" s="112"/>
      <c r="H37" s="46"/>
      <c r="I37" s="46"/>
      <c r="J37" s="46"/>
    </row>
    <row r="38">
      <c r="A38" s="46" t="s">
        <v>67</v>
      </c>
      <c r="C38" s="59"/>
      <c r="D38" s="113">
        <v>2019.0</v>
      </c>
      <c r="E38" s="114" t="s">
        <v>68</v>
      </c>
      <c r="F38" s="115">
        <f>E19</f>
        <v>-516</v>
      </c>
      <c r="G38" s="116">
        <v>0.0</v>
      </c>
      <c r="H38" s="46"/>
      <c r="I38" s="46"/>
      <c r="J38" s="46"/>
    </row>
    <row r="39">
      <c r="A39" s="46" t="s">
        <v>69</v>
      </c>
      <c r="C39" s="15"/>
      <c r="D39" s="113">
        <v>2020.0</v>
      </c>
      <c r="E39" s="117">
        <f>F5</f>
        <v>12.38333333</v>
      </c>
      <c r="F39" s="118">
        <f>F19</f>
        <v>-747</v>
      </c>
      <c r="G39" s="119">
        <v>0.0</v>
      </c>
      <c r="H39" s="46"/>
      <c r="I39" s="46"/>
      <c r="J39" s="46"/>
    </row>
    <row r="40">
      <c r="C40" s="120"/>
      <c r="D40" s="121">
        <v>2021.0</v>
      </c>
      <c r="E40" s="117">
        <f>G5</f>
        <v>22.00249066</v>
      </c>
      <c r="F40" s="118">
        <f>G19</f>
        <v>12202</v>
      </c>
      <c r="G40" s="119">
        <v>0.0</v>
      </c>
      <c r="H40" s="46"/>
      <c r="I40" s="46"/>
      <c r="J40" s="46"/>
    </row>
    <row r="41">
      <c r="A41" s="12"/>
      <c r="B41" s="12"/>
      <c r="C41" s="120"/>
      <c r="D41" s="121">
        <v>2022.0</v>
      </c>
      <c r="E41" s="117">
        <f>H5</f>
        <v>0.04287802501</v>
      </c>
      <c r="F41" s="118">
        <f>H17</f>
        <v>9420</v>
      </c>
      <c r="G41" s="122">
        <f>(E40 + E39)/2-E41</f>
        <v>17.15003397</v>
      </c>
      <c r="H41" s="46"/>
      <c r="I41" s="46"/>
      <c r="J41" s="46"/>
    </row>
    <row r="42">
      <c r="A42" s="46" t="s">
        <v>70</v>
      </c>
      <c r="C42" s="120"/>
      <c r="D42" s="121">
        <v>2023.0</v>
      </c>
      <c r="E42" s="123">
        <v>0.05</v>
      </c>
      <c r="F42" s="118">
        <f>AVERAGE(F38:F41)*(1+E42)</f>
        <v>5344.2375</v>
      </c>
      <c r="G42" s="122">
        <f t="shared" ref="G42:G52" si="9">G41 * (1+E41)</f>
        <v>17.88539356</v>
      </c>
      <c r="H42" s="46"/>
      <c r="I42" s="46"/>
      <c r="J42" s="46"/>
    </row>
    <row r="43">
      <c r="C43" s="120"/>
      <c r="D43" s="121">
        <v>2024.0</v>
      </c>
      <c r="E43" s="123">
        <v>0.05</v>
      </c>
      <c r="F43" s="118">
        <f t="shared" ref="F43:F52" si="10">F42*(1+E43)</f>
        <v>5611.449375</v>
      </c>
      <c r="G43" s="122">
        <f t="shared" si="9"/>
        <v>18.77966324</v>
      </c>
    </row>
    <row r="44">
      <c r="C44" s="46"/>
      <c r="D44" s="121">
        <v>2025.0</v>
      </c>
      <c r="E44" s="123">
        <v>0.05</v>
      </c>
      <c r="F44" s="118">
        <f t="shared" si="10"/>
        <v>5892.021844</v>
      </c>
      <c r="G44" s="122">
        <f t="shared" si="9"/>
        <v>19.7186464</v>
      </c>
      <c r="H44" s="46"/>
      <c r="I44" s="46"/>
      <c r="J44" s="46"/>
    </row>
    <row r="45">
      <c r="A45" s="46" t="s">
        <v>71</v>
      </c>
      <c r="C45" s="46"/>
      <c r="D45" s="124">
        <v>2026.0</v>
      </c>
      <c r="E45" s="123">
        <v>0.05</v>
      </c>
      <c r="F45" s="118">
        <f t="shared" si="10"/>
        <v>6186.622936</v>
      </c>
      <c r="G45" s="122">
        <f t="shared" si="9"/>
        <v>20.70457872</v>
      </c>
      <c r="H45" s="46"/>
      <c r="I45" s="46"/>
      <c r="J45" s="46"/>
    </row>
    <row r="46">
      <c r="C46" s="46"/>
      <c r="D46" s="124">
        <v>2027.0</v>
      </c>
      <c r="E46" s="123">
        <v>0.05</v>
      </c>
      <c r="F46" s="118">
        <f t="shared" si="10"/>
        <v>6495.954083</v>
      </c>
      <c r="G46" s="122">
        <f t="shared" si="9"/>
        <v>21.73980765</v>
      </c>
      <c r="H46" s="46"/>
      <c r="I46" s="46"/>
      <c r="J46" s="46"/>
    </row>
    <row r="47">
      <c r="C47" s="12"/>
      <c r="D47" s="124">
        <v>2028.0</v>
      </c>
      <c r="E47" s="123">
        <v>0.05</v>
      </c>
      <c r="F47" s="118">
        <f t="shared" si="10"/>
        <v>6820.751787</v>
      </c>
      <c r="G47" s="122">
        <f t="shared" si="9"/>
        <v>22.82679804</v>
      </c>
      <c r="H47" s="46"/>
      <c r="I47" s="46"/>
      <c r="J47" s="46"/>
    </row>
    <row r="48">
      <c r="A48" s="125" t="s">
        <v>72</v>
      </c>
      <c r="C48" s="46"/>
      <c r="D48" s="124">
        <v>2029.0</v>
      </c>
      <c r="E48" s="123">
        <v>0.05</v>
      </c>
      <c r="F48" s="118">
        <f t="shared" si="10"/>
        <v>7161.789376</v>
      </c>
      <c r="G48" s="122">
        <f t="shared" si="9"/>
        <v>23.96813794</v>
      </c>
      <c r="H48" s="46"/>
      <c r="I48" s="46"/>
      <c r="J48" s="46"/>
    </row>
    <row r="49">
      <c r="C49" s="46"/>
      <c r="D49" s="124">
        <v>2030.0</v>
      </c>
      <c r="E49" s="123">
        <v>0.05</v>
      </c>
      <c r="F49" s="118">
        <f t="shared" si="10"/>
        <v>7519.878845</v>
      </c>
      <c r="G49" s="122">
        <f t="shared" si="9"/>
        <v>25.16654483</v>
      </c>
    </row>
    <row r="50">
      <c r="C50" s="46"/>
      <c r="D50" s="105">
        <v>2031.0</v>
      </c>
      <c r="E50" s="123">
        <v>0.05</v>
      </c>
      <c r="F50" s="118">
        <f t="shared" si="10"/>
        <v>7895.872787</v>
      </c>
      <c r="G50" s="122">
        <f t="shared" si="9"/>
        <v>26.42487208</v>
      </c>
    </row>
    <row r="51">
      <c r="B51" s="12"/>
      <c r="C51" s="12"/>
      <c r="D51" s="105">
        <v>2032.0</v>
      </c>
      <c r="E51" s="123">
        <v>0.05</v>
      </c>
      <c r="F51" s="118">
        <f t="shared" si="10"/>
        <v>8290.666427</v>
      </c>
      <c r="G51" s="122">
        <f t="shared" si="9"/>
        <v>27.74611568</v>
      </c>
    </row>
    <row r="52">
      <c r="B52" s="12"/>
      <c r="C52" s="12"/>
      <c r="D52" s="105">
        <v>2033.0</v>
      </c>
      <c r="E52" s="126">
        <v>0.0500000000000001</v>
      </c>
      <c r="F52" s="127">
        <f t="shared" si="10"/>
        <v>8705.199748</v>
      </c>
      <c r="G52" s="128">
        <f t="shared" si="9"/>
        <v>29.13342146</v>
      </c>
    </row>
    <row r="53">
      <c r="A53" s="13"/>
      <c r="B53" s="13"/>
      <c r="C53" s="120"/>
      <c r="E53" s="129"/>
    </row>
    <row r="54">
      <c r="A54" s="107" t="s">
        <v>73</v>
      </c>
      <c r="C54" s="120"/>
      <c r="E54" s="129"/>
    </row>
    <row r="55">
      <c r="A55" s="13"/>
      <c r="B55" s="13"/>
      <c r="C55" s="120"/>
      <c r="E55" s="129"/>
    </row>
    <row r="56">
      <c r="A56" s="130" t="s">
        <v>74</v>
      </c>
      <c r="C56" s="120"/>
    </row>
    <row r="57">
      <c r="C57" s="46"/>
    </row>
    <row r="58">
      <c r="A58" s="86" t="s">
        <v>75</v>
      </c>
    </row>
    <row r="59">
      <c r="C59" s="12"/>
    </row>
    <row r="60">
      <c r="A60" s="130" t="s">
        <v>76</v>
      </c>
      <c r="C60" s="35"/>
    </row>
    <row r="61">
      <c r="C61" s="35"/>
    </row>
    <row r="62">
      <c r="A62" s="130" t="s">
        <v>77</v>
      </c>
      <c r="C62" s="35"/>
    </row>
    <row r="63">
      <c r="C63" s="35"/>
    </row>
    <row r="64">
      <c r="A64" s="131" t="s">
        <v>78</v>
      </c>
      <c r="C64" s="12"/>
    </row>
    <row r="65">
      <c r="C65" s="12"/>
    </row>
    <row r="66">
      <c r="A66" s="131" t="s">
        <v>79</v>
      </c>
      <c r="C66" s="12"/>
    </row>
    <row r="67">
      <c r="C67" s="12"/>
    </row>
    <row r="68">
      <c r="A68" s="131" t="s">
        <v>80</v>
      </c>
      <c r="C68" s="12"/>
    </row>
    <row r="69"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</sheetData>
  <mergeCells count="15">
    <mergeCell ref="A58:B59"/>
    <mergeCell ref="A60:B61"/>
    <mergeCell ref="A62:B63"/>
    <mergeCell ref="A64:B65"/>
    <mergeCell ref="A66:B67"/>
    <mergeCell ref="A68:B69"/>
    <mergeCell ref="A54:B54"/>
    <mergeCell ref="A56:B57"/>
    <mergeCell ref="A48:B50"/>
    <mergeCell ref="A45:B47"/>
    <mergeCell ref="A42:B44"/>
    <mergeCell ref="A36:B36"/>
    <mergeCell ref="A37:B37"/>
    <mergeCell ref="A39:B40"/>
    <mergeCell ref="A38:B38"/>
  </mergeCells>
  <drawing r:id="rId1"/>
</worksheet>
</file>