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" sheetId="1" r:id="rId4"/>
    <sheet state="visible" name="Basic Model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<sst xmlns="http://schemas.openxmlformats.org/spreadsheetml/2006/main" count="185" uniqueCount="101">
  <si>
    <t>Doximity, Inc.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</si>
  <si>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</si>
  <si>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Y18</t>
  </si>
  <si>
    <t>Y19</t>
  </si>
  <si>
    <t>Y20</t>
  </si>
  <si>
    <t>Y21</t>
  </si>
  <si>
    <t>Y22</t>
  </si>
  <si>
    <t>TTM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</si>
  <si>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</si>
  <si>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</si>
  <si>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</si>
  <si>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</si>
  <si>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</si>
  <si>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</si>
  <si>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</si>
  <si>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</si>
  <si>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</si>
  <si>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</si>
  <si>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</si>
  <si>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</si>
  <si>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</si>
  <si>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</si>
  <si>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</si>
  <si>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</si>
  <si>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</si>
  <si>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</si>
  <si>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</si>
  <si>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DOCS</t>
  </si>
  <si>
    <t>10-K SEC Filing</t>
  </si>
  <si>
    <t>Shares</t>
  </si>
  <si>
    <t>Share Price</t>
  </si>
  <si>
    <t>Total Debt</t>
  </si>
  <si>
    <t>Market Cap (Actual)</t>
  </si>
  <si>
    <t>Shareholder Equity</t>
  </si>
  <si>
    <t>Market Cap (Estimate)</t>
  </si>
  <si>
    <t>Operating Lease Liabilities</t>
  </si>
  <si>
    <t>ROIC</t>
  </si>
  <si>
    <t>Cash and Cash Equivalents</t>
  </si>
  <si>
    <t>EV</t>
  </si>
  <si>
    <t>Invested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</si>
  <si>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</si>
  <si>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</si>
  <si>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</si>
  <si>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</si>
  <si>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</si>
  <si>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</si>
  <si>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</si>
  <si>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</si>
  <si>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</si>
  <si>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</si>
  <si>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</si>
  <si>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</si>
  <si>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</si>
  <si>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</si>
  <si>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</si>
  <si>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</si>
  <si>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</si>
  <si>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</si>
  <si>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</si>
  <si>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</si>
  <si>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</si>
  <si>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</si>
  <si>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</si>
  <si>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</si>
  <si>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</si>
  <si>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</si>
  <si>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</si>
  <si>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</si>
  <si>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</si>
  <si>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</si>
  <si>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</si>
  <si>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</si>
  <si>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</si>
  <si>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</si>
  <si>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</si>
  <si>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</si>
  <si>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Discounted NI</t>
  </si>
  <si>
    <t>Disc. FCF</t>
  </si>
  <si>
    <t>Block, Inc.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</si>
  <si>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</si>
  <si>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Y23</t>
  </si>
  <si>
    <t>SQ</t>
  </si>
  <si>
    <t>Price</t>
  </si>
  <si>
    <t>Shares Outstanding</t>
  </si>
  <si>
    <t>Cash</t>
  </si>
  <si>
    <t>Valueline (3-5 pt)</t>
  </si>
  <si>
    <t>$105 - $175</t>
  </si>
  <si>
    <t>Market Cap</t>
  </si>
  <si>
    <t>N/A</t>
  </si>
  <si>
    <t>Price Margin</t>
  </si>
  <si>
    <t>2022 FCF Margin</t>
  </si>
  <si>
    <t>2033 FCF Margin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</si>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</sst>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0" fillId="4" fontId="3" numFmtId="3" xfId="0" applyAlignment="1" applyFont="1" applyNumberFormat="1">
      <alignment readingOrder="0" shrinkToFit="0" vertical="top" wrapText="1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3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0" fillId="4" fontId="3" numFmtId="4" xfId="0" applyAlignment="1" applyFont="1" applyNumberFormat="1">
      <alignment readingOrder="0" shrinkToFit="0" vertical="top" wrapText="1"/>
    </xf>
    <xf borderId="8" fillId="4" fontId="3" numFmtId="4" xfId="0" applyAlignment="1" applyBorder="1" applyFont="1" applyNumberFormat="1">
      <alignment readingOrder="0" shrinkToFit="0" vertical="top" wrapText="1"/>
    </xf>
    <xf borderId="2" fillId="2" fontId="3" numFmtId="0" xfId="0" applyAlignment="1" applyBorder="1" applyFont="1">
      <alignment horizontal="right"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2" fillId="5" fontId="2" numFmtId="165" xfId="0" applyAlignment="1" applyBorder="1" applyFill="1" applyFont="1" applyNumberFormat="1">
      <alignment readingOrder="0" vertical="bottom"/>
    </xf>
    <xf borderId="4" fillId="6" fontId="3" numFmtId="3" xfId="0" applyAlignment="1" applyBorder="1" applyFill="1" applyFont="1" applyNumberFormat="1">
      <alignment horizontal="right" readingOrder="0"/>
    </xf>
    <xf borderId="5" fillId="6" fontId="3" numFmtId="3" xfId="0" applyAlignment="1" applyBorder="1" applyFont="1" applyNumberFormat="1">
      <alignment horizontal="right" readingOrder="0"/>
    </xf>
    <xf borderId="5" fillId="6" fontId="3" numFmtId="3" xfId="0" applyAlignment="1" applyBorder="1" applyFont="1" applyNumberFormat="1">
      <alignment readingOrder="0"/>
    </xf>
    <xf borderId="6" fillId="6" fontId="3" numFmtId="3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vertical="bottom"/>
    </xf>
    <xf borderId="7" fillId="6" fontId="3" numFmtId="3" xfId="0" applyAlignment="1" applyBorder="1" applyFont="1" applyNumberFormat="1">
      <alignment horizontal="right" readingOrder="0"/>
    </xf>
    <xf borderId="0" fillId="6" fontId="3" numFmtId="3" xfId="0" applyAlignment="1" applyFont="1" applyNumberFormat="1">
      <alignment horizontal="right" readingOrder="0"/>
    </xf>
    <xf borderId="0" fillId="6" fontId="3" numFmtId="3" xfId="0" applyAlignment="1" applyFont="1" applyNumberFormat="1">
      <alignment readingOrder="0"/>
    </xf>
    <xf borderId="8" fillId="6" fontId="3" numFmtId="3" xfId="0" applyAlignment="1" applyBorder="1" applyFont="1" applyNumberFormat="1">
      <alignment readingOrder="0"/>
    </xf>
    <xf borderId="13" fillId="5" fontId="2" numFmtId="10" xfId="0" applyAlignment="1" applyBorder="1" applyFont="1" applyNumberFormat="1">
      <alignment readingOrder="0" vertical="bottom"/>
    </xf>
    <xf borderId="9" fillId="6" fontId="3" numFmtId="3" xfId="0" applyAlignment="1" applyBorder="1" applyFont="1" applyNumberFormat="1">
      <alignment horizontal="right" readingOrder="0"/>
    </xf>
    <xf borderId="10" fillId="6" fontId="3" numFmtId="3" xfId="0" applyAlignment="1" applyBorder="1" applyFont="1" applyNumberFormat="1">
      <alignment horizontal="right" readingOrder="0"/>
    </xf>
    <xf borderId="10" fillId="6" fontId="3" numFmtId="3" xfId="0" applyBorder="1" applyFont="1" applyNumberFormat="1"/>
    <xf borderId="11" fillId="6" fontId="3" numFmtId="3" xfId="0" applyBorder="1" applyFont="1" applyNumberFormat="1"/>
    <xf borderId="0" fillId="0" fontId="2" numFmtId="0" xfId="0" applyAlignment="1" applyFont="1">
      <alignment vertical="bottom"/>
    </xf>
    <xf borderId="13" fillId="5" fontId="3" numFmtId="4" xfId="0" applyAlignment="1" applyBorder="1" applyFont="1" applyNumberFormat="1">
      <alignment readingOrder="0" vertical="bottom"/>
    </xf>
    <xf borderId="4" fillId="7" fontId="3" numFmtId="3" xfId="0" applyAlignment="1" applyBorder="1" applyFill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5" fillId="7" fontId="3" numFmtId="3" xfId="0" applyAlignment="1" applyBorder="1" applyFont="1" applyNumberFormat="1">
      <alignment readingOrder="0"/>
    </xf>
    <xf borderId="6" fillId="7" fontId="3" numFmtId="0" xfId="0" applyAlignment="1" applyBorder="1" applyFont="1">
      <alignment readingOrder="0"/>
    </xf>
    <xf borderId="0" fillId="0" fontId="2" numFmtId="0" xfId="0" applyAlignment="1" applyFont="1">
      <alignment shrinkToFit="0" vertical="bottom" wrapText="1"/>
    </xf>
    <xf borderId="13" fillId="5" fontId="3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0" fillId="7" fontId="3" numFmtId="3" xfId="0" applyAlignment="1" applyFont="1" applyNumberFormat="1">
      <alignment readingOrder="0"/>
    </xf>
    <xf borderId="8" fillId="7" fontId="3" numFmtId="0" xfId="0" applyAlignment="1" applyBorder="1" applyFont="1">
      <alignment readingOrder="0"/>
    </xf>
    <xf borderId="0" fillId="7" fontId="3" numFmtId="3" xfId="0" applyAlignment="1" applyFont="1" applyNumberFormat="1">
      <alignment horizontal="right" readingOrder="0" vertical="bottom"/>
    </xf>
    <xf borderId="14" fillId="5" fontId="3" numFmtId="4" xfId="0" applyAlignment="1" applyBorder="1" applyFont="1" applyNumberFormat="1">
      <alignment readingOrder="0" vertical="bottom"/>
    </xf>
    <xf borderId="0" fillId="0" fontId="1" numFmtId="165" xfId="0" applyFont="1" applyNumberFormat="1"/>
    <xf borderId="0" fillId="0" fontId="3" numFmtId="10" xfId="0" applyAlignment="1" applyFont="1" applyNumberFormat="1">
      <alignment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readingOrder="0"/>
    </xf>
    <xf borderId="11" fillId="7" fontId="3" numFmtId="0" xfId="0" applyAlignment="1" applyBorder="1" applyFont="1">
      <alignment readingOrder="0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13" fillId="4" fontId="3" numFmtId="10" xfId="0" applyAlignment="1" applyBorder="1" applyFont="1" applyNumberFormat="1">
      <alignment readingOrder="0" shrinkToFit="0" vertical="bottom" wrapText="1"/>
    </xf>
    <xf borderId="4" fillId="8" fontId="3" numFmtId="3" xfId="0" applyAlignment="1" applyBorder="1" applyFill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 vertical="bottom"/>
    </xf>
    <xf borderId="5" fillId="8" fontId="3" numFmtId="3" xfId="0" applyAlignment="1" applyBorder="1" applyFont="1" applyNumberFormat="1">
      <alignment readingOrder="0"/>
    </xf>
    <xf borderId="6" fillId="8" fontId="3" numFmtId="0" xfId="0" applyAlignment="1" applyBorder="1" applyFont="1">
      <alignment readingOrder="0"/>
    </xf>
    <xf borderId="13" fillId="4" fontId="3" numFmtId="167" xfId="0" applyAlignment="1" applyBorder="1" applyFont="1" applyNumberFormat="1">
      <alignment readingOrder="0" shrinkToFit="0" vertical="bottom" wrapText="1"/>
    </xf>
    <xf borderId="7" fillId="8" fontId="3" numFmtId="3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/>
    </xf>
    <xf borderId="0" fillId="8" fontId="3" numFmtId="3" xfId="0" applyAlignment="1" applyFont="1" applyNumberFormat="1">
      <alignment readingOrder="0"/>
    </xf>
    <xf borderId="8" fillId="8" fontId="3" numFmtId="0" xfId="0" applyAlignment="1" applyBorder="1" applyFont="1">
      <alignment readingOrder="0"/>
    </xf>
    <xf borderId="13" fillId="4" fontId="3" numFmtId="3" xfId="0" applyAlignment="1" applyBorder="1" applyFont="1" applyNumberFormat="1">
      <alignment readingOrder="0" shrinkToFit="0" vertical="bottom" wrapText="1"/>
    </xf>
    <xf borderId="13" fillId="4" fontId="2" numFmtId="167" xfId="0" applyAlignment="1" applyBorder="1" applyFont="1" applyNumberForma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9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readingOrder="0"/>
    </xf>
    <xf borderId="11" fillId="8" fontId="3" numFmtId="0" xfId="0" applyAlignment="1" applyBorder="1" applyFont="1">
      <alignment readingOrder="0"/>
    </xf>
    <xf borderId="14" fillId="4" fontId="1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0" fillId="0" fontId="1" numFmtId="10" xfId="0" applyFont="1" applyNumberFormat="1"/>
    <xf borderId="1" fillId="9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right" readingOrder="0" vertical="bottom"/>
    </xf>
    <xf borderId="3" fillId="9" fontId="2" numFmtId="10" xfId="0" applyAlignment="1" applyBorder="1" applyFont="1" applyNumberFormat="1">
      <alignment horizontal="right" vertical="bottom"/>
    </xf>
    <xf borderId="3" fillId="9" fontId="2" numFmtId="165" xfId="0" applyAlignment="1" applyBorder="1" applyFont="1" applyNumberFormat="1">
      <alignment horizontal="right" vertical="bottom"/>
    </xf>
    <xf borderId="3" fillId="9" fontId="2" numFmtId="0" xfId="0" applyAlignment="1" applyBorder="1" applyFont="1">
      <alignment horizontal="right" readingOrder="0" shrinkToFit="0" vertical="top" wrapText="1"/>
    </xf>
    <xf borderId="2" fillId="9" fontId="2" numFmtId="0" xfId="0" applyAlignment="1" applyBorder="1" applyFont="1">
      <alignment horizontal="right" readingOrder="0" shrinkToFit="0" vertical="top" wrapText="1"/>
    </xf>
    <xf borderId="12" fillId="10" fontId="3" numFmtId="167" xfId="0" applyBorder="1" applyFill="1" applyFont="1" applyNumberFormat="1"/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4" fillId="10" fontId="3" numFmtId="165" xfId="0" applyBorder="1" applyFont="1" applyNumberFormat="1"/>
    <xf borderId="0" fillId="0" fontId="3" numFmtId="0" xfId="0" applyAlignment="1" applyFont="1">
      <alignment horizontal="left" readingOrder="0" vertical="bottom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7" xfId="0" applyAlignment="1" applyBorder="1" applyFont="1" applyNumberFormat="1">
      <alignment readingOrder="0" shrinkToFit="0" vertical="top" wrapText="1"/>
    </xf>
    <xf borderId="6" fillId="6" fontId="3" numFmtId="167" xfId="0" applyAlignment="1" applyBorder="1" applyFont="1" applyNumberFormat="1">
      <alignment readingOrder="0" shrinkToFit="0" vertical="top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7" xfId="0" applyAlignment="1" applyFont="1" applyNumberFormat="1">
      <alignment readingOrder="0" shrinkToFit="0" vertical="top" wrapText="1"/>
    </xf>
    <xf borderId="8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2" fillId="7" fontId="3" numFmtId="10" xfId="0" applyAlignment="1" applyBorder="1" applyFont="1" applyNumberFormat="1">
      <alignment readingOrder="0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7" fontId="3" numFmtId="167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7" fontId="5" numFmtId="165" xfId="0" applyAlignment="1" applyBorder="1" applyFont="1" applyNumberFormat="1">
      <alignment horizontal="right" readingOrder="0"/>
    </xf>
    <xf borderId="14" fillId="7" fontId="2" numFmtId="10" xfId="0" applyAlignment="1" applyBorder="1" applyFont="1" applyNumberFormat="1">
      <alignment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Font="1" applyNumberFormat="1"/>
    <xf borderId="8" fillId="6" fontId="3" numFmtId="167" xfId="0" applyBorder="1" applyFont="1" applyNumberFormat="1"/>
    <xf borderId="12" fillId="3" fontId="3" numFmtId="9" xfId="0" applyAlignment="1" applyBorder="1" applyFont="1" applyNumberFormat="1">
      <alignment readingOrder="0"/>
    </xf>
    <xf borderId="0" fillId="6" fontId="3" numFmtId="10" xfId="0" applyAlignment="1" applyFont="1" applyNumberFormat="1">
      <alignment vertical="bottom"/>
    </xf>
    <xf borderId="13" fillId="3" fontId="3" numFmtId="10" xfId="0" applyBorder="1" applyFont="1" applyNumberFormat="1"/>
    <xf borderId="0" fillId="0" fontId="3" numFmtId="0" xfId="0" applyAlignment="1" applyFont="1">
      <alignment horizontal="left" vertical="bottom"/>
    </xf>
    <xf borderId="13" fillId="3" fontId="3" numFmtId="10" xfId="0" applyAlignment="1" applyBorder="1" applyFont="1" applyNumberFormat="1">
      <alignment readingOrder="0"/>
    </xf>
    <xf borderId="13" fillId="3" fontId="3" numFmtId="167" xfId="0" applyBorder="1" applyFont="1" applyNumberFormat="1"/>
    <xf borderId="13" fillId="3" fontId="1" numFmtId="165" xfId="0" applyBorder="1" applyFont="1" applyNumberFormat="1"/>
    <xf borderId="14" fillId="3" fontId="2" numFmtId="10" xfId="0" applyBorder="1" applyFont="1" applyNumberFormat="1"/>
    <xf borderId="0" fillId="0" fontId="1" numFmtId="167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7" xfId="0" applyAlignment="1" applyBorder="1" applyFont="1" applyNumberFormat="1">
      <alignment readingOrder="0" shrinkToFit="0" vertical="top" wrapText="1"/>
    </xf>
    <xf borderId="11" fillId="6" fontId="3" numFmtId="167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9" fontId="2" numFmtId="165" xfId="0" applyAlignment="1" applyBorder="1" applyFont="1" applyNumberFormat="1">
      <alignment horizontal="right" readingOrder="0" vertical="bottom"/>
    </xf>
    <xf borderId="0" fillId="0" fontId="1" numFmtId="9" xfId="0" applyFont="1" applyNumberFormat="1"/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vertical="bottom"/>
    </xf>
    <xf borderId="5" fillId="6" fontId="3" numFmtId="167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6" fontId="3" numFmtId="167" xfId="0" applyAlignment="1" applyFont="1" applyNumberFormat="1">
      <alignment vertical="bottom"/>
    </xf>
    <xf borderId="8" fillId="6" fontId="3" numFmtId="3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0" fillId="0" fontId="2" numFmtId="10" xfId="0" applyFont="1" applyNumberFormat="1"/>
    <xf borderId="10" fillId="6" fontId="3" numFmtId="167" xfId="0" applyAlignment="1" applyBorder="1" applyFont="1" applyNumberFormat="1">
      <alignment vertical="bottom"/>
    </xf>
    <xf borderId="10" fillId="6" fontId="3" numFmtId="167" xfId="0" applyBorder="1" applyFont="1" applyNumberFormat="1"/>
    <xf borderId="1" fillId="5" fontId="4" numFmtId="0" xfId="0" applyAlignment="1" applyBorder="1" applyFont="1">
      <alignment readingOrder="0"/>
    </xf>
    <xf borderId="3" fillId="5" fontId="2" numFmtId="0" xfId="0" applyAlignment="1" applyBorder="1" applyFont="1">
      <alignment horizontal="right" readingOrder="0" vertical="bottom"/>
    </xf>
    <xf borderId="2" fillId="5" fontId="2" numFmtId="0" xfId="0" applyAlignment="1" applyBorder="1" applyFont="1">
      <alignment horizontal="right" readingOrder="0" vertical="bottom"/>
    </xf>
    <xf borderId="12" fillId="5" fontId="2" numFmtId="165" xfId="0" applyAlignment="1" applyBorder="1" applyFont="1" applyNumberFormat="1">
      <alignment readingOrder="0" vertical="bottom"/>
    </xf>
    <xf borderId="6" fillId="7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5" fontId="3" numFmtId="3" xfId="0" applyAlignment="1" applyBorder="1" applyFont="1" applyNumberFormat="1">
      <alignment readingOrder="0" vertical="bottom"/>
    </xf>
    <xf borderId="8" fillId="7" fontId="3" numFmtId="3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bottom" wrapText="0"/>
    </xf>
    <xf borderId="8" fillId="7" fontId="3" numFmtId="3" xfId="0" applyAlignment="1" applyBorder="1" applyFont="1" applyNumberFormat="1">
      <alignment horizontal="right" readingOrder="0" vertical="bottom"/>
    </xf>
    <xf borderId="14" fillId="5" fontId="3" numFmtId="165" xfId="0" applyAlignment="1" applyBorder="1" applyFont="1" applyNumberFormat="1">
      <alignment horizontal="right" readingOrder="0" vertical="bottom"/>
    </xf>
    <xf borderId="11" fillId="7" fontId="3" numFmtId="3" xfId="0" applyAlignment="1" applyBorder="1" applyFont="1" applyNumberFormat="1">
      <alignment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8" fillId="6" fontId="3" numFmtId="167" xfId="0" applyAlignment="1" applyBorder="1" applyFont="1" applyNumberFormat="1">
      <alignment horizontal="right" vertical="bottom"/>
    </xf>
    <xf borderId="8" fillId="8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11" fillId="8" fontId="3" numFmtId="3" xfId="0" applyAlignment="1" applyBorder="1" applyFont="1" applyNumberFormat="1">
      <alignment readingOrder="0"/>
    </xf>
    <xf borderId="11" fillId="6" fontId="3" numFmtId="4" xfId="0" applyAlignment="1" applyBorder="1" applyFont="1" applyNumberFormat="1">
      <alignment horizontal="right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12" fillId="3" fontId="3" numFmtId="10" xfId="0" applyAlignment="1" applyBorder="1" applyFont="1" applyNumberFormat="1">
      <alignment shrinkToFit="0" vertical="bottom" wrapText="1"/>
    </xf>
    <xf borderId="14" fillId="3" fontId="3" numFmtId="10" xfId="0" applyAlignment="1" applyBorder="1" applyFont="1" applyNumberFormat="1">
      <alignment readingOrder="0" shrinkToFit="0" vertical="bottom" wrapText="1"/>
    </xf>
    <xf borderId="14" fillId="10" fontId="3" numFmtId="167" xfId="0" applyBorder="1" applyFont="1" applyNumberFormat="1"/>
    <xf borderId="13" fillId="7" fontId="5" numFmtId="167" xfId="0" applyAlignment="1" applyBorder="1" applyFont="1" applyNumberFormat="1">
      <alignment horizontal="right" readingOrder="0"/>
    </xf>
    <xf borderId="0" fillId="0" fontId="1" numFmtId="0" xfId="0" applyFont="1"/>
    <xf borderId="13" fillId="3" fontId="1" numFmtId="167" xfId="0" applyBorder="1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95250</xdr:rowOff>
    </xdr:from>
    <xdr:ext cx="3009900" cy="3752850"/>
    <xdr:sp>
      <xdr:nvSpPr>
        <xdr:cNvPr id="3" name="Shape 3"/>
        <xdr:cNvSpPr txBox="1"/>
      </xdr:nvSpPr>
      <xdr:spPr>
        <a:xfrm>
          <a:off x="673050" y="726025"/>
          <a:ext cx="2832600" cy="3570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Doximity is a network of Healthcare professionals with 80% of US doctors and 50% of all NPs and physician assistants, a total of 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roughly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 2 million members. The platform allows these medical experts to collaborate and share information. Most of its revenue is generate via platform subscriptions.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The company recently (August 2023) announced it will cut 10% of its ~1000 employee workforce in cost-saving efforts following macroeconomic headwinds. Management adjusted 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full year 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top-line revenue expectations down roughly 10%.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Following this news and share price reductions, the potential future growth of DOCS is priced generously.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58</xdr:row>
      <xdr:rowOff>19050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3009900" cy="3429000"/>
    <xdr:sp>
      <xdr:nvSpPr>
        <xdr:cNvPr id="3" name="Shape 3"/>
        <xdr:cNvSpPr txBox="1"/>
      </xdr:nvSpPr>
      <xdr:spPr>
        <a:xfrm>
          <a:off x="673050" y="726025"/>
          <a:ext cx="2832600" cy="3232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Square or Block Inc is a financial services platform offering a point of sale system as well as mobile payments application CashApp.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The company has been singing the tune of improving operating efficiencies, to little avail. Though, Block provides a strong underlying proxy on the crypto industry and those coattails can produce significant multiple expansion.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Currently, the numbers do not 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indicate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 efficient capital reinvestments, while profits are expected to remain high. Until expectations are reigned in, growth is fully priced in for the foreseeable future.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45189.0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8" t="s">
        <v>7</v>
      </c>
      <c r="L2" s="5"/>
      <c r="M2" s="5"/>
      <c r="N2" s="5"/>
    </row>
    <row r="3">
      <c r="A3" s="1"/>
      <c r="B3" s="9"/>
      <c r="C3" s="10"/>
      <c r="D3" s="11"/>
      <c r="E3" s="12"/>
      <c r="F3" s="5"/>
      <c r="G3" s="5"/>
      <c r="H3" s="5"/>
      <c r="I3" s="5"/>
      <c r="J3" s="5"/>
      <c r="K3" s="13"/>
      <c r="L3" s="13"/>
      <c r="M3" s="5"/>
      <c r="N3" s="5"/>
    </row>
    <row r="4">
      <c r="B4" s="5"/>
      <c r="C4" s="14"/>
      <c r="D4" s="15"/>
      <c r="E4" s="10" t="s">
        <v>8</v>
      </c>
      <c r="F4" s="16"/>
      <c r="G4" s="17"/>
      <c r="H4" s="17">
        <v>116.0</v>
      </c>
      <c r="I4" s="17">
        <v>206.897</v>
      </c>
      <c r="J4" s="17">
        <v>343.548</v>
      </c>
      <c r="K4" s="18">
        <v>419.052</v>
      </c>
      <c r="L4" s="13"/>
      <c r="M4" s="5"/>
      <c r="N4" s="5"/>
    </row>
    <row r="5">
      <c r="B5" s="5"/>
      <c r="C5" s="19"/>
      <c r="D5" s="15"/>
      <c r="E5" s="20" t="s">
        <v>9</v>
      </c>
      <c r="F5" s="21">
        <v>0.0</v>
      </c>
      <c r="G5" s="22" t="str">
        <f t="shared" ref="G5:K5" si="1">(G4-F4)/F4</f>
        <v>#DIV/0!</v>
      </c>
      <c r="H5" s="22" t="str">
        <f t="shared" si="1"/>
        <v>#DIV/0!</v>
      </c>
      <c r="I5" s="22">
        <f t="shared" si="1"/>
        <v>0.7835948276</v>
      </c>
      <c r="J5" s="22">
        <f t="shared" si="1"/>
        <v>0.6604784023</v>
      </c>
      <c r="K5" s="23">
        <f t="shared" si="1"/>
        <v>0.219777149</v>
      </c>
      <c r="L5" s="13"/>
      <c r="M5" s="5"/>
      <c r="N5" s="5"/>
    </row>
    <row r="6">
      <c r="B6" s="5"/>
      <c r="C6" s="19"/>
      <c r="D6" s="5"/>
      <c r="E6" s="10" t="s">
        <v>10</v>
      </c>
      <c r="F6" s="24"/>
      <c r="G6" s="25"/>
      <c r="H6" s="25">
        <v>14.9</v>
      </c>
      <c r="I6" s="25">
        <v>31.196</v>
      </c>
      <c r="J6" s="25">
        <v>39.787</v>
      </c>
      <c r="K6" s="26">
        <v>53.49</v>
      </c>
      <c r="L6" s="13"/>
      <c r="M6" s="5"/>
      <c r="N6" s="5"/>
    </row>
    <row r="7">
      <c r="B7" s="5"/>
      <c r="C7" s="19"/>
      <c r="D7" s="27"/>
      <c r="E7" s="10" t="s">
        <v>11</v>
      </c>
      <c r="F7" s="28" t="str">
        <f t="shared" ref="F7:K7" si="2">(F4-F6)/F4</f>
        <v>#DIV/0!</v>
      </c>
      <c r="G7" s="29" t="str">
        <f t="shared" si="2"/>
        <v>#DIV/0!</v>
      </c>
      <c r="H7" s="29">
        <f t="shared" si="2"/>
        <v>0.8715517241</v>
      </c>
      <c r="I7" s="29">
        <f t="shared" si="2"/>
        <v>0.84921966</v>
      </c>
      <c r="J7" s="29">
        <f t="shared" si="2"/>
        <v>0.8841879446</v>
      </c>
      <c r="K7" s="30">
        <f t="shared" si="2"/>
        <v>0.8723547436</v>
      </c>
      <c r="L7" s="31"/>
      <c r="M7" s="31"/>
      <c r="N7" s="31"/>
    </row>
    <row r="8">
      <c r="A8" s="1"/>
      <c r="B8" s="19"/>
      <c r="C8" s="14"/>
      <c r="D8" s="5"/>
      <c r="E8" s="10" t="s">
        <v>12</v>
      </c>
      <c r="F8" s="32">
        <f t="shared" ref="F8:K8" si="3">F4-F6</f>
        <v>0</v>
      </c>
      <c r="G8" s="33">
        <f t="shared" si="3"/>
        <v>0</v>
      </c>
      <c r="H8" s="33">
        <f t="shared" si="3"/>
        <v>101.1</v>
      </c>
      <c r="I8" s="33">
        <f t="shared" si="3"/>
        <v>175.701</v>
      </c>
      <c r="J8" s="33">
        <f t="shared" si="3"/>
        <v>303.761</v>
      </c>
      <c r="K8" s="34">
        <f t="shared" si="3"/>
        <v>365.562</v>
      </c>
      <c r="L8" s="5"/>
      <c r="M8" s="5"/>
      <c r="N8" s="5"/>
    </row>
    <row r="9">
      <c r="A9" s="1"/>
      <c r="B9" s="19"/>
      <c r="C9" s="14"/>
      <c r="D9" s="5"/>
      <c r="E9" s="10" t="s">
        <v>13</v>
      </c>
      <c r="F9" s="35">
        <v>0.0</v>
      </c>
      <c r="G9" s="36" t="str">
        <f t="shared" ref="G9:K9" si="4">(G8-F8)/F8</f>
        <v>#DIV/0!</v>
      </c>
      <c r="H9" s="29" t="str">
        <f t="shared" si="4"/>
        <v>#DIV/0!</v>
      </c>
      <c r="I9" s="29">
        <f t="shared" si="4"/>
        <v>0.7378931751</v>
      </c>
      <c r="J9" s="29">
        <f t="shared" si="4"/>
        <v>0.7288518563</v>
      </c>
      <c r="K9" s="30">
        <f t="shared" si="4"/>
        <v>0.2034527145</v>
      </c>
      <c r="L9" s="5"/>
      <c r="M9" s="5"/>
      <c r="N9" s="5"/>
    </row>
    <row r="10">
      <c r="B10" s="5"/>
      <c r="C10" s="5"/>
      <c r="D10" s="5"/>
      <c r="E10" s="37" t="s">
        <v>14</v>
      </c>
      <c r="F10" s="38"/>
      <c r="G10" s="25"/>
      <c r="H10" s="39">
        <v>46.89</v>
      </c>
      <c r="I10" s="39">
        <v>78.525</v>
      </c>
      <c r="J10" s="40">
        <v>127.875</v>
      </c>
      <c r="K10" s="41">
        <v>160.268</v>
      </c>
      <c r="L10" s="5"/>
      <c r="M10" s="5"/>
      <c r="N10" s="5"/>
    </row>
    <row r="11">
      <c r="A11" s="1"/>
      <c r="B11" s="19"/>
      <c r="C11" s="5"/>
      <c r="D11" s="42"/>
      <c r="E11" s="37" t="s">
        <v>15</v>
      </c>
      <c r="F11" s="24"/>
      <c r="G11" s="25"/>
      <c r="H11" s="25">
        <v>32.435</v>
      </c>
      <c r="I11" s="25">
        <v>43.873</v>
      </c>
      <c r="J11" s="40">
        <v>62.35</v>
      </c>
      <c r="K11" s="41">
        <v>80.186</v>
      </c>
      <c r="L11" s="5"/>
      <c r="M11" s="5"/>
      <c r="N11" s="5"/>
    </row>
    <row r="12">
      <c r="A12" s="1"/>
      <c r="B12" s="19"/>
      <c r="C12" s="5"/>
      <c r="D12" s="42"/>
      <c r="E12" s="37" t="s">
        <v>16</v>
      </c>
      <c r="F12" s="24"/>
      <c r="G12" s="25"/>
      <c r="H12" s="25">
        <v>0.0</v>
      </c>
      <c r="I12" s="25">
        <v>0.0</v>
      </c>
      <c r="J12" s="40">
        <v>0.0</v>
      </c>
      <c r="K12" s="41">
        <v>0.0</v>
      </c>
      <c r="L12" s="5"/>
      <c r="M12" s="5"/>
      <c r="N12" s="5"/>
    </row>
    <row r="13">
      <c r="A13" s="1"/>
      <c r="B13" s="19"/>
      <c r="C13" s="42"/>
      <c r="D13" s="43"/>
      <c r="E13" s="44" t="s">
        <v>17</v>
      </c>
      <c r="F13" s="38">
        <f t="shared" ref="F13:K13" si="5">F6+F10+F11+F12</f>
        <v>0</v>
      </c>
      <c r="G13" s="39">
        <f t="shared" si="5"/>
        <v>0</v>
      </c>
      <c r="H13" s="39">
        <f t="shared" si="5"/>
        <v>94.225</v>
      </c>
      <c r="I13" s="39">
        <f t="shared" si="5"/>
        <v>153.594</v>
      </c>
      <c r="J13" s="39">
        <f t="shared" si="5"/>
        <v>230.012</v>
      </c>
      <c r="K13" s="45">
        <f t="shared" si="5"/>
        <v>293.944</v>
      </c>
      <c r="L13" s="5"/>
      <c r="M13" s="5"/>
      <c r="N13" s="5"/>
    </row>
    <row r="14">
      <c r="A14" s="1"/>
      <c r="B14" s="19"/>
      <c r="C14" s="42"/>
      <c r="D14" s="46"/>
      <c r="E14" s="44" t="s">
        <v>18</v>
      </c>
      <c r="F14" s="32">
        <f t="shared" ref="F14:K14" si="6">F4-F13</f>
        <v>0</v>
      </c>
      <c r="G14" s="33">
        <f t="shared" si="6"/>
        <v>0</v>
      </c>
      <c r="H14" s="33">
        <f t="shared" si="6"/>
        <v>21.775</v>
      </c>
      <c r="I14" s="33">
        <f t="shared" si="6"/>
        <v>53.303</v>
      </c>
      <c r="J14" s="40">
        <f t="shared" si="6"/>
        <v>113.536</v>
      </c>
      <c r="K14" s="41">
        <f t="shared" si="6"/>
        <v>125.108</v>
      </c>
      <c r="L14" s="5"/>
      <c r="M14" s="5"/>
      <c r="N14" s="5"/>
    </row>
    <row r="15">
      <c r="A15" s="1"/>
      <c r="B15" s="19"/>
      <c r="C15" s="42"/>
      <c r="D15" s="47"/>
      <c r="E15" s="37" t="s">
        <v>19</v>
      </c>
      <c r="F15" s="28" t="str">
        <f t="shared" ref="F15:K15" si="7">F14/F4</f>
        <v>#DIV/0!</v>
      </c>
      <c r="G15" s="29" t="str">
        <f t="shared" si="7"/>
        <v>#DIV/0!</v>
      </c>
      <c r="H15" s="29">
        <f t="shared" si="7"/>
        <v>0.1877155172</v>
      </c>
      <c r="I15" s="29">
        <f t="shared" si="7"/>
        <v>0.2576306085</v>
      </c>
      <c r="J15" s="29">
        <f t="shared" si="7"/>
        <v>0.330480748</v>
      </c>
      <c r="K15" s="30">
        <f t="shared" si="7"/>
        <v>0.2985500606</v>
      </c>
      <c r="L15" s="5"/>
      <c r="M15" s="5"/>
      <c r="N15" s="5"/>
    </row>
    <row r="16">
      <c r="A16" s="1"/>
      <c r="B16" s="19"/>
      <c r="C16" s="42"/>
      <c r="D16" s="47"/>
      <c r="E16" s="44" t="s">
        <v>20</v>
      </c>
      <c r="F16" s="24"/>
      <c r="G16" s="25"/>
      <c r="H16" s="25">
        <v>1.464</v>
      </c>
      <c r="I16" s="25">
        <v>0.301</v>
      </c>
      <c r="J16" s="25">
        <v>0.0</v>
      </c>
      <c r="K16" s="26">
        <v>0.0</v>
      </c>
      <c r="L16" s="5"/>
      <c r="M16" s="5"/>
      <c r="N16" s="5"/>
    </row>
    <row r="17">
      <c r="A17" s="1"/>
      <c r="B17" s="19"/>
      <c r="C17" s="42"/>
      <c r="D17" s="47"/>
      <c r="E17" s="37" t="s">
        <v>21</v>
      </c>
      <c r="F17" s="24"/>
      <c r="G17" s="25"/>
      <c r="H17" s="25">
        <v>1.351</v>
      </c>
      <c r="I17" s="25">
        <v>4.165</v>
      </c>
      <c r="J17" s="25">
        <v>0.469</v>
      </c>
      <c r="K17" s="26">
        <v>8.048</v>
      </c>
      <c r="L17" s="5"/>
      <c r="M17" s="5"/>
      <c r="N17" s="5"/>
    </row>
    <row r="18">
      <c r="A18" s="1"/>
      <c r="B18" s="19"/>
      <c r="C18" s="19"/>
      <c r="D18" s="48"/>
      <c r="E18" s="44" t="s">
        <v>22</v>
      </c>
      <c r="F18" s="24"/>
      <c r="G18" s="25"/>
      <c r="H18" s="25">
        <v>23.514</v>
      </c>
      <c r="I18" s="25">
        <v>57.769</v>
      </c>
      <c r="J18" s="40">
        <v>114.005</v>
      </c>
      <c r="K18" s="41">
        <v>133.156</v>
      </c>
      <c r="L18" s="49"/>
      <c r="M18" s="49"/>
      <c r="N18" s="49"/>
      <c r="O18" s="50"/>
    </row>
    <row r="19">
      <c r="A19" s="1"/>
      <c r="B19" s="19"/>
      <c r="C19" s="31"/>
      <c r="D19" s="51"/>
      <c r="E19" s="44" t="s">
        <v>23</v>
      </c>
      <c r="F19" s="24"/>
      <c r="G19" s="25"/>
      <c r="H19" s="25">
        <v>-6.223</v>
      </c>
      <c r="I19" s="25">
        <v>7.559</v>
      </c>
      <c r="J19" s="25">
        <v>-40.778</v>
      </c>
      <c r="K19" s="26">
        <v>20.338</v>
      </c>
      <c r="L19" s="49"/>
      <c r="M19" s="49"/>
      <c r="N19" s="49"/>
      <c r="O19" s="50"/>
    </row>
    <row r="20">
      <c r="A20" s="1"/>
      <c r="B20" s="19"/>
      <c r="C20" s="19"/>
      <c r="D20" s="51"/>
      <c r="E20" s="44" t="s">
        <v>24</v>
      </c>
      <c r="F20" s="32">
        <f t="shared" ref="F20:K20" si="8">F18-F19</f>
        <v>0</v>
      </c>
      <c r="G20" s="33">
        <f t="shared" si="8"/>
        <v>0</v>
      </c>
      <c r="H20" s="33">
        <f t="shared" si="8"/>
        <v>29.737</v>
      </c>
      <c r="I20" s="33">
        <f t="shared" si="8"/>
        <v>50.21</v>
      </c>
      <c r="J20" s="40">
        <f t="shared" si="8"/>
        <v>154.783</v>
      </c>
      <c r="K20" s="41">
        <f t="shared" si="8"/>
        <v>112.818</v>
      </c>
      <c r="L20" s="49"/>
      <c r="M20" s="49"/>
      <c r="N20" s="49"/>
      <c r="O20" s="50"/>
    </row>
    <row r="21">
      <c r="B21" s="5"/>
      <c r="C21" s="5"/>
      <c r="D21" s="5"/>
      <c r="E21" s="37" t="s">
        <v>25</v>
      </c>
      <c r="F21" s="52">
        <v>0.0</v>
      </c>
      <c r="G21" s="53">
        <v>0.0</v>
      </c>
      <c r="H21" s="54" t="str">
        <f>(H20-G20)/G20</f>
        <v>#DIV/0!</v>
      </c>
      <c r="I21" s="54">
        <f t="shared" ref="I21:K21" si="9">(I20-H20)/ABS(H20)</f>
        <v>0.6884689108</v>
      </c>
      <c r="J21" s="54">
        <f t="shared" si="9"/>
        <v>2.082712607</v>
      </c>
      <c r="K21" s="55">
        <f t="shared" si="9"/>
        <v>-0.2711215056</v>
      </c>
      <c r="L21" s="49"/>
      <c r="M21" s="49"/>
      <c r="N21" s="49"/>
      <c r="O21" s="50"/>
    </row>
    <row r="22">
      <c r="B22" s="5"/>
      <c r="C22" s="19"/>
      <c r="D22" s="48"/>
      <c r="E22" s="44" t="s">
        <v>26</v>
      </c>
      <c r="F22" s="56" t="str">
        <f t="shared" ref="F22:K22" si="10">F20/F23</f>
        <v>#DIV/0!</v>
      </c>
      <c r="G22" s="57" t="str">
        <f t="shared" si="10"/>
        <v>#DIV/0!</v>
      </c>
      <c r="H22" s="57">
        <f t="shared" si="10"/>
        <v>0.1974188237</v>
      </c>
      <c r="I22" s="57">
        <f t="shared" si="10"/>
        <v>0.2817494164</v>
      </c>
      <c r="J22" s="58">
        <f t="shared" si="10"/>
        <v>0.9467776663</v>
      </c>
      <c r="K22" s="59">
        <f t="shared" si="10"/>
        <v>0.584016648</v>
      </c>
      <c r="L22" s="49"/>
      <c r="M22" s="49"/>
      <c r="N22" s="49"/>
      <c r="O22" s="50"/>
    </row>
    <row r="23">
      <c r="A23" s="1"/>
      <c r="B23" s="3" t="s">
        <v>27</v>
      </c>
      <c r="C23" s="60" t="s">
        <v>28</v>
      </c>
      <c r="D23" s="5"/>
      <c r="E23" s="44" t="s">
        <v>29</v>
      </c>
      <c r="F23" s="61"/>
      <c r="G23" s="62"/>
      <c r="H23" s="62">
        <v>150.629</v>
      </c>
      <c r="I23" s="62">
        <v>178.208</v>
      </c>
      <c r="J23" s="62">
        <v>163.484</v>
      </c>
      <c r="K23" s="63">
        <v>193.176</v>
      </c>
      <c r="L23" s="49"/>
      <c r="M23" s="49"/>
      <c r="N23" s="49"/>
      <c r="O23" s="50"/>
    </row>
    <row r="24">
      <c r="A24" s="1"/>
      <c r="B24" s="20"/>
      <c r="C24" s="5"/>
      <c r="D24" s="5"/>
      <c r="E24" s="20"/>
      <c r="F24" s="64"/>
      <c r="G24" s="64"/>
      <c r="H24" s="31"/>
      <c r="I24" s="31"/>
      <c r="J24" s="31"/>
      <c r="K24" s="5"/>
      <c r="L24" s="49"/>
      <c r="M24" s="49"/>
      <c r="N24" s="49"/>
      <c r="O24" s="50"/>
    </row>
    <row r="25">
      <c r="A25" s="1"/>
      <c r="B25" s="20" t="s">
        <v>30</v>
      </c>
      <c r="C25" s="65">
        <f>C26/K23</f>
        <v>20.56156044</v>
      </c>
      <c r="D25" s="5"/>
      <c r="E25" s="20" t="s">
        <v>31</v>
      </c>
      <c r="F25" s="66"/>
      <c r="G25" s="67"/>
      <c r="H25" s="68">
        <v>2.283</v>
      </c>
      <c r="I25" s="68">
        <v>1.254</v>
      </c>
      <c r="J25" s="68">
        <v>1.089</v>
      </c>
      <c r="K25" s="69">
        <v>15.637</v>
      </c>
      <c r="L25" s="49"/>
      <c r="M25" s="49"/>
      <c r="N25" s="49"/>
      <c r="O25" s="50"/>
    </row>
    <row r="26">
      <c r="A26" s="1"/>
      <c r="B26" s="10" t="s">
        <v>32</v>
      </c>
      <c r="C26" s="70">
        <v>3972.0</v>
      </c>
      <c r="D26" s="5"/>
      <c r="E26" s="20" t="s">
        <v>33</v>
      </c>
      <c r="F26" s="71"/>
      <c r="G26" s="72"/>
      <c r="H26" s="73">
        <v>1.136</v>
      </c>
      <c r="I26" s="73">
        <v>66.743</v>
      </c>
      <c r="J26" s="73">
        <v>878.594</v>
      </c>
      <c r="K26" s="74">
        <v>966.116</v>
      </c>
      <c r="L26" s="49"/>
      <c r="M26" s="49"/>
      <c r="N26" s="49"/>
      <c r="O26" s="50"/>
    </row>
    <row r="27">
      <c r="A27" s="1"/>
      <c r="B27" s="10" t="s">
        <v>34</v>
      </c>
      <c r="C27" s="70">
        <f>C39</f>
        <v>3378.666213</v>
      </c>
      <c r="D27" s="5"/>
      <c r="E27" s="20" t="s">
        <v>35</v>
      </c>
      <c r="F27" s="71"/>
      <c r="G27" s="72"/>
      <c r="H27" s="73">
        <v>0.324</v>
      </c>
      <c r="I27" s="73">
        <v>0.284</v>
      </c>
      <c r="J27" s="73">
        <v>0.447</v>
      </c>
      <c r="K27" s="74">
        <v>13.885</v>
      </c>
      <c r="L27" s="49"/>
      <c r="M27" s="49"/>
      <c r="N27" s="49"/>
      <c r="O27" s="50"/>
    </row>
    <row r="28">
      <c r="A28" s="1"/>
      <c r="B28" s="10" t="s">
        <v>36</v>
      </c>
      <c r="C28" s="75">
        <f>K20/K29</f>
        <v>0.7295572268</v>
      </c>
      <c r="D28" s="5"/>
      <c r="E28" s="20" t="s">
        <v>37</v>
      </c>
      <c r="F28" s="71"/>
      <c r="G28" s="72"/>
      <c r="H28" s="73">
        <v>86.446</v>
      </c>
      <c r="I28" s="73">
        <v>142.534</v>
      </c>
      <c r="J28" s="73">
        <v>798.113</v>
      </c>
      <c r="K28" s="74">
        <v>840.999</v>
      </c>
      <c r="L28" s="49"/>
      <c r="M28" s="49"/>
      <c r="N28" s="49"/>
      <c r="O28" s="50"/>
    </row>
    <row r="29">
      <c r="A29" s="1"/>
      <c r="B29" s="20" t="s">
        <v>38</v>
      </c>
      <c r="C29" s="70">
        <f>C26+K25-K28</f>
        <v>3146.638</v>
      </c>
      <c r="D29" s="5"/>
      <c r="E29" s="20" t="s">
        <v>39</v>
      </c>
      <c r="F29" s="76"/>
      <c r="G29" s="77"/>
      <c r="H29" s="78">
        <f t="shared" ref="H29:K29" si="11">H25+H26+H27-H28</f>
        <v>-82.703</v>
      </c>
      <c r="I29" s="78">
        <f t="shared" si="11"/>
        <v>-74.253</v>
      </c>
      <c r="J29" s="78">
        <f t="shared" si="11"/>
        <v>82.017</v>
      </c>
      <c r="K29" s="79">
        <f t="shared" si="11"/>
        <v>154.639</v>
      </c>
      <c r="L29" s="49"/>
      <c r="M29" s="49"/>
      <c r="N29" s="49"/>
      <c r="O29" s="50"/>
    </row>
    <row r="30">
      <c r="A30" s="1"/>
      <c r="B30" s="80" t="s">
        <v>40</v>
      </c>
      <c r="C30" s="81">
        <f>C26/K20</f>
        <v>35.2071478</v>
      </c>
      <c r="D30" s="5"/>
      <c r="E30" s="20"/>
      <c r="F30" s="64"/>
      <c r="G30" s="64"/>
      <c r="H30" s="31"/>
      <c r="I30" s="31"/>
      <c r="J30" s="31"/>
      <c r="K30" s="5"/>
      <c r="L30" s="49"/>
      <c r="M30" s="49"/>
      <c r="N30" s="49"/>
      <c r="O30" s="50"/>
    </row>
    <row r="31">
      <c r="B31" s="44" t="s">
        <v>41</v>
      </c>
      <c r="C31" s="81">
        <f>C26/K4</f>
        <v>9.47853727</v>
      </c>
      <c r="D31" s="5"/>
      <c r="E31" s="10" t="s">
        <v>42</v>
      </c>
      <c r="F31" s="82"/>
      <c r="G31" s="83"/>
      <c r="H31" s="84">
        <v>0.0</v>
      </c>
      <c r="I31" s="84">
        <v>-2.022</v>
      </c>
      <c r="J31" s="85">
        <v>-2.698</v>
      </c>
      <c r="K31" s="86">
        <v>-85.324</v>
      </c>
      <c r="L31" s="49"/>
      <c r="M31" s="49"/>
      <c r="N31" s="49"/>
      <c r="O31" s="50"/>
    </row>
    <row r="32">
      <c r="B32" s="87" t="s">
        <v>43</v>
      </c>
      <c r="C32" s="88">
        <f>C26/K26</f>
        <v>4.111307545</v>
      </c>
      <c r="D32" s="5"/>
      <c r="E32" s="89" t="s">
        <v>44</v>
      </c>
      <c r="F32" s="90"/>
      <c r="G32" s="91"/>
      <c r="H32" s="91">
        <v>0.0</v>
      </c>
      <c r="I32" s="91">
        <v>0.0</v>
      </c>
      <c r="J32" s="92">
        <v>553.905</v>
      </c>
      <c r="K32" s="93">
        <v>0.0</v>
      </c>
      <c r="L32" s="5"/>
      <c r="M32" s="5"/>
      <c r="N32" s="5"/>
    </row>
    <row r="33">
      <c r="B33" s="87" t="s">
        <v>45</v>
      </c>
      <c r="C33" s="81">
        <f>C29/K4</f>
        <v>7.508943997</v>
      </c>
      <c r="D33" s="5"/>
      <c r="E33" s="20" t="s">
        <v>46</v>
      </c>
      <c r="F33" s="90"/>
      <c r="G33" s="94"/>
      <c r="H33" s="94">
        <v>2.353</v>
      </c>
      <c r="I33" s="94">
        <v>7.252</v>
      </c>
      <c r="J33" s="94">
        <v>31.442</v>
      </c>
      <c r="K33" s="93">
        <v>47.834</v>
      </c>
      <c r="L33" s="49"/>
      <c r="M33" s="49"/>
      <c r="N33" s="49"/>
      <c r="O33" s="50"/>
    </row>
    <row r="34">
      <c r="B34" s="44" t="s">
        <v>47</v>
      </c>
      <c r="C34" s="95">
        <f>C29/K18</f>
        <v>23.63121452</v>
      </c>
      <c r="D34" s="9"/>
      <c r="E34" s="89" t="s">
        <v>48</v>
      </c>
      <c r="F34" s="90"/>
      <c r="G34" s="91"/>
      <c r="H34" s="91">
        <v>0.0</v>
      </c>
      <c r="I34" s="91">
        <v>0.0</v>
      </c>
      <c r="J34" s="92">
        <v>0.0</v>
      </c>
      <c r="K34" s="93">
        <v>0.0</v>
      </c>
      <c r="L34" s="49"/>
      <c r="M34" s="49"/>
      <c r="N34" s="49"/>
      <c r="O34" s="50"/>
    </row>
    <row r="35">
      <c r="A35" s="1"/>
      <c r="B35" s="9"/>
      <c r="C35" s="96"/>
      <c r="D35" s="97"/>
      <c r="E35" s="89" t="s">
        <v>49</v>
      </c>
      <c r="F35" s="98"/>
      <c r="G35" s="99"/>
      <c r="H35" s="99">
        <v>0.0</v>
      </c>
      <c r="I35" s="99">
        <v>0.0</v>
      </c>
      <c r="J35" s="100">
        <v>0.0</v>
      </c>
      <c r="K35" s="101">
        <v>0.0</v>
      </c>
      <c r="L35" s="49"/>
      <c r="M35" s="49"/>
      <c r="N35" s="49"/>
      <c r="O35" s="50"/>
    </row>
    <row r="36">
      <c r="A36" s="1"/>
      <c r="B36" s="37" t="s">
        <v>50</v>
      </c>
      <c r="C36" s="102">
        <v>0.11</v>
      </c>
      <c r="D36" s="103"/>
      <c r="E36" s="89"/>
      <c r="F36" s="104"/>
      <c r="G36" s="104"/>
      <c r="H36" s="104"/>
      <c r="I36" s="64"/>
      <c r="J36" s="5"/>
      <c r="K36" s="5"/>
      <c r="L36" s="5"/>
      <c r="M36" s="5"/>
      <c r="N36" s="5"/>
    </row>
    <row r="37">
      <c r="B37" s="37" t="s">
        <v>51</v>
      </c>
      <c r="C37" s="105">
        <v>0.1</v>
      </c>
      <c r="D37" s="9"/>
      <c r="E37" s="10" t="s">
        <v>52</v>
      </c>
      <c r="F37" s="106"/>
      <c r="G37" s="107"/>
      <c r="H37" s="108">
        <v>26.199</v>
      </c>
      <c r="I37" s="108">
        <v>82.973</v>
      </c>
      <c r="J37" s="109">
        <v>126.575</v>
      </c>
      <c r="K37" s="110">
        <v>179.602</v>
      </c>
      <c r="L37" s="5"/>
      <c r="M37" s="5"/>
      <c r="N37" s="5"/>
    </row>
    <row r="38">
      <c r="B38" s="44" t="s">
        <v>53</v>
      </c>
      <c r="C38" s="111">
        <f t="array" ref="C38">NPV(C36, J50:J60)</f>
        <v>2553.304213</v>
      </c>
      <c r="D38" s="9"/>
      <c r="E38" s="89" t="s">
        <v>54</v>
      </c>
      <c r="F38" s="112"/>
      <c r="G38" s="113"/>
      <c r="H38" s="113">
        <v>-13.095</v>
      </c>
      <c r="I38" s="113">
        <v>-70.417</v>
      </c>
      <c r="J38" s="114">
        <v>-640.574</v>
      </c>
      <c r="K38" s="115">
        <v>-59.923</v>
      </c>
      <c r="L38" s="5"/>
      <c r="M38" s="5"/>
      <c r="N38" s="5"/>
    </row>
    <row r="39">
      <c r="B39" s="44" t="s">
        <v>55</v>
      </c>
      <c r="C39" s="111">
        <f>C38+K28-K25</f>
        <v>3378.666213</v>
      </c>
      <c r="D39" s="9"/>
      <c r="E39" s="89" t="s">
        <v>56</v>
      </c>
      <c r="F39" s="112"/>
      <c r="G39" s="113"/>
      <c r="H39" s="113">
        <v>1.719</v>
      </c>
      <c r="I39" s="113">
        <v>5.407</v>
      </c>
      <c r="J39" s="114">
        <v>560.415</v>
      </c>
      <c r="K39" s="115">
        <v>-74.461</v>
      </c>
      <c r="L39" s="5"/>
      <c r="M39" s="5"/>
      <c r="N39" s="5"/>
    </row>
    <row r="40">
      <c r="B40" s="44" t="s">
        <v>29</v>
      </c>
      <c r="C40" s="116">
        <f>K23</f>
        <v>193.176</v>
      </c>
      <c r="D40" s="9"/>
      <c r="E40" s="89" t="s">
        <v>57</v>
      </c>
      <c r="F40" s="112"/>
      <c r="G40" s="113"/>
      <c r="H40" s="113">
        <v>14.823</v>
      </c>
      <c r="I40" s="113">
        <v>17.963</v>
      </c>
      <c r="J40" s="114">
        <v>46.416</v>
      </c>
      <c r="K40" s="115">
        <v>45.218</v>
      </c>
      <c r="L40" s="5"/>
      <c r="M40" s="5"/>
      <c r="N40" s="5"/>
    </row>
    <row r="41">
      <c r="A41" s="1"/>
      <c r="B41" s="37" t="s">
        <v>58</v>
      </c>
      <c r="C41" s="117">
        <f>C39/C40</f>
        <v>17.49009304</v>
      </c>
      <c r="D41" s="118"/>
      <c r="E41" s="89" t="s">
        <v>59</v>
      </c>
      <c r="F41" s="119"/>
      <c r="G41" s="120"/>
      <c r="H41" s="120">
        <v>21.955</v>
      </c>
      <c r="I41" s="120">
        <v>78.363</v>
      </c>
      <c r="J41" s="121">
        <v>120.878</v>
      </c>
      <c r="K41" s="122">
        <v>173.418</v>
      </c>
      <c r="L41" s="5"/>
      <c r="M41" s="5"/>
      <c r="N41" s="5"/>
    </row>
    <row r="42">
      <c r="A42" s="1"/>
      <c r="B42" s="20" t="s">
        <v>60</v>
      </c>
      <c r="C42" s="123">
        <f>(C41-C25)/C41</f>
        <v>-0.1756118389</v>
      </c>
      <c r="D42" s="103"/>
      <c r="E42" s="124"/>
      <c r="F42" s="48"/>
      <c r="G42" s="48"/>
      <c r="H42" s="125"/>
      <c r="I42" s="5"/>
      <c r="J42" s="5"/>
      <c r="K42" s="5"/>
      <c r="L42" s="5"/>
      <c r="M42" s="5"/>
      <c r="N42" s="5"/>
    </row>
    <row r="43">
      <c r="B43" s="20"/>
      <c r="C43" s="126"/>
      <c r="D43" s="48"/>
      <c r="E43" s="127" t="s">
        <v>61</v>
      </c>
      <c r="F43" s="128" t="s">
        <v>8</v>
      </c>
      <c r="G43" s="129" t="s">
        <v>62</v>
      </c>
      <c r="H43" s="130" t="s">
        <v>24</v>
      </c>
      <c r="I43" s="128" t="s">
        <v>63</v>
      </c>
      <c r="J43" s="131" t="s">
        <v>64</v>
      </c>
      <c r="K43" s="132" t="s">
        <v>65</v>
      </c>
      <c r="L43" s="49"/>
      <c r="M43" s="5"/>
      <c r="N43" s="5"/>
    </row>
    <row r="44">
      <c r="A44" s="1"/>
      <c r="B44" s="10" t="s">
        <v>66</v>
      </c>
      <c r="C44" s="133">
        <f>C38+K28-K60</f>
        <v>3353.744862</v>
      </c>
      <c r="D44" s="48"/>
      <c r="E44" s="134"/>
      <c r="F44" s="135"/>
      <c r="G44" s="135"/>
      <c r="H44" s="136"/>
      <c r="I44" s="137"/>
      <c r="J44" s="49"/>
      <c r="K44" s="49"/>
      <c r="L44" s="49"/>
      <c r="M44" s="5"/>
      <c r="N44" s="5"/>
    </row>
    <row r="45">
      <c r="A45" s="1"/>
      <c r="B45" s="10" t="s">
        <v>67</v>
      </c>
      <c r="C45" s="138">
        <f>C44/K23</f>
        <v>17.36108452</v>
      </c>
      <c r="D45" s="48"/>
      <c r="E45" s="139">
        <v>2018.0</v>
      </c>
      <c r="F45" s="140"/>
      <c r="G45" s="141"/>
      <c r="H45" s="142"/>
      <c r="I45" s="143">
        <v>0.0</v>
      </c>
      <c r="J45" s="144">
        <v>0.0</v>
      </c>
      <c r="K45" s="145">
        <v>0.0</v>
      </c>
      <c r="L45" s="49"/>
      <c r="M45" s="5"/>
      <c r="N45" s="5"/>
    </row>
    <row r="46">
      <c r="A46" s="1"/>
      <c r="B46" s="1"/>
      <c r="C46" s="126"/>
      <c r="D46" s="48"/>
      <c r="E46" s="139">
        <v>2019.0</v>
      </c>
      <c r="F46" s="146" t="str">
        <f>G4</f>
        <v/>
      </c>
      <c r="G46" s="147"/>
      <c r="H46" s="148"/>
      <c r="I46" s="149">
        <v>0.0</v>
      </c>
      <c r="J46" s="150">
        <v>0.0</v>
      </c>
      <c r="K46" s="151">
        <v>0.0</v>
      </c>
      <c r="L46" s="152">
        <v>1.0</v>
      </c>
      <c r="M46" s="5"/>
      <c r="N46" s="5"/>
    </row>
    <row r="47">
      <c r="A47" s="1"/>
      <c r="B47" s="37" t="s">
        <v>68</v>
      </c>
      <c r="C47" s="153">
        <f>C37</f>
        <v>0.1</v>
      </c>
      <c r="D47" s="80"/>
      <c r="E47" s="139">
        <v>2020.0</v>
      </c>
      <c r="F47" s="154">
        <f>H4</f>
        <v>116</v>
      </c>
      <c r="G47" s="155" t="str">
        <f>H5</f>
        <v>#DIV/0!</v>
      </c>
      <c r="H47" s="148">
        <f>H20</f>
        <v>29.737</v>
      </c>
      <c r="I47" s="149">
        <v>0.0</v>
      </c>
      <c r="J47" s="150">
        <f>H41</f>
        <v>21.955</v>
      </c>
      <c r="K47" s="151">
        <f>H25</f>
        <v>2.283</v>
      </c>
      <c r="L47" s="152" t="str">
        <f>(K47/K46)</f>
        <v>#DIV/0!</v>
      </c>
      <c r="M47" s="5"/>
      <c r="N47" s="5"/>
    </row>
    <row r="48">
      <c r="B48" s="20" t="s">
        <v>69</v>
      </c>
      <c r="C48" s="156">
        <f t="array" ref="C48">NPV(C36, I64:I74)</f>
        <v>8235.218101</v>
      </c>
      <c r="D48" s="157"/>
      <c r="E48" s="158">
        <v>2021.0</v>
      </c>
      <c r="F48" s="154">
        <f>I4</f>
        <v>206.897</v>
      </c>
      <c r="G48" s="155">
        <f>I5</f>
        <v>0.7835948276</v>
      </c>
      <c r="H48" s="148">
        <f>I20</f>
        <v>50.21</v>
      </c>
      <c r="I48" s="149">
        <v>0.0</v>
      </c>
      <c r="J48" s="150">
        <f>I41</f>
        <v>78.363</v>
      </c>
      <c r="K48" s="151">
        <f>I25</f>
        <v>1.254</v>
      </c>
      <c r="L48" s="152">
        <f t="shared" ref="L48:L49" si="12">K48/K47</f>
        <v>0.5492772668</v>
      </c>
      <c r="M48" s="5"/>
      <c r="N48" s="5"/>
    </row>
    <row r="49">
      <c r="B49" s="10" t="s">
        <v>70</v>
      </c>
      <c r="C49" s="159">
        <f>C48/K64</f>
        <v>33.24125104</v>
      </c>
      <c r="D49" s="157"/>
      <c r="E49" s="158">
        <v>2022.0</v>
      </c>
      <c r="F49" s="154">
        <f>J4</f>
        <v>343.548</v>
      </c>
      <c r="G49" s="155">
        <f>J5</f>
        <v>0.6604784023</v>
      </c>
      <c r="H49" s="148">
        <f>J20</f>
        <v>154.783</v>
      </c>
      <c r="I49" s="149">
        <v>0.0</v>
      </c>
      <c r="J49" s="150">
        <f>J41</f>
        <v>120.878</v>
      </c>
      <c r="K49" s="151">
        <f>J25</f>
        <v>1.089</v>
      </c>
      <c r="L49" s="152">
        <f t="shared" si="12"/>
        <v>0.8684210526</v>
      </c>
      <c r="M49" s="5"/>
      <c r="N49" s="5"/>
    </row>
    <row r="50">
      <c r="B50" s="10" t="s">
        <v>71</v>
      </c>
      <c r="C50" s="160">
        <f>(C49/C25)^(1/10)-1</f>
        <v>0.04920929397</v>
      </c>
      <c r="D50" s="157"/>
      <c r="E50" s="158">
        <v>2023.0</v>
      </c>
      <c r="F50" s="146">
        <f>K4</f>
        <v>419.052</v>
      </c>
      <c r="G50" s="161">
        <f>K5</f>
        <v>0.219777149</v>
      </c>
      <c r="H50" s="148">
        <f>K20</f>
        <v>112.818</v>
      </c>
      <c r="I50" s="149">
        <v>0.0</v>
      </c>
      <c r="J50" s="150">
        <f>K41</f>
        <v>173.418</v>
      </c>
      <c r="K50" s="151">
        <f>K25</f>
        <v>15.637</v>
      </c>
      <c r="L50" s="152">
        <v>1.1</v>
      </c>
      <c r="M50" s="5"/>
      <c r="N50" s="5"/>
    </row>
    <row r="51">
      <c r="A51" s="1"/>
      <c r="B51" s="37"/>
      <c r="D51" s="157"/>
      <c r="E51" s="158">
        <v>2024.0</v>
      </c>
      <c r="F51" s="146">
        <f t="shared" ref="F51:F60" si="13">F50*(1+G51)</f>
        <v>519.6780247</v>
      </c>
      <c r="G51" s="161">
        <f>AVERAGE(G49:G50) - 0.2</f>
        <v>0.2401277757</v>
      </c>
      <c r="H51" s="148">
        <f t="shared" ref="H51:H60" si="14">H50*(1+G51)</f>
        <v>139.9087354</v>
      </c>
      <c r="I51" s="149">
        <v>0.0</v>
      </c>
      <c r="J51" s="162">
        <f t="shared" ref="J51:J60" si="15">J50*(1+G51)</f>
        <v>215.0604786</v>
      </c>
      <c r="K51" s="163">
        <f>L50*K50</f>
        <v>17.2007</v>
      </c>
      <c r="L51" s="5"/>
      <c r="M51" s="5"/>
      <c r="N51" s="5"/>
    </row>
    <row r="52">
      <c r="A52" s="1"/>
      <c r="B52" s="10" t="s">
        <v>72</v>
      </c>
      <c r="C52" s="164">
        <f>I52</f>
        <v>-0.01401277757</v>
      </c>
      <c r="D52" s="49"/>
      <c r="E52" s="158">
        <v>2025.0</v>
      </c>
      <c r="F52" s="146">
        <f t="shared" si="13"/>
        <v>637.1850202</v>
      </c>
      <c r="G52" s="161">
        <f>G51-(G51-G60) / 10</f>
        <v>0.2261149981</v>
      </c>
      <c r="H52" s="148">
        <f t="shared" si="14"/>
        <v>171.5441988</v>
      </c>
      <c r="I52" s="165">
        <f>G52-G51</f>
        <v>-0.01401277757</v>
      </c>
      <c r="J52" s="150">
        <f t="shared" si="15"/>
        <v>263.6888783</v>
      </c>
      <c r="K52" s="151">
        <f>L50*K51</f>
        <v>18.92077</v>
      </c>
      <c r="L52" s="49"/>
      <c r="M52" s="5"/>
      <c r="N52" s="5"/>
    </row>
    <row r="53">
      <c r="A53" s="1"/>
      <c r="B53" s="10" t="s">
        <v>73</v>
      </c>
      <c r="C53" s="166">
        <f>J60/H60</f>
        <v>1.537148327</v>
      </c>
      <c r="D53" s="49"/>
      <c r="E53" s="167">
        <v>2026.0</v>
      </c>
      <c r="F53" s="146">
        <f t="shared" si="13"/>
        <v>772.3333779</v>
      </c>
      <c r="G53" s="161">
        <f>G52-(G51-G60) / 10</f>
        <v>0.2121022205</v>
      </c>
      <c r="H53" s="148">
        <f t="shared" si="14"/>
        <v>207.9291043</v>
      </c>
      <c r="I53" s="165">
        <f t="shared" ref="I53:I60" si="16">I52 * (1+G52)</f>
        <v>-0.01718127674</v>
      </c>
      <c r="J53" s="150">
        <f t="shared" si="15"/>
        <v>319.6178749</v>
      </c>
      <c r="K53" s="151">
        <f>L50*K52</f>
        <v>20.812847</v>
      </c>
      <c r="L53" s="49"/>
      <c r="M53" s="5"/>
      <c r="N53" s="5"/>
    </row>
    <row r="54">
      <c r="A54" s="1"/>
      <c r="B54" s="10" t="s">
        <v>74</v>
      </c>
      <c r="C54" s="168">
        <f>C53*(1+C52)^10</f>
        <v>1.334838258</v>
      </c>
      <c r="D54" s="49"/>
      <c r="E54" s="167">
        <v>2027.0</v>
      </c>
      <c r="F54" s="146">
        <f t="shared" si="13"/>
        <v>925.3244665</v>
      </c>
      <c r="G54" s="161">
        <f>G53-(G51-G60) / 10</f>
        <v>0.198089443</v>
      </c>
      <c r="H54" s="148">
        <f t="shared" si="14"/>
        <v>249.1176648</v>
      </c>
      <c r="I54" s="165">
        <f t="shared" si="16"/>
        <v>-0.02082546369</v>
      </c>
      <c r="J54" s="150">
        <f t="shared" si="15"/>
        <v>382.9308017</v>
      </c>
      <c r="K54" s="151">
        <f>L50*K53</f>
        <v>22.8941317</v>
      </c>
      <c r="L54" s="49"/>
      <c r="M54" s="5"/>
      <c r="N54" s="5"/>
    </row>
    <row r="55">
      <c r="B55" s="10" t="s">
        <v>75</v>
      </c>
      <c r="C55" s="169">
        <f t="array" ref="C55">NPV(C36, J64:J74)</f>
        <v>7151.349023</v>
      </c>
      <c r="D55" s="19"/>
      <c r="E55" s="167">
        <v>2028.0</v>
      </c>
      <c r="F55" s="146">
        <f t="shared" si="13"/>
        <v>1095.655109</v>
      </c>
      <c r="G55" s="161">
        <f>G54-(G51-G60) / 10</f>
        <v>0.1840766654</v>
      </c>
      <c r="H55" s="148">
        <f t="shared" si="14"/>
        <v>294.9744138</v>
      </c>
      <c r="I55" s="165">
        <f t="shared" si="16"/>
        <v>-0.02495076819</v>
      </c>
      <c r="J55" s="150">
        <f t="shared" si="15"/>
        <v>453.4194268</v>
      </c>
      <c r="K55" s="151">
        <f>L50*K54</f>
        <v>25.18354487</v>
      </c>
      <c r="L55" s="49"/>
      <c r="M55" s="5"/>
      <c r="N55" s="5"/>
    </row>
    <row r="56">
      <c r="B56" s="10" t="s">
        <v>70</v>
      </c>
      <c r="C56" s="170">
        <f>C55/K64</f>
        <v>28.86624073</v>
      </c>
      <c r="D56" s="49"/>
      <c r="E56" s="167">
        <v>2029.0</v>
      </c>
      <c r="F56" s="146">
        <f t="shared" si="13"/>
        <v>1281.986476</v>
      </c>
      <c r="G56" s="161">
        <f>G55-(G51-G60) / 10</f>
        <v>0.1700638878</v>
      </c>
      <c r="H56" s="148">
        <f t="shared" si="14"/>
        <v>345.1389094</v>
      </c>
      <c r="I56" s="165">
        <f t="shared" si="16"/>
        <v>-0.0295436224</v>
      </c>
      <c r="J56" s="150">
        <f t="shared" si="15"/>
        <v>530.5296973</v>
      </c>
      <c r="K56" s="151">
        <f>L50*K55</f>
        <v>27.70189936</v>
      </c>
      <c r="L56" s="49"/>
      <c r="M56" s="5"/>
      <c r="N56" s="5"/>
    </row>
    <row r="57">
      <c r="A57" s="1"/>
      <c r="B57" s="10" t="s">
        <v>71</v>
      </c>
      <c r="C57" s="171">
        <f>(C56/C25)^(1/10)-1</f>
        <v>0.03450695752</v>
      </c>
      <c r="D57" s="49"/>
      <c r="E57" s="167">
        <v>2030.0</v>
      </c>
      <c r="F57" s="146">
        <f t="shared" si="13"/>
        <v>1482.041889</v>
      </c>
      <c r="G57" s="161">
        <f>G56-(G51-G60) / 10</f>
        <v>0.1560511103</v>
      </c>
      <c r="H57" s="148">
        <f t="shared" si="14"/>
        <v>398.9982194</v>
      </c>
      <c r="I57" s="165">
        <f t="shared" si="16"/>
        <v>-0.03456792568</v>
      </c>
      <c r="J57" s="150">
        <f t="shared" si="15"/>
        <v>613.3194457</v>
      </c>
      <c r="K57" s="163">
        <f>L50*K56</f>
        <v>30.47208929</v>
      </c>
      <c r="L57" s="5"/>
      <c r="M57" s="5"/>
      <c r="N57" s="5"/>
    </row>
    <row r="58">
      <c r="A58" s="1"/>
      <c r="B58" s="37"/>
      <c r="C58" s="126"/>
      <c r="D58" s="49"/>
      <c r="E58" s="124">
        <v>2031.0</v>
      </c>
      <c r="F58" s="146">
        <f t="shared" si="13"/>
        <v>1692.548648</v>
      </c>
      <c r="G58" s="161">
        <f>G57-(G51-G60) / 10</f>
        <v>0.1420383327</v>
      </c>
      <c r="H58" s="148">
        <f t="shared" si="14"/>
        <v>455.6712613</v>
      </c>
      <c r="I58" s="165">
        <f t="shared" si="16"/>
        <v>-0.03996228887</v>
      </c>
      <c r="J58" s="150">
        <f t="shared" si="15"/>
        <v>700.4343171</v>
      </c>
      <c r="K58" s="163">
        <f>L50*K57</f>
        <v>33.51929822</v>
      </c>
      <c r="L58" s="5"/>
      <c r="M58" s="5"/>
      <c r="N58" s="5"/>
    </row>
    <row r="59">
      <c r="A59" s="1"/>
      <c r="B59" s="20"/>
      <c r="C59" s="172"/>
      <c r="D59" s="19"/>
      <c r="E59" s="124">
        <v>2032.0</v>
      </c>
      <c r="F59" s="146">
        <f t="shared" si="13"/>
        <v>1909.238128</v>
      </c>
      <c r="G59" s="161">
        <f>G58-(G51-G60) / 10</f>
        <v>0.1280255551</v>
      </c>
      <c r="H59" s="148">
        <f t="shared" si="14"/>
        <v>514.0088275</v>
      </c>
      <c r="I59" s="165">
        <f t="shared" si="16"/>
        <v>-0.04563846575</v>
      </c>
      <c r="J59" s="150">
        <f t="shared" si="15"/>
        <v>790.1078094</v>
      </c>
      <c r="K59" s="163">
        <f>L50*K58</f>
        <v>36.87122804</v>
      </c>
      <c r="L59" s="5"/>
      <c r="M59" s="5"/>
      <c r="N59" s="5"/>
    </row>
    <row r="60">
      <c r="A60" s="1"/>
      <c r="B60" s="10"/>
      <c r="C60" s="172"/>
      <c r="D60" s="19"/>
      <c r="E60" s="124">
        <v>2033.0</v>
      </c>
      <c r="F60" s="173">
        <f t="shared" si="13"/>
        <v>2100.161941</v>
      </c>
      <c r="G60" s="174">
        <f>C37</f>
        <v>0.1</v>
      </c>
      <c r="H60" s="175">
        <f t="shared" si="14"/>
        <v>565.4097102</v>
      </c>
      <c r="I60" s="176">
        <f t="shared" si="16"/>
        <v>-0.05148135566</v>
      </c>
      <c r="J60" s="177">
        <f t="shared" si="15"/>
        <v>869.1185903</v>
      </c>
      <c r="K60" s="178">
        <f>L50*K59</f>
        <v>40.55835085</v>
      </c>
      <c r="L60" s="5"/>
      <c r="M60" s="5"/>
      <c r="N60" s="5"/>
    </row>
    <row r="61">
      <c r="A61" s="1"/>
      <c r="B61" s="10"/>
      <c r="C61" s="126"/>
      <c r="D61" s="157"/>
      <c r="E61" s="5"/>
      <c r="F61" s="179"/>
      <c r="G61" s="179"/>
      <c r="H61" s="5"/>
      <c r="I61" s="5"/>
      <c r="J61" s="5"/>
      <c r="K61" s="5"/>
      <c r="L61" s="5"/>
      <c r="M61" s="5"/>
      <c r="N61" s="5"/>
    </row>
    <row r="62">
      <c r="A62" s="1"/>
      <c r="B62" s="1"/>
      <c r="C62" s="180"/>
      <c r="D62" s="157"/>
      <c r="E62" s="127" t="s">
        <v>61</v>
      </c>
      <c r="F62" s="128" t="s">
        <v>76</v>
      </c>
      <c r="G62" s="128" t="s">
        <v>62</v>
      </c>
      <c r="H62" s="181" t="s">
        <v>24</v>
      </c>
      <c r="I62" s="131" t="s">
        <v>64</v>
      </c>
      <c r="J62" s="131" t="s">
        <v>77</v>
      </c>
      <c r="K62" s="132" t="s">
        <v>29</v>
      </c>
      <c r="L62" s="5"/>
      <c r="M62" s="5"/>
      <c r="N62" s="5"/>
    </row>
    <row r="63">
      <c r="A63" s="1"/>
      <c r="B63" s="1"/>
      <c r="C63" s="182"/>
      <c r="D63" s="157"/>
      <c r="E63" s="134"/>
      <c r="F63" s="135"/>
      <c r="G63" s="135"/>
      <c r="H63" s="136"/>
      <c r="I63" s="137"/>
      <c r="J63" s="49"/>
      <c r="L63" s="5"/>
      <c r="M63" s="5"/>
      <c r="N63" s="5"/>
    </row>
    <row r="64">
      <c r="A64" s="126"/>
      <c r="B64" s="1"/>
      <c r="C64" s="126"/>
      <c r="D64" s="31"/>
      <c r="E64" s="124">
        <v>2033.0</v>
      </c>
      <c r="F64" s="183">
        <f>F60*C54</f>
        <v>2803.376508</v>
      </c>
      <c r="G64" s="184">
        <f t="shared" ref="G64:H64" si="17">G60</f>
        <v>0.1</v>
      </c>
      <c r="H64" s="185">
        <f t="shared" si="17"/>
        <v>565.4097102</v>
      </c>
      <c r="I64" s="186">
        <f>J60</f>
        <v>869.1185903</v>
      </c>
      <c r="J64" s="144">
        <f>H64*C54</f>
        <v>754.7305129</v>
      </c>
      <c r="K64" s="187">
        <f>L64*K23</f>
        <v>247.7409196</v>
      </c>
      <c r="L64" s="5">
        <f>((K23-H23)/H23 + 1)</f>
        <v>1.282462208</v>
      </c>
      <c r="M64" s="5"/>
      <c r="N64" s="5"/>
    </row>
    <row r="65">
      <c r="A65" s="126"/>
      <c r="B65" s="1"/>
      <c r="C65" s="126"/>
      <c r="D65" s="31"/>
      <c r="E65" s="124">
        <v>2034.0</v>
      </c>
      <c r="F65" s="146">
        <f t="shared" ref="F65:F74" si="18">F64*(1+G65)</f>
        <v>3083.714159</v>
      </c>
      <c r="G65" s="161">
        <f>G64-(G64-G74) / 10</f>
        <v>0.1</v>
      </c>
      <c r="H65" s="148">
        <f t="shared" ref="H65:H74" si="19">H64*(1+G65)</f>
        <v>621.9506812</v>
      </c>
      <c r="I65" s="188">
        <f t="shared" ref="I65:I74" si="20">I64*(1+G65)</f>
        <v>956.0304494</v>
      </c>
      <c r="J65" s="162">
        <f>H65*C54</f>
        <v>830.2035642</v>
      </c>
      <c r="K65" s="189">
        <f t="shared" ref="K65:K68" si="21">L65*K64</f>
        <v>301.8324485</v>
      </c>
      <c r="L65" s="5">
        <f t="shared" ref="L65:L68" si="22">L64*0.95</f>
        <v>1.218339098</v>
      </c>
      <c r="M65" s="5"/>
      <c r="N65" s="5"/>
    </row>
    <row r="66">
      <c r="A66" s="126"/>
      <c r="B66" s="1"/>
      <c r="C66" s="172"/>
      <c r="D66" s="31"/>
      <c r="E66" s="124">
        <v>2035.0</v>
      </c>
      <c r="F66" s="146">
        <f t="shared" si="18"/>
        <v>3392.085575</v>
      </c>
      <c r="G66" s="161">
        <f>G65-(G64-G74) / 10</f>
        <v>0.1</v>
      </c>
      <c r="H66" s="148">
        <f t="shared" si="19"/>
        <v>684.1457494</v>
      </c>
      <c r="I66" s="188">
        <f t="shared" si="20"/>
        <v>1051.633494</v>
      </c>
      <c r="J66" s="150">
        <f>H66*C54</f>
        <v>913.2239206</v>
      </c>
      <c r="K66" s="190">
        <f t="shared" si="21"/>
        <v>349.3475594</v>
      </c>
      <c r="L66" s="5">
        <f t="shared" si="22"/>
        <v>1.157422143</v>
      </c>
      <c r="M66" s="5"/>
      <c r="N66" s="5"/>
    </row>
    <row r="67">
      <c r="A67" s="126"/>
      <c r="B67" s="1"/>
      <c r="C67" s="172"/>
      <c r="D67" s="31"/>
      <c r="E67" s="124">
        <v>2036.0</v>
      </c>
      <c r="F67" s="146">
        <f t="shared" si="18"/>
        <v>3731.294132</v>
      </c>
      <c r="G67" s="161">
        <f>G66-(G64-G74) / 10</f>
        <v>0.1</v>
      </c>
      <c r="H67" s="148">
        <f t="shared" si="19"/>
        <v>752.5603243</v>
      </c>
      <c r="I67" s="188">
        <f t="shared" si="20"/>
        <v>1156.796844</v>
      </c>
      <c r="J67" s="162">
        <f>H67*C54</f>
        <v>1004.546313</v>
      </c>
      <c r="K67" s="189">
        <f t="shared" si="21"/>
        <v>384.1254709</v>
      </c>
      <c r="L67" s="5">
        <f t="shared" si="22"/>
        <v>1.099551036</v>
      </c>
      <c r="M67" s="5"/>
      <c r="N67" s="5"/>
    </row>
    <row r="68">
      <c r="A68" s="1"/>
      <c r="B68" s="1"/>
      <c r="C68" s="126"/>
      <c r="D68" s="19"/>
      <c r="E68" s="124">
        <v>2037.0</v>
      </c>
      <c r="F68" s="146">
        <f t="shared" si="18"/>
        <v>4104.423546</v>
      </c>
      <c r="G68" s="161">
        <f>G67-(G64-G74) / 10</f>
        <v>0.1</v>
      </c>
      <c r="H68" s="148">
        <f t="shared" si="19"/>
        <v>827.8163567</v>
      </c>
      <c r="I68" s="188">
        <f t="shared" si="20"/>
        <v>1272.476528</v>
      </c>
      <c r="J68" s="150">
        <f>H68*C54</f>
        <v>1105.000944</v>
      </c>
      <c r="K68" s="190">
        <f t="shared" si="21"/>
        <v>401.2472815</v>
      </c>
      <c r="L68" s="5">
        <f t="shared" si="22"/>
        <v>1.044573484</v>
      </c>
      <c r="M68" s="5"/>
      <c r="N68" s="5"/>
    </row>
    <row r="69">
      <c r="A69" s="1"/>
      <c r="B69" s="10"/>
      <c r="C69" s="19"/>
      <c r="D69" s="19"/>
      <c r="E69" s="124">
        <v>2038.0</v>
      </c>
      <c r="F69" s="146">
        <f t="shared" si="18"/>
        <v>4514.8659</v>
      </c>
      <c r="G69" s="161">
        <f>G68-(G64-G74) / 10</f>
        <v>0.1</v>
      </c>
      <c r="H69" s="148">
        <f t="shared" si="19"/>
        <v>910.5979924</v>
      </c>
      <c r="I69" s="188">
        <f t="shared" si="20"/>
        <v>1399.724181</v>
      </c>
      <c r="J69" s="162">
        <f>H69*C54</f>
        <v>1215.501038</v>
      </c>
      <c r="K69" s="189">
        <f>L68*K68</f>
        <v>419.1322709</v>
      </c>
      <c r="L69" s="5"/>
      <c r="M69" s="5"/>
      <c r="N69" s="5"/>
    </row>
    <row r="70">
      <c r="A70" s="1"/>
      <c r="B70" s="10"/>
      <c r="C70" s="191"/>
      <c r="D70" s="19"/>
      <c r="E70" s="124">
        <v>2039.0</v>
      </c>
      <c r="F70" s="146">
        <f t="shared" si="18"/>
        <v>4966.35249</v>
      </c>
      <c r="G70" s="161">
        <f>G69-(G64-G74) / 10</f>
        <v>0.1</v>
      </c>
      <c r="H70" s="148">
        <f t="shared" si="19"/>
        <v>1001.657792</v>
      </c>
      <c r="I70" s="188">
        <f t="shared" si="20"/>
        <v>1539.696599</v>
      </c>
      <c r="J70" s="162">
        <f>H70*C54</f>
        <v>1337.051142</v>
      </c>
      <c r="K70" s="189">
        <f>L68*K69</f>
        <v>437.8144565</v>
      </c>
      <c r="L70" s="5"/>
      <c r="M70" s="5"/>
      <c r="N70" s="5"/>
    </row>
    <row r="71">
      <c r="A71" s="1"/>
      <c r="B71" s="19"/>
      <c r="C71" s="19"/>
      <c r="D71" s="19"/>
      <c r="E71" s="124">
        <v>2040.0</v>
      </c>
      <c r="F71" s="146">
        <f t="shared" si="18"/>
        <v>5462.987739</v>
      </c>
      <c r="G71" s="161">
        <f>G70-(G64-G74) / 10</f>
        <v>0.1</v>
      </c>
      <c r="H71" s="148">
        <f t="shared" si="19"/>
        <v>1101.823571</v>
      </c>
      <c r="I71" s="188">
        <f t="shared" si="20"/>
        <v>1693.666259</v>
      </c>
      <c r="J71" s="162">
        <f>H71*C54</f>
        <v>1470.756256</v>
      </c>
      <c r="K71" s="189">
        <f>L68*K70</f>
        <v>457.3293723</v>
      </c>
      <c r="L71" s="5"/>
      <c r="M71" s="5"/>
      <c r="N71" s="5"/>
    </row>
    <row r="72">
      <c r="A72" s="1"/>
      <c r="B72" s="19"/>
      <c r="C72" s="19"/>
      <c r="D72" s="19"/>
      <c r="E72" s="124">
        <v>2041.0</v>
      </c>
      <c r="F72" s="146">
        <f t="shared" si="18"/>
        <v>6009.286513</v>
      </c>
      <c r="G72" s="161">
        <f>G71-(G64-G74) / 10</f>
        <v>0.1</v>
      </c>
      <c r="H72" s="148">
        <f t="shared" si="19"/>
        <v>1212.005928</v>
      </c>
      <c r="I72" s="188">
        <f t="shared" si="20"/>
        <v>1863.032885</v>
      </c>
      <c r="J72" s="162">
        <f>H72*C54</f>
        <v>1617.831882</v>
      </c>
      <c r="K72" s="189">
        <f>L68*K71</f>
        <v>477.7141358</v>
      </c>
      <c r="L72" s="5"/>
      <c r="M72" s="5"/>
      <c r="N72" s="5"/>
    </row>
    <row r="73">
      <c r="A73" s="1"/>
      <c r="B73" s="19"/>
      <c r="C73" s="19"/>
      <c r="D73" s="19"/>
      <c r="E73" s="124">
        <v>2042.0</v>
      </c>
      <c r="F73" s="146">
        <f t="shared" si="18"/>
        <v>6610.215164</v>
      </c>
      <c r="G73" s="161">
        <f>G72-(G64-G74) / 10</f>
        <v>0.1</v>
      </c>
      <c r="H73" s="148">
        <f t="shared" si="19"/>
        <v>1333.206521</v>
      </c>
      <c r="I73" s="188">
        <f t="shared" si="20"/>
        <v>2049.336173</v>
      </c>
      <c r="J73" s="162">
        <f>H73*C54</f>
        <v>1779.61507</v>
      </c>
      <c r="K73" s="189">
        <f>L68*K72</f>
        <v>499.0075193</v>
      </c>
      <c r="L73" s="5"/>
      <c r="M73" s="5"/>
      <c r="N73" s="5"/>
    </row>
    <row r="74">
      <c r="A74" s="126"/>
      <c r="B74" s="31"/>
      <c r="C74" s="31"/>
      <c r="D74" s="19"/>
      <c r="E74" s="124">
        <v>2043.0</v>
      </c>
      <c r="F74" s="173">
        <f t="shared" si="18"/>
        <v>7271.236681</v>
      </c>
      <c r="G74" s="174">
        <f>C47</f>
        <v>0.1</v>
      </c>
      <c r="H74" s="175">
        <f t="shared" si="19"/>
        <v>1466.527173</v>
      </c>
      <c r="I74" s="192">
        <f t="shared" si="20"/>
        <v>2254.269791</v>
      </c>
      <c r="J74" s="193">
        <f>H74*C54</f>
        <v>1957.576577</v>
      </c>
      <c r="K74" s="79">
        <f>L68*K73</f>
        <v>521.2500231</v>
      </c>
      <c r="L74" s="5"/>
      <c r="M74" s="5"/>
      <c r="N74" s="5"/>
    </row>
    <row r="75">
      <c r="A75" s="126"/>
      <c r="B75" s="31"/>
      <c r="C75" s="31"/>
      <c r="D75" s="19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19"/>
      <c r="D76" s="19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19"/>
      <c r="D77" s="19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78</v>
      </c>
      <c r="C2" s="4">
        <v>45188.0</v>
      </c>
      <c r="D2" s="5"/>
      <c r="E2" s="194" t="s">
        <v>79</v>
      </c>
      <c r="F2" s="195" t="s">
        <v>3</v>
      </c>
      <c r="G2" s="195" t="s">
        <v>4</v>
      </c>
      <c r="H2" s="195" t="s">
        <v>5</v>
      </c>
      <c r="I2" s="195" t="s">
        <v>6</v>
      </c>
      <c r="J2" s="196" t="s">
        <v>80</v>
      </c>
      <c r="K2" s="5"/>
      <c r="L2" s="5"/>
      <c r="M2" s="5"/>
      <c r="N2" s="5"/>
    </row>
    <row r="3">
      <c r="A3" s="1"/>
      <c r="B3" s="9"/>
      <c r="C3" s="10"/>
      <c r="D3" s="11"/>
      <c r="E3" s="12"/>
      <c r="F3" s="5"/>
      <c r="G3" s="5"/>
      <c r="H3" s="5"/>
      <c r="I3" s="5"/>
      <c r="J3" s="5"/>
      <c r="K3" s="13"/>
      <c r="L3" s="13"/>
      <c r="M3" s="5"/>
      <c r="N3" s="5"/>
    </row>
    <row r="4">
      <c r="B4" s="5"/>
      <c r="C4" s="14"/>
      <c r="D4" s="15"/>
      <c r="E4" s="10" t="s">
        <v>8</v>
      </c>
      <c r="F4" s="16">
        <v>4714.0</v>
      </c>
      <c r="G4" s="17">
        <v>9498.0</v>
      </c>
      <c r="H4" s="17">
        <v>17661.0</v>
      </c>
      <c r="I4" s="17">
        <v>17532.0</v>
      </c>
      <c r="J4" s="18">
        <v>19692.0</v>
      </c>
      <c r="K4" s="13"/>
      <c r="L4" s="13"/>
      <c r="M4" s="5"/>
      <c r="N4" s="5"/>
    </row>
    <row r="5">
      <c r="B5" s="5"/>
      <c r="C5" s="19"/>
      <c r="D5" s="15"/>
      <c r="E5" s="20" t="s">
        <v>9</v>
      </c>
      <c r="F5" s="21">
        <v>0.0</v>
      </c>
      <c r="G5" s="22">
        <f t="shared" ref="G5:J5" si="1">(G4-F4)/F4</f>
        <v>1.014849385</v>
      </c>
      <c r="H5" s="22">
        <f t="shared" si="1"/>
        <v>0.8594440935</v>
      </c>
      <c r="I5" s="22">
        <f t="shared" si="1"/>
        <v>-0.007304229659</v>
      </c>
      <c r="J5" s="23">
        <f t="shared" si="1"/>
        <v>0.1232032854</v>
      </c>
      <c r="K5" s="13"/>
      <c r="L5" s="13"/>
      <c r="M5" s="5"/>
      <c r="N5" s="5"/>
    </row>
    <row r="6">
      <c r="B6" s="5"/>
      <c r="C6" s="19"/>
      <c r="D6" s="5"/>
      <c r="E6" s="10" t="s">
        <v>10</v>
      </c>
      <c r="F6" s="24">
        <v>2823.0</v>
      </c>
      <c r="G6" s="25">
        <v>6764.0</v>
      </c>
      <c r="H6" s="25">
        <v>13241.0</v>
      </c>
      <c r="I6" s="25">
        <v>11540.0</v>
      </c>
      <c r="J6" s="26">
        <v>12884.0</v>
      </c>
      <c r="K6" s="13"/>
      <c r="L6" s="13"/>
      <c r="M6" s="5"/>
      <c r="N6" s="5"/>
    </row>
    <row r="7">
      <c r="B7" s="5"/>
      <c r="C7" s="19"/>
      <c r="D7" s="27"/>
      <c r="E7" s="10" t="s">
        <v>11</v>
      </c>
      <c r="F7" s="28">
        <f t="shared" ref="F7:J7" si="2">(F4-F6)/F4</f>
        <v>0.401145524</v>
      </c>
      <c r="G7" s="29">
        <f t="shared" si="2"/>
        <v>0.2878500737</v>
      </c>
      <c r="H7" s="29">
        <f t="shared" si="2"/>
        <v>0.2502689542</v>
      </c>
      <c r="I7" s="29">
        <f t="shared" si="2"/>
        <v>0.3417750399</v>
      </c>
      <c r="J7" s="30">
        <f t="shared" si="2"/>
        <v>0.3457241519</v>
      </c>
      <c r="K7" s="31"/>
      <c r="L7" s="31"/>
      <c r="M7" s="31"/>
      <c r="N7" s="31"/>
    </row>
    <row r="8">
      <c r="A8" s="1"/>
      <c r="B8" s="19"/>
      <c r="C8" s="14"/>
      <c r="D8" s="5"/>
      <c r="E8" s="10" t="s">
        <v>12</v>
      </c>
      <c r="F8" s="32">
        <f t="shared" ref="F8:J8" si="3">F4-F6</f>
        <v>1891</v>
      </c>
      <c r="G8" s="33">
        <f t="shared" si="3"/>
        <v>2734</v>
      </c>
      <c r="H8" s="33">
        <f t="shared" si="3"/>
        <v>4420</v>
      </c>
      <c r="I8" s="33">
        <f t="shared" si="3"/>
        <v>5992</v>
      </c>
      <c r="J8" s="34">
        <f t="shared" si="3"/>
        <v>6808</v>
      </c>
      <c r="K8" s="5"/>
      <c r="L8" s="5"/>
      <c r="M8" s="5"/>
      <c r="N8" s="5"/>
    </row>
    <row r="9">
      <c r="A9" s="1"/>
      <c r="B9" s="19"/>
      <c r="C9" s="14"/>
      <c r="D9" s="5"/>
      <c r="E9" s="10" t="s">
        <v>13</v>
      </c>
      <c r="F9" s="35">
        <v>0.0</v>
      </c>
      <c r="G9" s="36">
        <f t="shared" ref="G9:H9" si="4">(G8-F8)/F8</f>
        <v>0.4457958752</v>
      </c>
      <c r="H9" s="29">
        <f t="shared" si="4"/>
        <v>0.6166788588</v>
      </c>
      <c r="I9" s="29">
        <f>(I8-G8)/G8</f>
        <v>1.191660571</v>
      </c>
      <c r="J9" s="30">
        <f>(J8-I8)/I8</f>
        <v>0.1361815754</v>
      </c>
      <c r="K9" s="5"/>
      <c r="L9" s="5"/>
      <c r="M9" s="5"/>
      <c r="N9" s="5"/>
    </row>
    <row r="10">
      <c r="B10" s="5"/>
      <c r="C10" s="5"/>
      <c r="D10" s="5"/>
      <c r="E10" s="37" t="s">
        <v>14</v>
      </c>
      <c r="F10" s="38">
        <v>1061.0</v>
      </c>
      <c r="G10" s="25">
        <v>1689.0</v>
      </c>
      <c r="H10" s="39">
        <v>2601.0</v>
      </c>
      <c r="I10" s="39">
        <v>3745.0</v>
      </c>
      <c r="J10" s="41">
        <v>3888.0</v>
      </c>
      <c r="K10" s="49"/>
      <c r="L10" s="5"/>
      <c r="M10" s="5"/>
      <c r="N10" s="5"/>
    </row>
    <row r="11">
      <c r="A11" s="1"/>
      <c r="B11" s="19"/>
      <c r="C11" s="5"/>
      <c r="D11" s="42"/>
      <c r="E11" s="37" t="s">
        <v>15</v>
      </c>
      <c r="F11" s="24">
        <v>671.0</v>
      </c>
      <c r="G11" s="25">
        <v>882.0</v>
      </c>
      <c r="H11" s="25">
        <v>1399.0</v>
      </c>
      <c r="I11" s="25">
        <v>2136.0</v>
      </c>
      <c r="J11" s="41">
        <v>2474.0</v>
      </c>
      <c r="K11" s="49"/>
      <c r="L11" s="5"/>
      <c r="M11" s="5"/>
      <c r="N11" s="5"/>
    </row>
    <row r="12">
      <c r="A12" s="1"/>
      <c r="B12" s="19"/>
      <c r="C12" s="5"/>
      <c r="D12" s="42"/>
      <c r="E12" s="37" t="s">
        <v>16</v>
      </c>
      <c r="F12" s="24">
        <v>127.0</v>
      </c>
      <c r="G12" s="25">
        <v>178.0</v>
      </c>
      <c r="H12" s="25">
        <v>188.0</v>
      </c>
      <c r="I12" s="25">
        <v>551.0</v>
      </c>
      <c r="J12" s="41">
        <v>611.0</v>
      </c>
      <c r="K12" s="49"/>
      <c r="L12" s="5"/>
      <c r="M12" s="5"/>
      <c r="N12" s="5"/>
    </row>
    <row r="13">
      <c r="A13" s="1"/>
      <c r="B13" s="19"/>
      <c r="C13" s="42"/>
      <c r="D13" s="43"/>
      <c r="E13" s="44" t="s">
        <v>17</v>
      </c>
      <c r="F13" s="38">
        <f t="shared" ref="F13:J13" si="5">F6+F10+F11+F12</f>
        <v>4682</v>
      </c>
      <c r="G13" s="39">
        <f t="shared" si="5"/>
        <v>9513</v>
      </c>
      <c r="H13" s="39">
        <f t="shared" si="5"/>
        <v>17429</v>
      </c>
      <c r="I13" s="39">
        <f t="shared" si="5"/>
        <v>17972</v>
      </c>
      <c r="J13" s="45">
        <f t="shared" si="5"/>
        <v>19857</v>
      </c>
      <c r="K13" s="49"/>
      <c r="L13" s="5"/>
      <c r="M13" s="5"/>
      <c r="N13" s="5"/>
    </row>
    <row r="14">
      <c r="A14" s="1"/>
      <c r="B14" s="19"/>
      <c r="C14" s="42"/>
      <c r="D14" s="46"/>
      <c r="E14" s="44" t="s">
        <v>18</v>
      </c>
      <c r="F14" s="32">
        <f t="shared" ref="F14:J14" si="6">F4-F13</f>
        <v>32</v>
      </c>
      <c r="G14" s="33">
        <f t="shared" si="6"/>
        <v>-15</v>
      </c>
      <c r="H14" s="33">
        <f t="shared" si="6"/>
        <v>232</v>
      </c>
      <c r="I14" s="33">
        <f t="shared" si="6"/>
        <v>-440</v>
      </c>
      <c r="J14" s="41">
        <f t="shared" si="6"/>
        <v>-165</v>
      </c>
      <c r="K14" s="49"/>
      <c r="L14" s="5"/>
      <c r="M14" s="5"/>
      <c r="N14" s="5"/>
    </row>
    <row r="15">
      <c r="A15" s="1"/>
      <c r="B15" s="19"/>
      <c r="C15" s="42"/>
      <c r="D15" s="47"/>
      <c r="E15" s="37" t="s">
        <v>19</v>
      </c>
      <c r="F15" s="28">
        <f t="shared" ref="F15:J15" si="7">F14/F4</f>
        <v>0.006788290199</v>
      </c>
      <c r="G15" s="29">
        <f t="shared" si="7"/>
        <v>-0.001579279848</v>
      </c>
      <c r="H15" s="29">
        <f t="shared" si="7"/>
        <v>0.013136289</v>
      </c>
      <c r="I15" s="29">
        <f t="shared" si="7"/>
        <v>-0.02509696555</v>
      </c>
      <c r="J15" s="30">
        <f t="shared" si="7"/>
        <v>-0.008379037172</v>
      </c>
      <c r="K15" s="49"/>
      <c r="L15" s="5"/>
      <c r="M15" s="5"/>
      <c r="N15" s="5"/>
    </row>
    <row r="16">
      <c r="A16" s="1"/>
      <c r="B16" s="19"/>
      <c r="C16" s="42"/>
      <c r="D16" s="47"/>
      <c r="E16" s="44" t="s">
        <v>20</v>
      </c>
      <c r="F16" s="24">
        <v>-22.0</v>
      </c>
      <c r="G16" s="25">
        <v>-57.0</v>
      </c>
      <c r="H16" s="25">
        <v>-33.0</v>
      </c>
      <c r="I16" s="25">
        <v>-36.0</v>
      </c>
      <c r="J16" s="26">
        <v>0.0</v>
      </c>
      <c r="K16" s="5"/>
      <c r="L16" s="5"/>
      <c r="M16" s="5"/>
      <c r="N16" s="5"/>
    </row>
    <row r="17">
      <c r="A17" s="1"/>
      <c r="B17" s="19"/>
      <c r="C17" s="42"/>
      <c r="D17" s="47"/>
      <c r="E17" s="37" t="s">
        <v>21</v>
      </c>
      <c r="F17" s="24">
        <v>373.0</v>
      </c>
      <c r="G17" s="25">
        <v>292.0</v>
      </c>
      <c r="H17" s="25">
        <v>-42.0</v>
      </c>
      <c r="I17" s="25">
        <v>49.0</v>
      </c>
      <c r="J17" s="26">
        <v>13.0</v>
      </c>
      <c r="K17" s="5"/>
      <c r="L17" s="5"/>
      <c r="M17" s="5"/>
      <c r="N17" s="5"/>
    </row>
    <row r="18">
      <c r="A18" s="1"/>
      <c r="B18" s="19"/>
      <c r="C18" s="19"/>
      <c r="D18" s="48"/>
      <c r="E18" s="44" t="s">
        <v>22</v>
      </c>
      <c r="F18" s="24">
        <v>378.0</v>
      </c>
      <c r="G18" s="25">
        <v>216.0</v>
      </c>
      <c r="H18" s="25">
        <v>157.0</v>
      </c>
      <c r="I18" s="25">
        <v>-565.0</v>
      </c>
      <c r="J18" s="41">
        <v>-299.0</v>
      </c>
      <c r="K18" s="49"/>
      <c r="L18" s="49"/>
      <c r="M18" s="49"/>
      <c r="N18" s="49"/>
      <c r="O18" s="50"/>
    </row>
    <row r="19">
      <c r="A19" s="1"/>
      <c r="B19" s="19"/>
      <c r="C19" s="31"/>
      <c r="D19" s="51"/>
      <c r="E19" s="44" t="s">
        <v>23</v>
      </c>
      <c r="F19" s="24">
        <v>3.0</v>
      </c>
      <c r="G19" s="25">
        <v>3.0</v>
      </c>
      <c r="H19" s="25">
        <v>-1.0</v>
      </c>
      <c r="I19" s="25">
        <v>-12.0</v>
      </c>
      <c r="J19" s="26">
        <v>-18.0</v>
      </c>
      <c r="K19" s="49"/>
      <c r="L19" s="49"/>
      <c r="M19" s="49"/>
      <c r="N19" s="49"/>
      <c r="O19" s="50"/>
    </row>
    <row r="20">
      <c r="A20" s="1"/>
      <c r="B20" s="19"/>
      <c r="C20" s="19"/>
      <c r="D20" s="51"/>
      <c r="E20" s="44" t="s">
        <v>24</v>
      </c>
      <c r="F20" s="32">
        <f t="shared" ref="F20:J20" si="8">F18-F19</f>
        <v>375</v>
      </c>
      <c r="G20" s="33">
        <f t="shared" si="8"/>
        <v>213</v>
      </c>
      <c r="H20" s="33">
        <f t="shared" si="8"/>
        <v>158</v>
      </c>
      <c r="I20" s="33">
        <f t="shared" si="8"/>
        <v>-553</v>
      </c>
      <c r="J20" s="41">
        <f t="shared" si="8"/>
        <v>-281</v>
      </c>
      <c r="K20" s="49"/>
      <c r="L20" s="49"/>
      <c r="M20" s="49"/>
      <c r="N20" s="49"/>
      <c r="O20" s="50"/>
    </row>
    <row r="21">
      <c r="B21" s="5"/>
      <c r="C21" s="5"/>
      <c r="D21" s="5"/>
      <c r="E21" s="37" t="s">
        <v>25</v>
      </c>
      <c r="F21" s="52">
        <v>0.0</v>
      </c>
      <c r="G21" s="53">
        <v>0.0</v>
      </c>
      <c r="H21" s="54">
        <f>(H20-G20)/G20</f>
        <v>-0.2582159624</v>
      </c>
      <c r="I21" s="54">
        <f>(I20-G20)/ABS(G20)</f>
        <v>-3.596244131</v>
      </c>
      <c r="J21" s="55">
        <f>(J20-I20)/ABS(I20)</f>
        <v>0.4918625678</v>
      </c>
      <c r="K21" s="49"/>
      <c r="L21" s="49"/>
      <c r="M21" s="49"/>
      <c r="N21" s="49"/>
      <c r="O21" s="50"/>
    </row>
    <row r="22">
      <c r="B22" s="5"/>
      <c r="C22" s="19"/>
      <c r="D22" s="48"/>
      <c r="E22" s="44" t="s">
        <v>26</v>
      </c>
      <c r="F22" s="56">
        <f t="shared" ref="F22:J22" si="9">F20/F23</f>
        <v>0.8823529412</v>
      </c>
      <c r="G22" s="57">
        <f t="shared" si="9"/>
        <v>0.4808126411</v>
      </c>
      <c r="H22" s="57">
        <f t="shared" si="9"/>
        <v>0.3449781659</v>
      </c>
      <c r="I22" s="57">
        <f t="shared" si="9"/>
        <v>-0.9567474048</v>
      </c>
      <c r="J22" s="59">
        <f t="shared" si="9"/>
        <v>-0.4606557377</v>
      </c>
      <c r="K22" s="5"/>
      <c r="L22" s="49"/>
      <c r="M22" s="49"/>
      <c r="N22" s="49"/>
      <c r="O22" s="50"/>
    </row>
    <row r="23">
      <c r="A23" s="1"/>
      <c r="B23" s="3" t="s">
        <v>81</v>
      </c>
      <c r="C23" s="60" t="s">
        <v>28</v>
      </c>
      <c r="D23" s="5"/>
      <c r="E23" s="44" t="s">
        <v>29</v>
      </c>
      <c r="F23" s="61">
        <v>425.0</v>
      </c>
      <c r="G23" s="62">
        <v>443.0</v>
      </c>
      <c r="H23" s="62">
        <v>458.0</v>
      </c>
      <c r="I23" s="62">
        <v>578.0</v>
      </c>
      <c r="J23" s="63">
        <v>610.0</v>
      </c>
      <c r="K23" s="5"/>
      <c r="L23" s="49"/>
      <c r="M23" s="49"/>
      <c r="N23" s="49"/>
      <c r="O23" s="50"/>
    </row>
    <row r="24">
      <c r="A24" s="1"/>
      <c r="B24" s="19"/>
      <c r="C24" s="5"/>
      <c r="D24" s="5"/>
      <c r="E24" s="20"/>
      <c r="F24" s="64"/>
      <c r="G24" s="64"/>
      <c r="H24" s="31"/>
      <c r="I24" s="31"/>
      <c r="J24" s="31"/>
      <c r="K24" s="5"/>
      <c r="L24" s="49"/>
      <c r="M24" s="49"/>
      <c r="N24" s="49"/>
      <c r="O24" s="50"/>
    </row>
    <row r="25">
      <c r="B25" s="80" t="s">
        <v>82</v>
      </c>
      <c r="C25" s="197">
        <v>51.25</v>
      </c>
      <c r="D25" s="5"/>
      <c r="E25" s="10" t="s">
        <v>42</v>
      </c>
      <c r="F25" s="82">
        <v>0.0</v>
      </c>
      <c r="G25" s="83">
        <v>0.0</v>
      </c>
      <c r="H25" s="84">
        <v>0.0</v>
      </c>
      <c r="I25" s="84">
        <v>0.0</v>
      </c>
      <c r="J25" s="198">
        <v>0.0</v>
      </c>
      <c r="K25" s="5"/>
      <c r="L25" s="49"/>
      <c r="M25" s="49"/>
      <c r="N25" s="49"/>
      <c r="O25" s="50"/>
    </row>
    <row r="26">
      <c r="B26" s="199" t="s">
        <v>83</v>
      </c>
      <c r="C26" s="200">
        <v>610.0</v>
      </c>
      <c r="D26" s="5"/>
      <c r="E26" s="89" t="s">
        <v>44</v>
      </c>
      <c r="F26" s="90">
        <v>0.0</v>
      </c>
      <c r="G26" s="91">
        <v>0.0</v>
      </c>
      <c r="H26" s="91">
        <v>793.0</v>
      </c>
      <c r="I26" s="91">
        <v>0.0</v>
      </c>
      <c r="J26" s="201">
        <v>0.0</v>
      </c>
      <c r="K26" s="5"/>
      <c r="L26" s="5"/>
      <c r="M26" s="5"/>
      <c r="N26" s="5"/>
    </row>
    <row r="27">
      <c r="B27" s="80" t="s">
        <v>84</v>
      </c>
      <c r="C27" s="202">
        <v>5870.0</v>
      </c>
      <c r="D27" s="5"/>
      <c r="E27" s="20" t="s">
        <v>46</v>
      </c>
      <c r="F27" s="90">
        <v>1138.0</v>
      </c>
      <c r="G27" s="94">
        <v>1071.0</v>
      </c>
      <c r="H27" s="94">
        <v>608.0</v>
      </c>
      <c r="I27" s="94">
        <v>398.0</v>
      </c>
      <c r="J27" s="203">
        <v>298.0</v>
      </c>
      <c r="K27" s="5"/>
      <c r="L27" s="49"/>
      <c r="M27" s="49"/>
      <c r="N27" s="49"/>
      <c r="O27" s="50"/>
    </row>
    <row r="28">
      <c r="B28" s="80" t="s">
        <v>65</v>
      </c>
      <c r="C28" s="70">
        <v>5310.0</v>
      </c>
      <c r="D28" s="9"/>
      <c r="E28" s="89" t="s">
        <v>48</v>
      </c>
      <c r="F28" s="90">
        <v>1534.0</v>
      </c>
      <c r="G28" s="91">
        <v>1621.0</v>
      </c>
      <c r="H28" s="91">
        <v>2653.0</v>
      </c>
      <c r="I28" s="91">
        <v>2580.0</v>
      </c>
      <c r="J28" s="201">
        <v>0.0</v>
      </c>
      <c r="K28" s="5"/>
      <c r="L28" s="49"/>
      <c r="M28" s="49"/>
      <c r="N28" s="49"/>
      <c r="O28" s="50"/>
    </row>
    <row r="29">
      <c r="A29" s="1"/>
      <c r="B29" s="9" t="s">
        <v>85</v>
      </c>
      <c r="C29" s="204" t="s">
        <v>86</v>
      </c>
      <c r="D29" s="97"/>
      <c r="E29" s="89" t="s">
        <v>49</v>
      </c>
      <c r="F29" s="98">
        <v>-1433.0</v>
      </c>
      <c r="G29" s="99">
        <v>-1944.0</v>
      </c>
      <c r="H29" s="99">
        <v>-648.0</v>
      </c>
      <c r="I29" s="99">
        <v>0.0</v>
      </c>
      <c r="J29" s="205">
        <v>0.0</v>
      </c>
      <c r="K29" s="5"/>
      <c r="L29" s="49"/>
      <c r="M29" s="49"/>
      <c r="N29" s="49"/>
      <c r="O29" s="50"/>
    </row>
    <row r="30">
      <c r="A30" s="1"/>
      <c r="B30" s="9"/>
      <c r="C30" s="20"/>
      <c r="D30" s="103"/>
      <c r="E30" s="89"/>
      <c r="F30" s="104"/>
      <c r="G30" s="104"/>
      <c r="H30" s="104"/>
      <c r="I30" s="64"/>
      <c r="J30" s="5"/>
      <c r="K30" s="5"/>
      <c r="L30" s="5"/>
      <c r="M30" s="5"/>
      <c r="N30" s="5"/>
    </row>
    <row r="31">
      <c r="B31" s="206" t="s">
        <v>87</v>
      </c>
      <c r="C31" s="207">
        <f>C25*C26</f>
        <v>31262.5</v>
      </c>
      <c r="D31" s="9"/>
      <c r="E31" s="10" t="s">
        <v>52</v>
      </c>
      <c r="F31" s="106">
        <v>466.0</v>
      </c>
      <c r="G31" s="107">
        <v>382.0</v>
      </c>
      <c r="H31" s="108">
        <v>847.0</v>
      </c>
      <c r="I31" s="108">
        <v>176.0</v>
      </c>
      <c r="J31" s="208">
        <v>468.0</v>
      </c>
      <c r="K31" s="5"/>
      <c r="L31" s="5"/>
      <c r="M31" s="5"/>
      <c r="N31" s="5"/>
    </row>
    <row r="32">
      <c r="B32" s="206" t="s">
        <v>38</v>
      </c>
      <c r="C32" s="209">
        <f>C31-C27+C28</f>
        <v>30702.5</v>
      </c>
      <c r="D32" s="9"/>
      <c r="E32" s="89" t="s">
        <v>54</v>
      </c>
      <c r="F32" s="112">
        <v>95.0</v>
      </c>
      <c r="G32" s="113">
        <v>-607.0</v>
      </c>
      <c r="H32" s="113">
        <v>-1311.0</v>
      </c>
      <c r="I32" s="113">
        <v>1226.0</v>
      </c>
      <c r="J32" s="210">
        <v>464.0</v>
      </c>
      <c r="K32" s="5"/>
      <c r="L32" s="5"/>
      <c r="M32" s="5"/>
      <c r="N32" s="5"/>
    </row>
    <row r="33">
      <c r="B33" s="206" t="s">
        <v>40</v>
      </c>
      <c r="C33" s="211">
        <f>C31/J20</f>
        <v>-111.2544484</v>
      </c>
      <c r="D33" s="9"/>
      <c r="E33" s="89" t="s">
        <v>56</v>
      </c>
      <c r="F33" s="112">
        <v>-99.0</v>
      </c>
      <c r="G33" s="113">
        <v>2315.0</v>
      </c>
      <c r="H33" s="113">
        <v>2652.0</v>
      </c>
      <c r="I33" s="113">
        <v>98.0</v>
      </c>
      <c r="J33" s="210">
        <v>617.0</v>
      </c>
      <c r="K33" s="5"/>
      <c r="L33" s="5"/>
      <c r="M33" s="5"/>
      <c r="N33" s="5"/>
    </row>
    <row r="34">
      <c r="B34" s="212" t="s">
        <v>41</v>
      </c>
      <c r="C34" s="211">
        <f>C31/J4</f>
        <v>1.587573634</v>
      </c>
      <c r="D34" s="9"/>
      <c r="E34" s="89" t="s">
        <v>57</v>
      </c>
      <c r="F34" s="112">
        <v>462.0</v>
      </c>
      <c r="G34" s="113">
        <v>2090.0</v>
      </c>
      <c r="H34" s="113">
        <v>2189.0</v>
      </c>
      <c r="I34" s="113">
        <v>1499.0</v>
      </c>
      <c r="J34" s="210">
        <v>1549.0</v>
      </c>
      <c r="K34" s="5"/>
      <c r="L34" s="5"/>
      <c r="M34" s="5"/>
      <c r="N34" s="5"/>
    </row>
    <row r="35">
      <c r="A35" s="1"/>
      <c r="B35" s="213" t="s">
        <v>43</v>
      </c>
      <c r="C35" s="214">
        <f>C31/C27</f>
        <v>5.325809199</v>
      </c>
      <c r="D35" s="118"/>
      <c r="E35" s="89" t="s">
        <v>31</v>
      </c>
      <c r="F35" s="119">
        <v>1074.0</v>
      </c>
      <c r="G35" s="120">
        <v>3493.0</v>
      </c>
      <c r="H35" s="120">
        <v>5515.0</v>
      </c>
      <c r="I35" s="120">
        <v>4944.0</v>
      </c>
      <c r="J35" s="215">
        <v>5310.0</v>
      </c>
      <c r="K35" s="5"/>
      <c r="L35" s="5"/>
      <c r="M35" s="5"/>
      <c r="N35" s="5"/>
    </row>
    <row r="36">
      <c r="A36" s="1"/>
      <c r="B36" s="213" t="s">
        <v>45</v>
      </c>
      <c r="C36" s="214">
        <f>C32/J4</f>
        <v>1.55913569</v>
      </c>
      <c r="D36" s="103"/>
      <c r="E36" s="124"/>
      <c r="F36" s="48"/>
      <c r="G36" s="48"/>
      <c r="H36" s="125"/>
      <c r="I36" s="5"/>
      <c r="J36" s="5"/>
      <c r="K36" s="5"/>
      <c r="L36" s="5"/>
      <c r="M36" s="5"/>
      <c r="N36" s="5"/>
    </row>
    <row r="37">
      <c r="B37" s="212" t="s">
        <v>47</v>
      </c>
      <c r="C37" s="216">
        <f>C32/J18</f>
        <v>-102.6839465</v>
      </c>
      <c r="D37" s="48"/>
      <c r="E37" s="127" t="s">
        <v>61</v>
      </c>
      <c r="F37" s="128" t="s">
        <v>8</v>
      </c>
      <c r="G37" s="129" t="s">
        <v>62</v>
      </c>
      <c r="H37" s="130" t="s">
        <v>24</v>
      </c>
      <c r="I37" s="128" t="s">
        <v>63</v>
      </c>
      <c r="J37" s="131" t="s">
        <v>64</v>
      </c>
      <c r="K37" s="132" t="s">
        <v>65</v>
      </c>
      <c r="L37" s="49"/>
      <c r="M37" s="5"/>
      <c r="N37" s="5"/>
    </row>
    <row r="38">
      <c r="A38" s="1"/>
      <c r="B38" s="19"/>
      <c r="C38" s="5"/>
      <c r="D38" s="48"/>
      <c r="E38" s="134"/>
      <c r="F38" s="135"/>
      <c r="G38" s="135"/>
      <c r="H38" s="136"/>
      <c r="I38" s="137"/>
      <c r="J38" s="49"/>
      <c r="K38" s="49"/>
      <c r="L38" s="49"/>
      <c r="M38" s="5"/>
      <c r="N38" s="5"/>
    </row>
    <row r="39">
      <c r="A39" s="1"/>
      <c r="B39" s="37" t="s">
        <v>50</v>
      </c>
      <c r="C39" s="102">
        <v>0.11</v>
      </c>
      <c r="D39" s="48"/>
      <c r="E39" s="139">
        <v>2018.0</v>
      </c>
      <c r="F39" s="140" t="s">
        <v>88</v>
      </c>
      <c r="G39" s="141" t="s">
        <v>88</v>
      </c>
      <c r="H39" s="142">
        <v>0.0</v>
      </c>
      <c r="I39" s="143">
        <v>0.0</v>
      </c>
      <c r="J39" s="144">
        <v>0.0</v>
      </c>
      <c r="K39" s="145">
        <v>0.0</v>
      </c>
      <c r="L39" s="49"/>
      <c r="M39" s="5"/>
      <c r="N39" s="5"/>
    </row>
    <row r="40">
      <c r="A40" s="1"/>
      <c r="B40" s="37" t="s">
        <v>51</v>
      </c>
      <c r="C40" s="105">
        <v>0.1</v>
      </c>
      <c r="D40" s="48"/>
      <c r="E40" s="139">
        <v>2019.0</v>
      </c>
      <c r="F40" s="146">
        <f>G4</f>
        <v>9498</v>
      </c>
      <c r="G40" s="147" t="s">
        <v>88</v>
      </c>
      <c r="H40" s="148">
        <f>G20</f>
        <v>213</v>
      </c>
      <c r="I40" s="149">
        <v>0.0</v>
      </c>
      <c r="J40" s="150">
        <v>403.0</v>
      </c>
      <c r="K40" s="151">
        <f>F35</f>
        <v>1074</v>
      </c>
      <c r="L40" s="152">
        <v>1.0</v>
      </c>
      <c r="M40" s="5"/>
      <c r="N40" s="5"/>
    </row>
    <row r="41">
      <c r="A41" s="1"/>
      <c r="B41" s="44" t="s">
        <v>53</v>
      </c>
      <c r="C41" s="111">
        <f t="array" ref="C41">NPV(C39, J45:J54)</f>
        <v>4029.787817</v>
      </c>
      <c r="D41" s="80"/>
      <c r="E41" s="139">
        <v>2020.0</v>
      </c>
      <c r="F41" s="154">
        <f>H4</f>
        <v>17661</v>
      </c>
      <c r="G41" s="155">
        <f>G5</f>
        <v>1.014849385</v>
      </c>
      <c r="H41" s="148">
        <f>H20</f>
        <v>158</v>
      </c>
      <c r="I41" s="149">
        <v>0.0</v>
      </c>
      <c r="J41" s="150">
        <v>243.0</v>
      </c>
      <c r="K41" s="151">
        <f>G35</f>
        <v>3493</v>
      </c>
      <c r="L41" s="152">
        <f>(K41/K40)</f>
        <v>3.252327747</v>
      </c>
      <c r="M41" s="5"/>
      <c r="N41" s="5"/>
    </row>
    <row r="42">
      <c r="B42" s="44" t="s">
        <v>55</v>
      </c>
      <c r="C42" s="111">
        <f>C41+C27-C28</f>
        <v>4589.787817</v>
      </c>
      <c r="D42" s="157"/>
      <c r="E42" s="158">
        <v>2021.0</v>
      </c>
      <c r="F42" s="154">
        <f>I4</f>
        <v>17532</v>
      </c>
      <c r="G42" s="155">
        <f>H5</f>
        <v>0.8594440935</v>
      </c>
      <c r="H42" s="148">
        <f>I20</f>
        <v>-553</v>
      </c>
      <c r="I42" s="149">
        <v>0.0</v>
      </c>
      <c r="J42" s="150">
        <v>543.0</v>
      </c>
      <c r="K42" s="151">
        <f>H35</f>
        <v>5515</v>
      </c>
      <c r="L42" s="152">
        <f t="shared" ref="L42:L43" si="10">K42/K41</f>
        <v>1.57887203</v>
      </c>
      <c r="M42" s="5"/>
      <c r="N42" s="5"/>
    </row>
    <row r="43">
      <c r="B43" s="44" t="s">
        <v>29</v>
      </c>
      <c r="C43" s="116">
        <f>C26</f>
        <v>610</v>
      </c>
      <c r="D43" s="157"/>
      <c r="E43" s="158">
        <v>2022.0</v>
      </c>
      <c r="F43" s="154">
        <f>J4</f>
        <v>19692</v>
      </c>
      <c r="G43" s="155">
        <f>I5</f>
        <v>-0.007304229659</v>
      </c>
      <c r="H43" s="148">
        <f>J20</f>
        <v>-281</v>
      </c>
      <c r="I43" s="149">
        <v>0.0</v>
      </c>
      <c r="J43" s="150">
        <v>5.0</v>
      </c>
      <c r="K43" s="151">
        <f>I35</f>
        <v>4944</v>
      </c>
      <c r="L43" s="152">
        <f t="shared" si="10"/>
        <v>0.8964641886</v>
      </c>
      <c r="M43" s="5"/>
      <c r="N43" s="5"/>
    </row>
    <row r="44">
      <c r="B44" s="37" t="s">
        <v>58</v>
      </c>
      <c r="C44" s="217">
        <f>C42/C43</f>
        <v>7.524242324</v>
      </c>
      <c r="D44" s="157"/>
      <c r="E44" s="158">
        <v>2023.0</v>
      </c>
      <c r="F44" s="146">
        <f t="shared" ref="F44:F54" si="11">F43*(1+G44)</f>
        <v>22118.1191</v>
      </c>
      <c r="G44" s="161">
        <f>J5</f>
        <v>0.1232032854</v>
      </c>
      <c r="H44" s="148">
        <f>H40*(1+G44)</f>
        <v>239.2422998</v>
      </c>
      <c r="I44" s="149">
        <v>0.0</v>
      </c>
      <c r="J44" s="150">
        <v>322.0</v>
      </c>
      <c r="K44" s="151">
        <f>J35</f>
        <v>5310</v>
      </c>
      <c r="L44" s="152">
        <v>1.1</v>
      </c>
      <c r="M44" s="5"/>
      <c r="N44" s="5"/>
    </row>
    <row r="45">
      <c r="A45" s="1"/>
      <c r="B45" s="37"/>
      <c r="D45" s="157"/>
      <c r="E45" s="158">
        <v>2024.0</v>
      </c>
      <c r="F45" s="146">
        <f t="shared" si="11"/>
        <v>26487.51224</v>
      </c>
      <c r="G45" s="161">
        <f>AVERAGE(G41:G44) -0.3</f>
        <v>0.1975481335</v>
      </c>
      <c r="H45" s="148">
        <f t="shared" ref="H45:H54" si="12">H44*(1+G45)</f>
        <v>286.5041696</v>
      </c>
      <c r="I45" s="165">
        <f>G45-G44</f>
        <v>0.0743448481</v>
      </c>
      <c r="J45" s="162">
        <f>AVERAGE(J40:J44)*(1+G45)</f>
        <v>363.0965941</v>
      </c>
      <c r="K45" s="163">
        <f>L44*K44</f>
        <v>5841</v>
      </c>
      <c r="L45" s="5"/>
      <c r="M45" s="5"/>
      <c r="N45" s="5"/>
    </row>
    <row r="46">
      <c r="A46" s="1"/>
      <c r="B46" s="20" t="s">
        <v>89</v>
      </c>
      <c r="C46" s="218">
        <f>(C44-C25)/C44</f>
        <v>-5.811317046</v>
      </c>
      <c r="D46" s="49"/>
      <c r="E46" s="158">
        <v>2025.0</v>
      </c>
      <c r="F46" s="146">
        <f t="shared" si="11"/>
        <v>31461.69011</v>
      </c>
      <c r="G46" s="161">
        <f>G45-(G45-G54) / 10</f>
        <v>0.1877933202</v>
      </c>
      <c r="H46" s="148">
        <f t="shared" si="12"/>
        <v>340.3077388</v>
      </c>
      <c r="I46" s="165">
        <f t="shared" ref="I46:I54" si="13">I45 * (1+G45)</f>
        <v>0.08903153407</v>
      </c>
      <c r="J46" s="150">
        <f t="shared" ref="J46:J54" si="14">J45*(1+G46)</f>
        <v>431.283709</v>
      </c>
      <c r="K46" s="151">
        <f>L44*K45</f>
        <v>6425.1</v>
      </c>
      <c r="L46" s="49"/>
      <c r="M46" s="5"/>
      <c r="N46" s="5"/>
    </row>
    <row r="47">
      <c r="A47" s="1"/>
      <c r="B47" s="20" t="s">
        <v>89</v>
      </c>
      <c r="C47" s="219">
        <f>I54</f>
        <v>0.2789257275</v>
      </c>
      <c r="D47" s="49"/>
      <c r="E47" s="167">
        <v>2026.0</v>
      </c>
      <c r="F47" s="146">
        <f t="shared" si="11"/>
        <v>37063.08244</v>
      </c>
      <c r="G47" s="161">
        <f>G46-(G45-G54) / 10</f>
        <v>0.1780385068</v>
      </c>
      <c r="H47" s="148">
        <f t="shared" si="12"/>
        <v>400.8956205</v>
      </c>
      <c r="I47" s="165">
        <f t="shared" si="13"/>
        <v>0.1057510615</v>
      </c>
      <c r="J47" s="150">
        <f t="shared" si="14"/>
        <v>508.0688166</v>
      </c>
      <c r="K47" s="151">
        <f>L44*K46</f>
        <v>7067.61</v>
      </c>
      <c r="L47" s="49"/>
      <c r="M47" s="5"/>
      <c r="N47" s="5"/>
    </row>
    <row r="48">
      <c r="A48" s="1"/>
      <c r="B48" s="20"/>
      <c r="C48" s="1"/>
      <c r="D48" s="49"/>
      <c r="E48" s="167">
        <v>2027.0</v>
      </c>
      <c r="F48" s="146">
        <f t="shared" si="11"/>
        <v>43300.19484</v>
      </c>
      <c r="G48" s="161">
        <f>G47-(G45-G54) / 10</f>
        <v>0.1682836935</v>
      </c>
      <c r="H48" s="148">
        <f t="shared" si="12"/>
        <v>468.3598162</v>
      </c>
      <c r="I48" s="165">
        <f t="shared" si="13"/>
        <v>0.1245788225</v>
      </c>
      <c r="J48" s="150">
        <f t="shared" si="14"/>
        <v>593.5685136</v>
      </c>
      <c r="K48" s="151">
        <f>L44*K47</f>
        <v>7774.371</v>
      </c>
      <c r="L48" s="49"/>
      <c r="M48" s="5"/>
      <c r="N48" s="5"/>
    </row>
    <row r="49">
      <c r="B49" s="10" t="s">
        <v>66</v>
      </c>
      <c r="C49" s="133">
        <f>C41+C27-J54</f>
        <v>8648.493195</v>
      </c>
      <c r="D49" s="19"/>
      <c r="E49" s="167">
        <v>2028.0</v>
      </c>
      <c r="F49" s="146">
        <f t="shared" si="11"/>
        <v>50164.52624</v>
      </c>
      <c r="G49" s="161">
        <f>G48-(G45-G54) / 10</f>
        <v>0.1585288801</v>
      </c>
      <c r="H49" s="148">
        <f t="shared" si="12"/>
        <v>542.6083734</v>
      </c>
      <c r="I49" s="165">
        <f t="shared" si="13"/>
        <v>0.1455434069</v>
      </c>
      <c r="J49" s="150">
        <f t="shared" si="14"/>
        <v>687.6662653</v>
      </c>
      <c r="K49" s="151">
        <f>L44*K48</f>
        <v>8551.8081</v>
      </c>
      <c r="L49" s="49"/>
      <c r="M49" s="5"/>
      <c r="N49" s="5"/>
    </row>
    <row r="50">
      <c r="B50" s="10" t="s">
        <v>67</v>
      </c>
      <c r="C50" s="220">
        <f>C49/J58</f>
        <v>10.29637862</v>
      </c>
      <c r="D50" s="49"/>
      <c r="E50" s="167">
        <v>2029.0</v>
      </c>
      <c r="F50" s="146">
        <f t="shared" si="11"/>
        <v>57627.70681</v>
      </c>
      <c r="G50" s="161">
        <f>G49-(G45-G54) / 10</f>
        <v>0.1487740668</v>
      </c>
      <c r="H50" s="148">
        <f t="shared" si="12"/>
        <v>623.3344277</v>
      </c>
      <c r="I50" s="165">
        <f t="shared" si="13"/>
        <v>0.1686162402</v>
      </c>
      <c r="J50" s="150">
        <f t="shared" si="14"/>
        <v>789.9731722</v>
      </c>
      <c r="K50" s="151">
        <f>L44*K49</f>
        <v>9406.98891</v>
      </c>
      <c r="L50" s="49"/>
      <c r="M50" s="5"/>
      <c r="N50" s="5"/>
    </row>
    <row r="51">
      <c r="A51" s="1"/>
      <c r="B51" s="10"/>
      <c r="C51" s="1"/>
      <c r="D51" s="49"/>
      <c r="E51" s="167">
        <v>2030.0</v>
      </c>
      <c r="F51" s="146">
        <f t="shared" si="11"/>
        <v>65639.06759</v>
      </c>
      <c r="G51" s="161">
        <f>G50-(G45-G54) / 10</f>
        <v>0.1390192534</v>
      </c>
      <c r="H51" s="148">
        <f t="shared" si="12"/>
        <v>709.9899145</v>
      </c>
      <c r="I51" s="165">
        <f t="shared" si="13"/>
        <v>0.193701964</v>
      </c>
      <c r="J51" s="150">
        <f t="shared" si="14"/>
        <v>899.7946528</v>
      </c>
      <c r="K51" s="163">
        <f>L44*K50</f>
        <v>10347.6878</v>
      </c>
      <c r="L51" s="5"/>
      <c r="M51" s="5"/>
      <c r="N51" s="5"/>
    </row>
    <row r="52">
      <c r="A52" s="1"/>
      <c r="B52" s="37" t="s">
        <v>68</v>
      </c>
      <c r="C52" s="153">
        <v>0.1</v>
      </c>
      <c r="D52" s="49"/>
      <c r="E52" s="124">
        <v>2031.0</v>
      </c>
      <c r="F52" s="146">
        <f t="shared" si="11"/>
        <v>74123.86491</v>
      </c>
      <c r="G52" s="161">
        <f>G51-(G45-G54) / 10</f>
        <v>0.1292644401</v>
      </c>
      <c r="H52" s="148">
        <f t="shared" si="12"/>
        <v>801.7663632</v>
      </c>
      <c r="I52" s="165">
        <f t="shared" si="13"/>
        <v>0.2206302664</v>
      </c>
      <c r="J52" s="150">
        <f t="shared" si="14"/>
        <v>1016.106105</v>
      </c>
      <c r="K52" s="163">
        <f>L44*K51</f>
        <v>11382.45658</v>
      </c>
      <c r="L52" s="5"/>
      <c r="M52" s="5"/>
      <c r="N52" s="5"/>
    </row>
    <row r="53">
      <c r="A53" s="1"/>
      <c r="B53" s="20" t="s">
        <v>69</v>
      </c>
      <c r="C53" s="156">
        <f t="array" ref="C53">NPV(C39, I59:I68)</f>
        <v>11909.39427</v>
      </c>
      <c r="D53" s="19"/>
      <c r="E53" s="124">
        <v>2032.0</v>
      </c>
      <c r="F53" s="146">
        <f t="shared" si="11"/>
        <v>82982.38033</v>
      </c>
      <c r="G53" s="161">
        <f>G52-(G45-G54) / 10</f>
        <v>0.1195096267</v>
      </c>
      <c r="H53" s="148">
        <f t="shared" si="12"/>
        <v>897.585162</v>
      </c>
      <c r="I53" s="165">
        <f t="shared" si="13"/>
        <v>0.2491499143</v>
      </c>
      <c r="J53" s="150">
        <f t="shared" si="14"/>
        <v>1137.540566</v>
      </c>
      <c r="K53" s="163">
        <f>L44*K52</f>
        <v>12520.70224</v>
      </c>
      <c r="L53" s="5"/>
      <c r="M53" s="5"/>
      <c r="N53" s="5"/>
    </row>
    <row r="54">
      <c r="A54" s="1"/>
      <c r="B54" s="10" t="s">
        <v>70</v>
      </c>
      <c r="C54" s="221">
        <f>C53/J68</f>
        <v>6.431504369</v>
      </c>
      <c r="D54" s="19"/>
      <c r="E54" s="124">
        <v>2033.0</v>
      </c>
      <c r="F54" s="173">
        <f t="shared" si="11"/>
        <v>91280.61836</v>
      </c>
      <c r="G54" s="174">
        <f>C40</f>
        <v>0.1</v>
      </c>
      <c r="H54" s="175">
        <f t="shared" si="12"/>
        <v>987.3436782</v>
      </c>
      <c r="I54" s="176">
        <f t="shared" si="13"/>
        <v>0.2789257275</v>
      </c>
      <c r="J54" s="177">
        <f t="shared" si="14"/>
        <v>1251.294623</v>
      </c>
      <c r="K54" s="178">
        <f>L44*K53</f>
        <v>13772.77246</v>
      </c>
      <c r="L54" s="5"/>
      <c r="M54" s="5"/>
      <c r="N54" s="5"/>
    </row>
    <row r="55">
      <c r="A55" s="1"/>
      <c r="B55" s="10" t="s">
        <v>71</v>
      </c>
      <c r="C55" s="160">
        <f>(C54/C25)^(1/10)-1</f>
        <v>-0.1874279685</v>
      </c>
      <c r="D55" s="157"/>
      <c r="E55" s="5"/>
      <c r="F55" s="179"/>
      <c r="G55" s="179"/>
      <c r="H55" s="5"/>
      <c r="I55" s="5"/>
      <c r="J55" s="5"/>
      <c r="K55" s="5"/>
      <c r="L55" s="5"/>
      <c r="M55" s="5"/>
      <c r="N55" s="5"/>
    </row>
    <row r="56">
      <c r="A56" s="1"/>
      <c r="B56" s="10"/>
      <c r="C56" s="180"/>
      <c r="D56" s="157"/>
      <c r="E56" s="127" t="s">
        <v>61</v>
      </c>
      <c r="F56" s="128" t="s">
        <v>76</v>
      </c>
      <c r="G56" s="128" t="s">
        <v>62</v>
      </c>
      <c r="H56" s="181" t="s">
        <v>24</v>
      </c>
      <c r="I56" s="131" t="s">
        <v>64</v>
      </c>
      <c r="J56" s="132" t="s">
        <v>29</v>
      </c>
      <c r="L56" s="5"/>
      <c r="M56" s="5"/>
      <c r="N56" s="5"/>
    </row>
    <row r="57">
      <c r="A57" s="1"/>
      <c r="B57" s="10" t="s">
        <v>72</v>
      </c>
      <c r="C57" s="164">
        <v>0.02</v>
      </c>
      <c r="D57" s="157"/>
      <c r="E57" s="134"/>
      <c r="F57" s="135"/>
      <c r="G57" s="135"/>
      <c r="H57" s="136"/>
      <c r="I57" s="137"/>
      <c r="J57" s="49"/>
      <c r="L57" s="5"/>
      <c r="M57" s="5"/>
      <c r="N57" s="5"/>
    </row>
    <row r="58">
      <c r="A58" s="126"/>
      <c r="B58" s="10" t="s">
        <v>90</v>
      </c>
      <c r="C58" s="166">
        <f>J44/F44</f>
        <v>0.01455819994</v>
      </c>
      <c r="D58" s="31"/>
      <c r="E58" s="124">
        <v>2033.0</v>
      </c>
      <c r="F58" s="183">
        <f>F54*C59</f>
        <v>1619.899124</v>
      </c>
      <c r="G58" s="184">
        <f t="shared" ref="G58:H58" si="15">G54</f>
        <v>0.1</v>
      </c>
      <c r="H58" s="185">
        <f t="shared" si="15"/>
        <v>987.3436782</v>
      </c>
      <c r="I58" s="186">
        <f>J54</f>
        <v>1251.294623</v>
      </c>
      <c r="J58" s="187">
        <f>K58*J23</f>
        <v>839.9548533</v>
      </c>
      <c r="K58" s="222">
        <f>((J23-G23)/G23 + 1)</f>
        <v>1.376975169</v>
      </c>
      <c r="L58" s="5"/>
      <c r="M58" s="5"/>
      <c r="N58" s="5"/>
    </row>
    <row r="59">
      <c r="A59" s="126"/>
      <c r="B59" s="10" t="s">
        <v>91</v>
      </c>
      <c r="C59" s="168">
        <f>C58*(1+C57)^10</f>
        <v>0.01774636449</v>
      </c>
      <c r="D59" s="31"/>
      <c r="E59" s="124">
        <v>2034.0</v>
      </c>
      <c r="F59" s="146">
        <f t="shared" ref="F59:F68" si="16">F58*(1+G59)</f>
        <v>1781.889036</v>
      </c>
      <c r="G59" s="161">
        <f>G58-(G58-G68) / 10</f>
        <v>0.1</v>
      </c>
      <c r="H59" s="148">
        <f t="shared" ref="H59:H68" si="17">H58*(1+G59)</f>
        <v>1086.078046</v>
      </c>
      <c r="I59" s="188">
        <f t="shared" ref="I59:I68" si="18">I58*(1+G59)</f>
        <v>1376.424085</v>
      </c>
      <c r="J59" s="189">
        <f t="shared" ref="J59:J62" si="19">K59*J58</f>
        <v>1098.767127</v>
      </c>
      <c r="K59" s="222">
        <f t="shared" ref="K59:K61" si="20">K58*0.95</f>
        <v>1.308126411</v>
      </c>
      <c r="L59" s="5"/>
      <c r="M59" s="5"/>
      <c r="N59" s="5"/>
    </row>
    <row r="60">
      <c r="A60" s="126"/>
      <c r="B60" s="10" t="s">
        <v>75</v>
      </c>
      <c r="C60" s="169">
        <f t="array" ref="C60">NPV(C39, I59:I68)</f>
        <v>11909.39427</v>
      </c>
      <c r="D60" s="31"/>
      <c r="E60" s="124">
        <v>2035.0</v>
      </c>
      <c r="F60" s="146">
        <f t="shared" si="16"/>
        <v>1960.07794</v>
      </c>
      <c r="G60" s="161">
        <f>G59-(G58-G68) / 10</f>
        <v>0.1</v>
      </c>
      <c r="H60" s="148">
        <f t="shared" si="17"/>
        <v>1194.685851</v>
      </c>
      <c r="I60" s="188">
        <f t="shared" si="18"/>
        <v>1514.066493</v>
      </c>
      <c r="J60" s="190">
        <f t="shared" si="19"/>
        <v>1365.459984</v>
      </c>
      <c r="K60" s="222">
        <f t="shared" si="20"/>
        <v>1.24272009</v>
      </c>
      <c r="L60" s="5"/>
      <c r="M60" s="5"/>
      <c r="N60" s="5"/>
    </row>
    <row r="61">
      <c r="A61" s="126"/>
      <c r="B61" s="10" t="s">
        <v>70</v>
      </c>
      <c r="C61" s="223">
        <f>C60/J68</f>
        <v>6.431504369</v>
      </c>
      <c r="D61" s="31"/>
      <c r="E61" s="124">
        <v>2036.0</v>
      </c>
      <c r="F61" s="146">
        <f t="shared" si="16"/>
        <v>2156.085734</v>
      </c>
      <c r="G61" s="161">
        <f>G60-(G58-G68) / 10</f>
        <v>0.1</v>
      </c>
      <c r="H61" s="148">
        <f t="shared" si="17"/>
        <v>1314.154436</v>
      </c>
      <c r="I61" s="188">
        <f t="shared" si="18"/>
        <v>1665.473143</v>
      </c>
      <c r="J61" s="189">
        <f t="shared" si="19"/>
        <v>1612.040327</v>
      </c>
      <c r="K61" s="222">
        <f t="shared" si="20"/>
        <v>1.180584086</v>
      </c>
      <c r="L61" s="5"/>
      <c r="M61" s="5"/>
      <c r="N61" s="5"/>
    </row>
    <row r="62">
      <c r="A62" s="1"/>
      <c r="B62" s="10" t="s">
        <v>71</v>
      </c>
      <c r="C62" s="171">
        <f>(C61/C25)^(1/10)-1</f>
        <v>-0.1874279685</v>
      </c>
      <c r="D62" s="19"/>
      <c r="E62" s="124">
        <v>2037.0</v>
      </c>
      <c r="F62" s="146">
        <f t="shared" si="16"/>
        <v>2371.694307</v>
      </c>
      <c r="G62" s="161">
        <f>G61-(G58-G68) / 10</f>
        <v>0.1</v>
      </c>
      <c r="H62" s="148">
        <f t="shared" si="17"/>
        <v>1445.569879</v>
      </c>
      <c r="I62" s="188">
        <f t="shared" si="18"/>
        <v>1832.020457</v>
      </c>
      <c r="J62" s="190">
        <f t="shared" si="19"/>
        <v>1644.281133</v>
      </c>
      <c r="K62" s="224">
        <v>1.02</v>
      </c>
      <c r="L62" s="5"/>
      <c r="M62" s="5"/>
      <c r="N62" s="5"/>
    </row>
    <row r="63">
      <c r="A63" s="1"/>
      <c r="B63" s="10"/>
      <c r="C63" s="19"/>
      <c r="D63" s="19"/>
      <c r="E63" s="124">
        <v>2038.0</v>
      </c>
      <c r="F63" s="146">
        <f t="shared" si="16"/>
        <v>2608.863738</v>
      </c>
      <c r="G63" s="161">
        <f>G62-(G58-G68) / 10</f>
        <v>0.1</v>
      </c>
      <c r="H63" s="148">
        <f t="shared" si="17"/>
        <v>1590.126867</v>
      </c>
      <c r="I63" s="188">
        <f t="shared" si="18"/>
        <v>2015.222503</v>
      </c>
      <c r="J63" s="189">
        <f>K62*J62</f>
        <v>1677.166756</v>
      </c>
      <c r="L63" s="5"/>
      <c r="M63" s="5"/>
      <c r="N63" s="5"/>
    </row>
    <row r="64">
      <c r="A64" s="1"/>
      <c r="B64" s="10"/>
      <c r="C64" s="191"/>
      <c r="D64" s="19"/>
      <c r="E64" s="124">
        <v>2039.0</v>
      </c>
      <c r="F64" s="146">
        <f t="shared" si="16"/>
        <v>2869.750112</v>
      </c>
      <c r="G64" s="161">
        <f>G63-(G58-G68) / 10</f>
        <v>0.1</v>
      </c>
      <c r="H64" s="148">
        <f t="shared" si="17"/>
        <v>1749.139554</v>
      </c>
      <c r="I64" s="188">
        <f t="shared" si="18"/>
        <v>2216.744753</v>
      </c>
      <c r="J64" s="189">
        <f>K62*J63</f>
        <v>1710.710091</v>
      </c>
      <c r="L64" s="5"/>
      <c r="M64" s="5"/>
      <c r="N64" s="5"/>
    </row>
    <row r="65">
      <c r="A65" s="1"/>
      <c r="B65" s="19"/>
      <c r="C65" s="19"/>
      <c r="D65" s="19"/>
      <c r="E65" s="124">
        <v>2040.0</v>
      </c>
      <c r="F65" s="146">
        <f t="shared" si="16"/>
        <v>3156.725123</v>
      </c>
      <c r="G65" s="161">
        <f>G64-(G58-G68) / 10</f>
        <v>0.1</v>
      </c>
      <c r="H65" s="148">
        <f t="shared" si="17"/>
        <v>1924.053509</v>
      </c>
      <c r="I65" s="188">
        <f t="shared" si="18"/>
        <v>2438.419228</v>
      </c>
      <c r="J65" s="189">
        <f>K62*J64</f>
        <v>1744.924293</v>
      </c>
      <c r="L65" s="5"/>
      <c r="M65" s="5"/>
      <c r="N65" s="5"/>
    </row>
    <row r="66">
      <c r="A66" s="1"/>
      <c r="B66" s="19"/>
      <c r="C66" s="19"/>
      <c r="D66" s="19"/>
      <c r="E66" s="124">
        <v>2041.0</v>
      </c>
      <c r="F66" s="146">
        <f t="shared" si="16"/>
        <v>3472.397636</v>
      </c>
      <c r="G66" s="161">
        <f>G65-(G58-G68) / 10</f>
        <v>0.1</v>
      </c>
      <c r="H66" s="148">
        <f t="shared" si="17"/>
        <v>2116.45886</v>
      </c>
      <c r="I66" s="188">
        <f t="shared" si="18"/>
        <v>2682.261151</v>
      </c>
      <c r="J66" s="189">
        <f>K62*J65</f>
        <v>1779.822779</v>
      </c>
      <c r="L66" s="5"/>
      <c r="M66" s="5"/>
      <c r="N66" s="5"/>
    </row>
    <row r="67">
      <c r="A67" s="1"/>
      <c r="B67" s="19"/>
      <c r="C67" s="19"/>
      <c r="D67" s="19"/>
      <c r="E67" s="124">
        <v>2042.0</v>
      </c>
      <c r="F67" s="146">
        <f t="shared" si="16"/>
        <v>3819.637399</v>
      </c>
      <c r="G67" s="161">
        <f>G66-(G58-G68) / 10</f>
        <v>0.1</v>
      </c>
      <c r="H67" s="148">
        <f t="shared" si="17"/>
        <v>2328.104746</v>
      </c>
      <c r="I67" s="188">
        <f t="shared" si="18"/>
        <v>2950.487266</v>
      </c>
      <c r="J67" s="189">
        <f>K62*J66</f>
        <v>1815.419234</v>
      </c>
      <c r="L67" s="5"/>
      <c r="M67" s="5"/>
      <c r="N67" s="5"/>
    </row>
    <row r="68">
      <c r="A68" s="126"/>
      <c r="B68" s="31"/>
      <c r="C68" s="31"/>
      <c r="D68" s="19"/>
      <c r="E68" s="124">
        <v>2043.0</v>
      </c>
      <c r="F68" s="173">
        <f t="shared" si="16"/>
        <v>4201.601139</v>
      </c>
      <c r="G68" s="174">
        <f>C52</f>
        <v>0.1</v>
      </c>
      <c r="H68" s="175">
        <f t="shared" si="17"/>
        <v>2560.915221</v>
      </c>
      <c r="I68" s="192">
        <f t="shared" si="18"/>
        <v>3245.535993</v>
      </c>
      <c r="J68" s="79">
        <f>K62*J67</f>
        <v>1851.727619</v>
      </c>
      <c r="K68" s="5"/>
      <c r="L68" s="5"/>
      <c r="M68" s="5"/>
      <c r="N68" s="5"/>
    </row>
    <row r="69">
      <c r="A69" s="126"/>
      <c r="B69" s="31"/>
      <c r="C69" s="31"/>
      <c r="D69" s="19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19"/>
      <c r="D70" s="19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19"/>
      <c r="D71" s="19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225"/>
      <c r="B3" s="226" t="s">
        <v>92</v>
      </c>
    </row>
    <row r="4">
      <c r="A4" s="227"/>
      <c r="B4" s="227"/>
      <c r="C4" s="227"/>
    </row>
    <row r="5">
      <c r="A5" s="228"/>
      <c r="B5" s="228" t="s">
        <v>93</v>
      </c>
    </row>
    <row r="6">
      <c r="A6" s="228"/>
      <c r="B6" s="229" t="s">
        <v>94</v>
      </c>
      <c r="C6" s="228"/>
      <c r="D6" s="228"/>
      <c r="E6" s="228"/>
    </row>
    <row r="7">
      <c r="A7" s="230"/>
      <c r="B7" s="231" t="s">
        <v>95</v>
      </c>
    </row>
    <row r="8">
      <c r="A8" s="230"/>
      <c r="B8" s="231" t="s">
        <v>96</v>
      </c>
    </row>
    <row r="9">
      <c r="A9" s="228"/>
      <c r="B9" s="231" t="s">
        <v>97</v>
      </c>
    </row>
    <row r="10">
      <c r="A10" s="228"/>
      <c r="B10" s="231" t="s">
        <v>98</v>
      </c>
    </row>
    <row r="11">
      <c r="A11" s="228"/>
      <c r="B11" s="231" t="s">
        <v>99</v>
      </c>
    </row>
    <row r="12">
      <c r="A12" s="228"/>
      <c r="B12" s="231" t="s">
        <v>100</v>
      </c>
    </row>
    <row r="13">
      <c r="A13" s="230"/>
      <c r="B13" s="230"/>
      <c r="C13" s="230"/>
      <c r="D13" s="230"/>
      <c r="E13" s="230"/>
    </row>
    <row r="14">
      <c r="A14" s="230"/>
      <c r="B14" s="230"/>
      <c r="C14" s="230"/>
      <c r="D14" s="230"/>
      <c r="E14" s="230"/>
    </row>
    <row r="15">
      <c r="A15" s="230"/>
      <c r="B15" s="230"/>
      <c r="C15" s="230"/>
      <c r="D15" s="230"/>
      <c r="E15" s="230"/>
    </row>
    <row r="16">
      <c r="A16" s="230"/>
      <c r="B16" s="230"/>
      <c r="C16" s="230"/>
      <c r="D16" s="230"/>
      <c r="E16" s="230"/>
    </row>
    <row r="17">
      <c r="A17" s="230"/>
      <c r="B17" s="230"/>
      <c r="C17" s="230"/>
      <c r="D17" s="230"/>
      <c r="E17" s="230"/>
    </row>
    <row r="18">
      <c r="A18" s="230"/>
      <c r="B18" s="230"/>
      <c r="C18" s="230"/>
      <c r="D18" s="230"/>
      <c r="E18" s="230"/>
    </row>
    <row r="19">
      <c r="A19" s="232"/>
      <c r="B19" s="230"/>
      <c r="C19" s="230"/>
      <c r="D19" s="230"/>
      <c r="E19" s="230"/>
    </row>
    <row r="20">
      <c r="A20" s="232"/>
      <c r="B20" s="230"/>
      <c r="C20" s="230"/>
      <c r="D20" s="230"/>
      <c r="E20" s="230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