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ffly\_git\development\shipment-charges-and-gain-loss-v2.0\00-sales-summary\templates\"/>
    </mc:Choice>
  </mc:AlternateContent>
  <bookViews>
    <workbookView xWindow="0" yWindow="0" windowWidth="24000" windowHeight="9510"/>
  </bookViews>
  <sheets>
    <sheet name="BU Summary" sheetId="5" r:id="rId1"/>
    <sheet name="BU Breakdown" sheetId="1" r:id="rId2"/>
    <sheet name="Check Sheet" sheetId="6" r:id="rId3"/>
    <sheet name="BU Pivot" sheetId="4" r:id="rId4"/>
    <sheet name="BU Raw Before" sheetId="2" r:id="rId5"/>
    <sheet name="BU Raw After" sheetId="3" r:id="rId6"/>
  </sheets>
  <definedNames>
    <definedName name="_xlnm._FilterDatabase" localSheetId="1" hidden="1">'BU Breakdown'!$A$3:$T$259</definedName>
    <definedName name="_xlnm._FilterDatabase" localSheetId="4" hidden="1">'BU Raw Before'!$A$6:$H$163</definedName>
  </definedNames>
  <calcPr calcId="171027"/>
  <pivotCaches>
    <pivotCache cacheId="8" r:id="rId7"/>
  </pivotCaches>
</workbook>
</file>

<file path=xl/calcChain.xml><?xml version="1.0" encoding="utf-8"?>
<calcChain xmlns="http://schemas.openxmlformats.org/spreadsheetml/2006/main">
  <c r="H3" i="3" l="1"/>
  <c r="G3" i="3"/>
  <c r="F3" i="3"/>
  <c r="E3" i="3"/>
  <c r="H3" i="2"/>
  <c r="G3" i="2"/>
  <c r="F3" i="2"/>
  <c r="E3" i="2"/>
  <c r="R323" i="1"/>
  <c r="Q323" i="1"/>
  <c r="N323" i="1"/>
  <c r="M323" i="1"/>
  <c r="J323" i="1"/>
  <c r="I323" i="1"/>
  <c r="F323" i="1"/>
  <c r="E323" i="1"/>
  <c r="R322" i="1"/>
  <c r="Q322" i="1"/>
  <c r="N322" i="1"/>
  <c r="M322" i="1"/>
  <c r="J322" i="1"/>
  <c r="I322" i="1"/>
  <c r="F322" i="1"/>
  <c r="E322" i="1"/>
  <c r="R321" i="1"/>
  <c r="Q321" i="1"/>
  <c r="N321" i="1"/>
  <c r="M321" i="1"/>
  <c r="J321" i="1"/>
  <c r="I321" i="1"/>
  <c r="F321" i="1"/>
  <c r="E321" i="1"/>
  <c r="R320" i="1"/>
  <c r="Q320" i="1"/>
  <c r="N320" i="1"/>
  <c r="M320" i="1"/>
  <c r="J320" i="1"/>
  <c r="I320" i="1"/>
  <c r="F320" i="1"/>
  <c r="E320" i="1"/>
  <c r="R319" i="1"/>
  <c r="Q319" i="1"/>
  <c r="N319" i="1"/>
  <c r="M319" i="1"/>
  <c r="J319" i="1"/>
  <c r="I319" i="1"/>
  <c r="F319" i="1"/>
  <c r="E319" i="1"/>
  <c r="R318" i="1"/>
  <c r="Q318" i="1"/>
  <c r="N318" i="1"/>
  <c r="M318" i="1"/>
  <c r="J318" i="1"/>
  <c r="I318" i="1"/>
  <c r="F318" i="1"/>
  <c r="E318" i="1"/>
  <c r="R317" i="1"/>
  <c r="Q317" i="1"/>
  <c r="N317" i="1"/>
  <c r="M317" i="1"/>
  <c r="J317" i="1"/>
  <c r="I317" i="1"/>
  <c r="F317" i="1"/>
  <c r="E317" i="1"/>
  <c r="R316" i="1"/>
  <c r="Q316" i="1"/>
  <c r="N316" i="1"/>
  <c r="M316" i="1"/>
  <c r="J316" i="1"/>
  <c r="I316" i="1"/>
  <c r="F316" i="1"/>
  <c r="E316" i="1"/>
  <c r="R315" i="1"/>
  <c r="Q315" i="1"/>
  <c r="N315" i="1"/>
  <c r="M315" i="1"/>
  <c r="J315" i="1"/>
  <c r="I315" i="1"/>
  <c r="F315" i="1"/>
  <c r="E315" i="1"/>
  <c r="R314" i="1"/>
  <c r="Q314" i="1"/>
  <c r="N314" i="1"/>
  <c r="M314" i="1"/>
  <c r="J314" i="1"/>
  <c r="I314" i="1"/>
  <c r="F314" i="1"/>
  <c r="E314" i="1"/>
  <c r="R313" i="1"/>
  <c r="Q313" i="1"/>
  <c r="N313" i="1"/>
  <c r="M313" i="1"/>
  <c r="J313" i="1"/>
  <c r="I313" i="1"/>
  <c r="F313" i="1"/>
  <c r="E313" i="1"/>
  <c r="R312" i="1"/>
  <c r="Q312" i="1"/>
  <c r="N312" i="1"/>
  <c r="M312" i="1"/>
  <c r="J312" i="1"/>
  <c r="I312" i="1"/>
  <c r="F312" i="1"/>
  <c r="E312" i="1"/>
  <c r="R311" i="1"/>
  <c r="Q311" i="1"/>
  <c r="N311" i="1"/>
  <c r="M311" i="1"/>
  <c r="J311" i="1"/>
  <c r="I311" i="1"/>
  <c r="F311" i="1"/>
  <c r="E311" i="1"/>
  <c r="R310" i="1"/>
  <c r="Q310" i="1"/>
  <c r="N310" i="1"/>
  <c r="M310" i="1"/>
  <c r="J310" i="1"/>
  <c r="I310" i="1"/>
  <c r="F310" i="1"/>
  <c r="E310" i="1"/>
  <c r="R309" i="1"/>
  <c r="Q309" i="1"/>
  <c r="N309" i="1"/>
  <c r="M309" i="1"/>
  <c r="J309" i="1"/>
  <c r="I309" i="1"/>
  <c r="F309" i="1"/>
  <c r="E309" i="1"/>
  <c r="R308" i="1"/>
  <c r="Q308" i="1"/>
  <c r="N308" i="1"/>
  <c r="M308" i="1"/>
  <c r="J308" i="1"/>
  <c r="I308" i="1"/>
  <c r="F308" i="1"/>
  <c r="E308" i="1"/>
  <c r="R307" i="1"/>
  <c r="Q307" i="1"/>
  <c r="N307" i="1"/>
  <c r="M307" i="1"/>
  <c r="J307" i="1"/>
  <c r="I307" i="1"/>
  <c r="F307" i="1"/>
  <c r="E307" i="1"/>
  <c r="R306" i="1"/>
  <c r="Q306" i="1"/>
  <c r="N306" i="1"/>
  <c r="M306" i="1"/>
  <c r="J306" i="1"/>
  <c r="I306" i="1"/>
  <c r="F306" i="1"/>
  <c r="E306" i="1"/>
  <c r="R305" i="1"/>
  <c r="Q305" i="1"/>
  <c r="N305" i="1"/>
  <c r="M305" i="1"/>
  <c r="J305" i="1"/>
  <c r="I305" i="1"/>
  <c r="F305" i="1"/>
  <c r="E305" i="1"/>
  <c r="R304" i="1"/>
  <c r="Q304" i="1"/>
  <c r="N304" i="1"/>
  <c r="M304" i="1"/>
  <c r="J304" i="1"/>
  <c r="I304" i="1"/>
  <c r="F304" i="1"/>
  <c r="E304" i="1"/>
  <c r="R303" i="1"/>
  <c r="Q303" i="1"/>
  <c r="N303" i="1"/>
  <c r="M303" i="1"/>
  <c r="J303" i="1"/>
  <c r="I303" i="1"/>
  <c r="F303" i="1"/>
  <c r="E303" i="1"/>
  <c r="R302" i="1"/>
  <c r="Q302" i="1"/>
  <c r="N302" i="1"/>
  <c r="M302" i="1"/>
  <c r="J302" i="1"/>
  <c r="I302" i="1"/>
  <c r="F302" i="1"/>
  <c r="E302" i="1"/>
  <c r="R301" i="1"/>
  <c r="Q301" i="1"/>
  <c r="N301" i="1"/>
  <c r="M301" i="1"/>
  <c r="J301" i="1"/>
  <c r="I301" i="1"/>
  <c r="F301" i="1"/>
  <c r="E301" i="1"/>
  <c r="R300" i="1"/>
  <c r="Q300" i="1"/>
  <c r="N300" i="1"/>
  <c r="M300" i="1"/>
  <c r="J300" i="1"/>
  <c r="I300" i="1"/>
  <c r="F300" i="1"/>
  <c r="E300" i="1"/>
  <c r="R299" i="1"/>
  <c r="Q299" i="1"/>
  <c r="N299" i="1"/>
  <c r="M299" i="1"/>
  <c r="J299" i="1"/>
  <c r="I299" i="1"/>
  <c r="F299" i="1"/>
  <c r="E299" i="1"/>
  <c r="R298" i="1"/>
  <c r="Q298" i="1"/>
  <c r="N298" i="1"/>
  <c r="M298" i="1"/>
  <c r="J298" i="1"/>
  <c r="I298" i="1"/>
  <c r="F298" i="1"/>
  <c r="E298" i="1"/>
  <c r="R297" i="1"/>
  <c r="Q297" i="1"/>
  <c r="N297" i="1"/>
  <c r="M297" i="1"/>
  <c r="J297" i="1"/>
  <c r="I297" i="1"/>
  <c r="F297" i="1"/>
  <c r="E297" i="1"/>
  <c r="R296" i="1"/>
  <c r="Q296" i="1"/>
  <c r="N296" i="1"/>
  <c r="M296" i="1"/>
  <c r="J296" i="1"/>
  <c r="I296" i="1"/>
  <c r="F296" i="1"/>
  <c r="E296" i="1"/>
  <c r="R295" i="1"/>
  <c r="Q295" i="1"/>
  <c r="N295" i="1"/>
  <c r="M295" i="1"/>
  <c r="J295" i="1"/>
  <c r="I295" i="1"/>
  <c r="F295" i="1"/>
  <c r="E295" i="1"/>
  <c r="R294" i="1"/>
  <c r="Q294" i="1"/>
  <c r="N294" i="1"/>
  <c r="M294" i="1"/>
  <c r="J294" i="1"/>
  <c r="I294" i="1"/>
  <c r="F294" i="1"/>
  <c r="E294" i="1"/>
  <c r="R293" i="1"/>
  <c r="Q293" i="1"/>
  <c r="N293" i="1"/>
  <c r="M293" i="1"/>
  <c r="J293" i="1"/>
  <c r="I293" i="1"/>
  <c r="F293" i="1"/>
  <c r="E293" i="1"/>
  <c r="R292" i="1"/>
  <c r="Q292" i="1"/>
  <c r="N292" i="1"/>
  <c r="M292" i="1"/>
  <c r="J292" i="1"/>
  <c r="I292" i="1"/>
  <c r="F292" i="1"/>
  <c r="E292" i="1"/>
  <c r="K294" i="1" l="1"/>
  <c r="L294" i="1" s="1"/>
  <c r="K298" i="1"/>
  <c r="L298" i="1" s="1"/>
  <c r="K302" i="1"/>
  <c r="L302" i="1" s="1"/>
  <c r="K306" i="1"/>
  <c r="L306" i="1" s="1"/>
  <c r="K310" i="1"/>
  <c r="L310" i="1" s="1"/>
  <c r="C21" i="6"/>
  <c r="C8" i="6"/>
  <c r="C22" i="6"/>
  <c r="C9" i="6"/>
  <c r="C10" i="6"/>
  <c r="C23" i="6"/>
  <c r="C24" i="6"/>
  <c r="C11" i="6"/>
  <c r="C17" i="6"/>
  <c r="C4" i="6"/>
  <c r="C5" i="6"/>
  <c r="C18" i="6"/>
  <c r="C19" i="6"/>
  <c r="C6" i="6"/>
  <c r="C20" i="6"/>
  <c r="C7" i="6"/>
  <c r="O292" i="1"/>
  <c r="P292" i="1" s="1"/>
  <c r="O295" i="1"/>
  <c r="P295" i="1" s="1"/>
  <c r="O296" i="1"/>
  <c r="P296" i="1" s="1"/>
  <c r="O299" i="1"/>
  <c r="P299" i="1" s="1"/>
  <c r="O300" i="1"/>
  <c r="P300" i="1" s="1"/>
  <c r="O303" i="1"/>
  <c r="P303" i="1" s="1"/>
  <c r="O304" i="1"/>
  <c r="P304" i="1" s="1"/>
  <c r="O307" i="1"/>
  <c r="P307" i="1" s="1"/>
  <c r="O308" i="1"/>
  <c r="P308" i="1" s="1"/>
  <c r="O311" i="1"/>
  <c r="P311" i="1" s="1"/>
  <c r="O312" i="1"/>
  <c r="P312" i="1" s="1"/>
  <c r="O314" i="1"/>
  <c r="P314" i="1" s="1"/>
  <c r="O316" i="1"/>
  <c r="P316" i="1" s="1"/>
  <c r="O318" i="1"/>
  <c r="P318" i="1" s="1"/>
  <c r="O320" i="1"/>
  <c r="P320" i="1" s="1"/>
  <c r="O322" i="1"/>
  <c r="P322" i="1" s="1"/>
  <c r="S293" i="1"/>
  <c r="T293" i="1" s="1"/>
  <c r="S294" i="1"/>
  <c r="T294" i="1" s="1"/>
  <c r="S297" i="1"/>
  <c r="T297" i="1" s="1"/>
  <c r="S298" i="1"/>
  <c r="T298" i="1" s="1"/>
  <c r="S301" i="1"/>
  <c r="T301" i="1" s="1"/>
  <c r="S302" i="1"/>
  <c r="T302" i="1" s="1"/>
  <c r="S305" i="1"/>
  <c r="T305" i="1" s="1"/>
  <c r="S306" i="1"/>
  <c r="T306" i="1" s="1"/>
  <c r="S309" i="1"/>
  <c r="T309" i="1" s="1"/>
  <c r="S310" i="1"/>
  <c r="T310" i="1" s="1"/>
  <c r="G292" i="1"/>
  <c r="H292" i="1" s="1"/>
  <c r="G296" i="1"/>
  <c r="H296" i="1" s="1"/>
  <c r="G300" i="1"/>
  <c r="H300" i="1" s="1"/>
  <c r="G304" i="1"/>
  <c r="H304" i="1" s="1"/>
  <c r="G308" i="1"/>
  <c r="H308" i="1" s="1"/>
  <c r="G312" i="1"/>
  <c r="H312" i="1" s="1"/>
  <c r="G315" i="1"/>
  <c r="H315" i="1" s="1"/>
  <c r="G317" i="1"/>
  <c r="H317" i="1" s="1"/>
  <c r="G319" i="1"/>
  <c r="H319" i="1" s="1"/>
  <c r="G321" i="1"/>
  <c r="H321" i="1" s="1"/>
  <c r="G323" i="1"/>
  <c r="H323" i="1" s="1"/>
  <c r="O306" i="1"/>
  <c r="P306" i="1" s="1"/>
  <c r="G322" i="1"/>
  <c r="H322" i="1" s="1"/>
  <c r="S311" i="1"/>
  <c r="T311" i="1" s="1"/>
  <c r="O317" i="1"/>
  <c r="P317" i="1" s="1"/>
  <c r="G297" i="1"/>
  <c r="H297" i="1" s="1"/>
  <c r="G299" i="1"/>
  <c r="H299" i="1" s="1"/>
  <c r="S312" i="1"/>
  <c r="T312" i="1" s="1"/>
  <c r="K295" i="1"/>
  <c r="L295" i="1" s="1"/>
  <c r="S304" i="1"/>
  <c r="T304" i="1" s="1"/>
  <c r="O313" i="1"/>
  <c r="P313" i="1" s="1"/>
  <c r="G303" i="1"/>
  <c r="H303" i="1" s="1"/>
  <c r="G305" i="1"/>
  <c r="H305" i="1" s="1"/>
  <c r="G309" i="1"/>
  <c r="H309" i="1" s="1"/>
  <c r="G310" i="1"/>
  <c r="H310" i="1" s="1"/>
  <c r="S313" i="1"/>
  <c r="T313" i="1" s="1"/>
  <c r="O293" i="1"/>
  <c r="P293" i="1" s="1"/>
  <c r="K296" i="1"/>
  <c r="L296" i="1" s="1"/>
  <c r="K297" i="1"/>
  <c r="L297" i="1" s="1"/>
  <c r="K300" i="1"/>
  <c r="L300" i="1" s="1"/>
  <c r="K301" i="1"/>
  <c r="L301" i="1" s="1"/>
  <c r="G293" i="1"/>
  <c r="H293" i="1" s="1"/>
  <c r="S315" i="1"/>
  <c r="T315" i="1" s="1"/>
  <c r="O319" i="1"/>
  <c r="P319" i="1" s="1"/>
  <c r="G294" i="1"/>
  <c r="H294" i="1" s="1"/>
  <c r="S295" i="1"/>
  <c r="T295" i="1" s="1"/>
  <c r="O297" i="1"/>
  <c r="P297" i="1" s="1"/>
  <c r="K299" i="1"/>
  <c r="L299" i="1" s="1"/>
  <c r="S292" i="1"/>
  <c r="T292" i="1" s="1"/>
  <c r="O294" i="1"/>
  <c r="P294" i="1" s="1"/>
  <c r="G298" i="1"/>
  <c r="H298" i="1" s="1"/>
  <c r="S299" i="1"/>
  <c r="T299" i="1" s="1"/>
  <c r="O301" i="1"/>
  <c r="P301" i="1" s="1"/>
  <c r="K303" i="1"/>
  <c r="L303" i="1" s="1"/>
  <c r="K308" i="1"/>
  <c r="L308" i="1" s="1"/>
  <c r="K309" i="1"/>
  <c r="L309" i="1" s="1"/>
  <c r="G311" i="1"/>
  <c r="H311" i="1" s="1"/>
  <c r="O315" i="1"/>
  <c r="P315" i="1" s="1"/>
  <c r="G306" i="1"/>
  <c r="H306" i="1" s="1"/>
  <c r="S307" i="1"/>
  <c r="T307" i="1" s="1"/>
  <c r="O309" i="1"/>
  <c r="P309" i="1" s="1"/>
  <c r="K311" i="1"/>
  <c r="L311" i="1" s="1"/>
  <c r="K304" i="1"/>
  <c r="L304" i="1" s="1"/>
  <c r="G307" i="1"/>
  <c r="H307" i="1" s="1"/>
  <c r="G313" i="1"/>
  <c r="H313" i="1" s="1"/>
  <c r="G314" i="1"/>
  <c r="H314" i="1" s="1"/>
  <c r="O321" i="1"/>
  <c r="P321" i="1" s="1"/>
  <c r="G295" i="1"/>
  <c r="H295" i="1" s="1"/>
  <c r="S308" i="1"/>
  <c r="T308" i="1" s="1"/>
  <c r="O310" i="1"/>
  <c r="P310" i="1" s="1"/>
  <c r="O323" i="1"/>
  <c r="P323" i="1" s="1"/>
  <c r="S296" i="1"/>
  <c r="T296" i="1" s="1"/>
  <c r="O298" i="1"/>
  <c r="P298" i="1" s="1"/>
  <c r="G302" i="1"/>
  <c r="H302" i="1" s="1"/>
  <c r="S303" i="1"/>
  <c r="T303" i="1" s="1"/>
  <c r="O305" i="1"/>
  <c r="P305" i="1" s="1"/>
  <c r="K307" i="1"/>
  <c r="L307" i="1" s="1"/>
  <c r="K312" i="1"/>
  <c r="L312" i="1" s="1"/>
  <c r="K313" i="1"/>
  <c r="L313" i="1" s="1"/>
  <c r="G318" i="1"/>
  <c r="H318" i="1" s="1"/>
  <c r="S300" i="1"/>
  <c r="T300" i="1" s="1"/>
  <c r="O302" i="1"/>
  <c r="P302" i="1" s="1"/>
  <c r="K305" i="1"/>
  <c r="L305" i="1" s="1"/>
  <c r="K292" i="1"/>
  <c r="L292" i="1" s="1"/>
  <c r="K293" i="1"/>
  <c r="L293" i="1" s="1"/>
  <c r="G301" i="1"/>
  <c r="H301" i="1" s="1"/>
  <c r="G316" i="1"/>
  <c r="H316" i="1" s="1"/>
  <c r="G320" i="1"/>
  <c r="H320" i="1" s="1"/>
  <c r="S323" i="1"/>
  <c r="T323" i="1" s="1"/>
  <c r="K315" i="1"/>
  <c r="L315" i="1" s="1"/>
  <c r="K319" i="1"/>
  <c r="L319" i="1" s="1"/>
  <c r="K323" i="1"/>
  <c r="L323" i="1" s="1"/>
  <c r="S316" i="1"/>
  <c r="T316" i="1" s="1"/>
  <c r="S322" i="1"/>
  <c r="T322" i="1" s="1"/>
  <c r="K314" i="1"/>
  <c r="L314" i="1" s="1"/>
  <c r="K316" i="1"/>
  <c r="L316" i="1" s="1"/>
  <c r="K318" i="1"/>
  <c r="L318" i="1" s="1"/>
  <c r="K320" i="1"/>
  <c r="L320" i="1" s="1"/>
  <c r="K322" i="1"/>
  <c r="L322" i="1" s="1"/>
  <c r="K317" i="1"/>
  <c r="L317" i="1" s="1"/>
  <c r="K321" i="1"/>
  <c r="L321" i="1" s="1"/>
  <c r="S318" i="1"/>
  <c r="T318" i="1" s="1"/>
  <c r="S314" i="1"/>
  <c r="T314" i="1" s="1"/>
  <c r="S320" i="1"/>
  <c r="T320" i="1" s="1"/>
  <c r="S317" i="1"/>
  <c r="T317" i="1" s="1"/>
  <c r="S319" i="1"/>
  <c r="T319" i="1" s="1"/>
  <c r="S321" i="1"/>
  <c r="T321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R4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O261" i="1" s="1"/>
  <c r="P261" i="1" s="1"/>
  <c r="M262" i="1"/>
  <c r="M263" i="1"/>
  <c r="O263" i="1" s="1"/>
  <c r="P263" i="1" s="1"/>
  <c r="M264" i="1"/>
  <c r="O264" i="1" s="1"/>
  <c r="P264" i="1" s="1"/>
  <c r="M265" i="1"/>
  <c r="O265" i="1" s="1"/>
  <c r="P265" i="1" s="1"/>
  <c r="M266" i="1"/>
  <c r="O266" i="1" s="1"/>
  <c r="P266" i="1" s="1"/>
  <c r="M267" i="1"/>
  <c r="O267" i="1" s="1"/>
  <c r="P267" i="1" s="1"/>
  <c r="M268" i="1"/>
  <c r="M269" i="1"/>
  <c r="O269" i="1" s="1"/>
  <c r="P269" i="1" s="1"/>
  <c r="M270" i="1"/>
  <c r="M271" i="1"/>
  <c r="O271" i="1" s="1"/>
  <c r="P271" i="1" s="1"/>
  <c r="M272" i="1"/>
  <c r="O272" i="1" s="1"/>
  <c r="P272" i="1" s="1"/>
  <c r="M273" i="1"/>
  <c r="O273" i="1" s="1"/>
  <c r="P273" i="1" s="1"/>
  <c r="M274" i="1"/>
  <c r="O274" i="1" s="1"/>
  <c r="P274" i="1" s="1"/>
  <c r="M275" i="1"/>
  <c r="M276" i="1"/>
  <c r="M277" i="1"/>
  <c r="M278" i="1"/>
  <c r="O278" i="1" s="1"/>
  <c r="P278" i="1" s="1"/>
  <c r="M279" i="1"/>
  <c r="O279" i="1" s="1"/>
  <c r="P279" i="1" s="1"/>
  <c r="M280" i="1"/>
  <c r="O280" i="1" s="1"/>
  <c r="P280" i="1" s="1"/>
  <c r="M281" i="1"/>
  <c r="M282" i="1"/>
  <c r="O282" i="1" s="1"/>
  <c r="P282" i="1" s="1"/>
  <c r="M283" i="1"/>
  <c r="M284" i="1"/>
  <c r="M285" i="1"/>
  <c r="O285" i="1" s="1"/>
  <c r="P285" i="1" s="1"/>
  <c r="M286" i="1"/>
  <c r="M287" i="1"/>
  <c r="M288" i="1"/>
  <c r="M289" i="1"/>
  <c r="M290" i="1"/>
  <c r="M291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K260" i="1" s="1"/>
  <c r="L260" i="1" s="1"/>
  <c r="I261" i="1"/>
  <c r="K261" i="1" s="1"/>
  <c r="L261" i="1" s="1"/>
  <c r="I262" i="1"/>
  <c r="K262" i="1" s="1"/>
  <c r="L262" i="1" s="1"/>
  <c r="I263" i="1"/>
  <c r="K263" i="1" s="1"/>
  <c r="L263" i="1" s="1"/>
  <c r="I264" i="1"/>
  <c r="I265" i="1"/>
  <c r="I266" i="1"/>
  <c r="I267" i="1"/>
  <c r="I268" i="1"/>
  <c r="K268" i="1" s="1"/>
  <c r="L268" i="1" s="1"/>
  <c r="I269" i="1"/>
  <c r="K269" i="1" s="1"/>
  <c r="L269" i="1" s="1"/>
  <c r="I270" i="1"/>
  <c r="I271" i="1"/>
  <c r="I272" i="1"/>
  <c r="I273" i="1"/>
  <c r="I274" i="1"/>
  <c r="I275" i="1"/>
  <c r="I276" i="1"/>
  <c r="I277" i="1"/>
  <c r="K277" i="1" s="1"/>
  <c r="L277" i="1" s="1"/>
  <c r="I278" i="1"/>
  <c r="I279" i="1"/>
  <c r="I280" i="1"/>
  <c r="I281" i="1"/>
  <c r="I282" i="1"/>
  <c r="K282" i="1" s="1"/>
  <c r="L282" i="1" s="1"/>
  <c r="I283" i="1"/>
  <c r="I284" i="1"/>
  <c r="I285" i="1"/>
  <c r="K285" i="1" s="1"/>
  <c r="L285" i="1" s="1"/>
  <c r="I286" i="1"/>
  <c r="I287" i="1"/>
  <c r="I288" i="1"/>
  <c r="I289" i="1"/>
  <c r="I290" i="1"/>
  <c r="I291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G261" i="1" s="1"/>
  <c r="H261" i="1" s="1"/>
  <c r="E262" i="1"/>
  <c r="E263" i="1"/>
  <c r="E264" i="1"/>
  <c r="E265" i="1"/>
  <c r="G265" i="1" s="1"/>
  <c r="H265" i="1" s="1"/>
  <c r="E266" i="1"/>
  <c r="G266" i="1" s="1"/>
  <c r="H266" i="1" s="1"/>
  <c r="E267" i="1"/>
  <c r="G267" i="1" s="1"/>
  <c r="H267" i="1" s="1"/>
  <c r="E268" i="1"/>
  <c r="E269" i="1"/>
  <c r="G269" i="1" s="1"/>
  <c r="H269" i="1" s="1"/>
  <c r="E270" i="1"/>
  <c r="E271" i="1"/>
  <c r="E272" i="1"/>
  <c r="E273" i="1"/>
  <c r="E274" i="1"/>
  <c r="E275" i="1"/>
  <c r="E276" i="1"/>
  <c r="E277" i="1"/>
  <c r="G277" i="1" s="1"/>
  <c r="H277" i="1" s="1"/>
  <c r="E278" i="1"/>
  <c r="E279" i="1"/>
  <c r="E280" i="1"/>
  <c r="E281" i="1"/>
  <c r="E282" i="1"/>
  <c r="G282" i="1" s="1"/>
  <c r="H282" i="1" s="1"/>
  <c r="E283" i="1"/>
  <c r="E284" i="1"/>
  <c r="E285" i="1"/>
  <c r="E286" i="1"/>
  <c r="E287" i="1"/>
  <c r="E288" i="1"/>
  <c r="E289" i="1"/>
  <c r="E290" i="1"/>
  <c r="E291" i="1"/>
  <c r="E4" i="1"/>
  <c r="O277" i="1"/>
  <c r="P277" i="1" s="1"/>
  <c r="O268" i="1" l="1"/>
  <c r="P268" i="1" s="1"/>
  <c r="G284" i="1"/>
  <c r="H284" i="1" s="1"/>
  <c r="G276" i="1"/>
  <c r="H276" i="1" s="1"/>
  <c r="G268" i="1"/>
  <c r="H268" i="1" s="1"/>
  <c r="G260" i="1"/>
  <c r="H260" i="1" s="1"/>
  <c r="G273" i="1"/>
  <c r="H273" i="1" s="1"/>
  <c r="S278" i="1"/>
  <c r="T278" i="1" s="1"/>
  <c r="K287" i="1"/>
  <c r="L287" i="1" s="1"/>
  <c r="K286" i="1"/>
  <c r="L286" i="1" s="1"/>
  <c r="O286" i="1"/>
  <c r="P286" i="1" s="1"/>
  <c r="G285" i="1"/>
  <c r="H285" i="1" s="1"/>
  <c r="K278" i="1"/>
  <c r="L278" i="1" s="1"/>
  <c r="G286" i="1"/>
  <c r="H286" i="1" s="1"/>
  <c r="S287" i="1"/>
  <c r="T287" i="1" s="1"/>
  <c r="S279" i="1"/>
  <c r="T279" i="1" s="1"/>
  <c r="S271" i="1"/>
  <c r="T271" i="1" s="1"/>
  <c r="S263" i="1"/>
  <c r="T263" i="1" s="1"/>
  <c r="S281" i="1"/>
  <c r="T281" i="1" s="1"/>
  <c r="S285" i="1"/>
  <c r="T285" i="1" s="1"/>
  <c r="S277" i="1"/>
  <c r="T277" i="1" s="1"/>
  <c r="S269" i="1"/>
  <c r="T269" i="1" s="1"/>
  <c r="S261" i="1"/>
  <c r="T261" i="1" s="1"/>
  <c r="S290" i="1"/>
  <c r="T290" i="1" s="1"/>
  <c r="S274" i="1"/>
  <c r="T274" i="1" s="1"/>
  <c r="S288" i="1"/>
  <c r="T288" i="1" s="1"/>
  <c r="S272" i="1"/>
  <c r="T272" i="1" s="1"/>
  <c r="S264" i="1"/>
  <c r="T264" i="1" s="1"/>
  <c r="K264" i="1"/>
  <c r="L264" i="1" s="1"/>
  <c r="G271" i="1"/>
  <c r="H271" i="1" s="1"/>
  <c r="S291" i="1"/>
  <c r="T291" i="1" s="1"/>
  <c r="S275" i="1"/>
  <c r="T275" i="1" s="1"/>
  <c r="O287" i="1"/>
  <c r="P287" i="1" s="1"/>
  <c r="G278" i="1"/>
  <c r="H278" i="1" s="1"/>
  <c r="O262" i="1"/>
  <c r="P262" i="1" s="1"/>
  <c r="G279" i="1"/>
  <c r="H279" i="1" s="1"/>
  <c r="K279" i="1"/>
  <c r="L279" i="1" s="1"/>
  <c r="G263" i="1"/>
  <c r="H263" i="1" s="1"/>
  <c r="K281" i="1"/>
  <c r="L281" i="1" s="1"/>
  <c r="G288" i="1"/>
  <c r="H288" i="1" s="1"/>
  <c r="S289" i="1"/>
  <c r="T289" i="1" s="1"/>
  <c r="S273" i="1"/>
  <c r="T273" i="1" s="1"/>
  <c r="S265" i="1"/>
  <c r="T265" i="1" s="1"/>
  <c r="K271" i="1"/>
  <c r="L271" i="1" s="1"/>
  <c r="K265" i="1"/>
  <c r="L265" i="1" s="1"/>
  <c r="G264" i="1"/>
  <c r="H264" i="1" s="1"/>
  <c r="G270" i="1"/>
  <c r="H270" i="1" s="1"/>
  <c r="K270" i="1"/>
  <c r="L270" i="1" s="1"/>
  <c r="K273" i="1"/>
  <c r="L273" i="1" s="1"/>
  <c r="G287" i="1"/>
  <c r="H287" i="1" s="1"/>
  <c r="G262" i="1"/>
  <c r="H262" i="1" s="1"/>
  <c r="O270" i="1"/>
  <c r="P270" i="1" s="1"/>
  <c r="K274" i="1"/>
  <c r="L274" i="1" s="1"/>
  <c r="O281" i="1"/>
  <c r="P281" i="1" s="1"/>
  <c r="S284" i="1"/>
  <c r="T284" i="1" s="1"/>
  <c r="G290" i="1"/>
  <c r="H290" i="1" s="1"/>
  <c r="K266" i="1"/>
  <c r="L266" i="1" s="1"/>
  <c r="S268" i="1"/>
  <c r="T268" i="1" s="1"/>
  <c r="S260" i="1"/>
  <c r="T260" i="1" s="1"/>
  <c r="K272" i="1"/>
  <c r="L272" i="1" s="1"/>
  <c r="K276" i="1"/>
  <c r="L276" i="1" s="1"/>
  <c r="O284" i="1"/>
  <c r="P284" i="1" s="1"/>
  <c r="O276" i="1"/>
  <c r="P276" i="1" s="1"/>
  <c r="O260" i="1"/>
  <c r="P260" i="1" s="1"/>
  <c r="S262" i="1"/>
  <c r="T262" i="1" s="1"/>
  <c r="S276" i="1"/>
  <c r="T276" i="1" s="1"/>
  <c r="G272" i="1"/>
  <c r="H272" i="1" s="1"/>
  <c r="K280" i="1"/>
  <c r="L280" i="1" s="1"/>
  <c r="K275" i="1"/>
  <c r="L275" i="1" s="1"/>
  <c r="K267" i="1"/>
  <c r="L267" i="1" s="1"/>
  <c r="S283" i="1"/>
  <c r="T283" i="1" s="1"/>
  <c r="S267" i="1"/>
  <c r="T267" i="1" s="1"/>
  <c r="S280" i="1"/>
  <c r="T280" i="1" s="1"/>
  <c r="S282" i="1"/>
  <c r="T282" i="1" s="1"/>
  <c r="S266" i="1"/>
  <c r="T266" i="1" s="1"/>
  <c r="S286" i="1"/>
  <c r="T286" i="1" s="1"/>
  <c r="S270" i="1"/>
  <c r="T270" i="1" s="1"/>
  <c r="O290" i="1"/>
  <c r="P290" i="1" s="1"/>
  <c r="O289" i="1"/>
  <c r="P289" i="1" s="1"/>
  <c r="O291" i="1"/>
  <c r="P291" i="1" s="1"/>
  <c r="O283" i="1"/>
  <c r="P283" i="1" s="1"/>
  <c r="O275" i="1"/>
  <c r="P275" i="1" s="1"/>
  <c r="O288" i="1"/>
  <c r="P288" i="1" s="1"/>
  <c r="K291" i="1"/>
  <c r="L291" i="1" s="1"/>
  <c r="K283" i="1"/>
  <c r="L283" i="1" s="1"/>
  <c r="K290" i="1"/>
  <c r="L290" i="1" s="1"/>
  <c r="K284" i="1"/>
  <c r="L284" i="1" s="1"/>
  <c r="K289" i="1"/>
  <c r="L289" i="1" s="1"/>
  <c r="K288" i="1"/>
  <c r="L288" i="1" s="1"/>
  <c r="G280" i="1"/>
  <c r="H280" i="1" s="1"/>
  <c r="G291" i="1"/>
  <c r="H291" i="1" s="1"/>
  <c r="G283" i="1"/>
  <c r="H283" i="1" s="1"/>
  <c r="G275" i="1"/>
  <c r="H275" i="1" s="1"/>
  <c r="G274" i="1"/>
  <c r="H274" i="1" s="1"/>
  <c r="G289" i="1"/>
  <c r="H289" i="1" s="1"/>
  <c r="G281" i="1"/>
  <c r="H281" i="1" s="1"/>
  <c r="G106" i="1"/>
  <c r="H106" i="1" s="1"/>
  <c r="G101" i="1"/>
  <c r="H101" i="1" s="1"/>
  <c r="G257" i="1"/>
  <c r="H257" i="1" s="1"/>
  <c r="G9" i="1"/>
  <c r="H9" i="1" s="1"/>
  <c r="G5" i="1"/>
  <c r="H5" i="1" s="1"/>
  <c r="G33" i="1"/>
  <c r="H33" i="1" s="1"/>
  <c r="G218" i="1"/>
  <c r="H218" i="1" s="1"/>
  <c r="G214" i="1"/>
  <c r="H214" i="1" s="1"/>
  <c r="G213" i="1"/>
  <c r="H213" i="1" s="1"/>
  <c r="O105" i="1"/>
  <c r="P105" i="1" s="1"/>
  <c r="G124" i="1"/>
  <c r="H124" i="1" s="1"/>
  <c r="O131" i="1"/>
  <c r="P131" i="1" s="1"/>
  <c r="O130" i="1"/>
  <c r="P130" i="1" s="1"/>
  <c r="S126" i="1"/>
  <c r="T126" i="1" s="1"/>
  <c r="O244" i="1"/>
  <c r="P244" i="1" s="1"/>
  <c r="G252" i="1"/>
  <c r="H252" i="1" s="1"/>
  <c r="G258" i="1"/>
  <c r="H258" i="1" s="1"/>
  <c r="G86" i="1"/>
  <c r="H86" i="1" s="1"/>
  <c r="O210" i="1"/>
  <c r="P210" i="1" s="1"/>
  <c r="O132" i="1"/>
  <c r="P132" i="1" s="1"/>
  <c r="G36" i="5"/>
  <c r="C34" i="5"/>
  <c r="N50" i="5"/>
  <c r="C32" i="5"/>
  <c r="G49" i="5"/>
  <c r="F61" i="5"/>
  <c r="C10" i="5"/>
  <c r="J50" i="5"/>
  <c r="B18" i="5"/>
  <c r="J9" i="5"/>
  <c r="N59" i="5"/>
  <c r="G33" i="5"/>
  <c r="K33" i="5"/>
  <c r="F60" i="5"/>
  <c r="F45" i="5"/>
  <c r="J10" i="5"/>
  <c r="N10" i="5"/>
  <c r="O59" i="5"/>
  <c r="C57" i="5"/>
  <c r="G20" i="5"/>
  <c r="C11" i="5"/>
  <c r="J63" i="5"/>
  <c r="K62" i="5"/>
  <c r="C23" i="5"/>
  <c r="O60" i="5"/>
  <c r="N32" i="5"/>
  <c r="G18" i="5"/>
  <c r="B37" i="5"/>
  <c r="O37" i="5"/>
  <c r="B25" i="5"/>
  <c r="N47" i="5"/>
  <c r="O58" i="5"/>
  <c r="O23" i="5"/>
  <c r="N18" i="5"/>
  <c r="G62" i="5"/>
  <c r="O31" i="5"/>
  <c r="O11" i="5"/>
  <c r="F37" i="5"/>
  <c r="J47" i="5"/>
  <c r="F18" i="5"/>
  <c r="F38" i="5"/>
  <c r="G64" i="5"/>
  <c r="F58" i="5"/>
  <c r="F12" i="5"/>
  <c r="J25" i="5"/>
  <c r="C45" i="5"/>
  <c r="O62" i="5"/>
  <c r="O51" i="5"/>
  <c r="B57" i="5"/>
  <c r="B47" i="5"/>
  <c r="C49" i="5"/>
  <c r="C59" i="5"/>
  <c r="B19" i="5"/>
  <c r="F22" i="5"/>
  <c r="B58" i="5"/>
  <c r="N23" i="5"/>
  <c r="G37" i="5"/>
  <c r="O18" i="5"/>
  <c r="C61" i="5"/>
  <c r="C44" i="5"/>
  <c r="N37" i="5"/>
  <c r="K24" i="5"/>
  <c r="J45" i="5"/>
  <c r="K58" i="5"/>
  <c r="K22" i="5"/>
  <c r="B46" i="5"/>
  <c r="O47" i="5"/>
  <c r="G59" i="5"/>
  <c r="J46" i="5"/>
  <c r="C63" i="5"/>
  <c r="C50" i="5"/>
  <c r="K60" i="5"/>
  <c r="O35" i="5"/>
  <c r="F35" i="5"/>
  <c r="F32" i="5"/>
  <c r="K23" i="5"/>
  <c r="N12" i="5"/>
  <c r="C47" i="5"/>
  <c r="G22" i="5"/>
  <c r="F20" i="5"/>
  <c r="J61" i="5"/>
  <c r="F24" i="5"/>
  <c r="G12" i="5"/>
  <c r="G51" i="5"/>
  <c r="J23" i="5"/>
  <c r="B51" i="5"/>
  <c r="J57" i="5"/>
  <c r="G61" i="5"/>
  <c r="N20" i="5"/>
  <c r="J36" i="5"/>
  <c r="B31" i="5"/>
  <c r="F50" i="5"/>
  <c r="C22" i="5"/>
  <c r="G44" i="5"/>
  <c r="O24" i="5"/>
  <c r="C25" i="5"/>
  <c r="C9" i="5"/>
  <c r="B49" i="5"/>
  <c r="F19" i="5"/>
  <c r="C46" i="5"/>
  <c r="B20" i="5"/>
  <c r="K34" i="5"/>
  <c r="N24" i="5"/>
  <c r="J59" i="5"/>
  <c r="G60" i="5"/>
  <c r="J24" i="5"/>
  <c r="F34" i="5"/>
  <c r="K63" i="5"/>
  <c r="O34" i="5"/>
  <c r="G23" i="5"/>
  <c r="N61" i="5"/>
  <c r="B11" i="5"/>
  <c r="N38" i="5"/>
  <c r="K25" i="5"/>
  <c r="O63" i="5"/>
  <c r="O33" i="5"/>
  <c r="C31" i="5"/>
  <c r="C35" i="5"/>
  <c r="J32" i="5"/>
  <c r="K50" i="5"/>
  <c r="B35" i="5"/>
  <c r="N57" i="5"/>
  <c r="O46" i="5"/>
  <c r="J35" i="5"/>
  <c r="B12" i="5"/>
  <c r="G38" i="5"/>
  <c r="N35" i="5"/>
  <c r="K61" i="5"/>
  <c r="J44" i="5"/>
  <c r="C24" i="5"/>
  <c r="B23" i="5"/>
  <c r="O32" i="5"/>
  <c r="B21" i="5"/>
  <c r="O49" i="5"/>
  <c r="G47" i="5"/>
  <c r="K36" i="5"/>
  <c r="J33" i="5"/>
  <c r="G50" i="5"/>
  <c r="C60" i="5"/>
  <c r="N62" i="5"/>
  <c r="J60" i="5"/>
  <c r="K11" i="5"/>
  <c r="N60" i="5"/>
  <c r="K21" i="5"/>
  <c r="B38" i="5"/>
  <c r="N64" i="5"/>
  <c r="G24" i="5"/>
  <c r="G21" i="5"/>
  <c r="J19" i="5"/>
  <c r="J21" i="5"/>
  <c r="O21" i="5"/>
  <c r="B48" i="5"/>
  <c r="J11" i="5"/>
  <c r="G45" i="5"/>
  <c r="O22" i="5"/>
  <c r="F47" i="5"/>
  <c r="N63" i="5"/>
  <c r="N9" i="5"/>
  <c r="G34" i="5"/>
  <c r="K46" i="5"/>
  <c r="N48" i="5"/>
  <c r="K64" i="5"/>
  <c r="B64" i="5"/>
  <c r="F31" i="5"/>
  <c r="K45" i="5"/>
  <c r="J18" i="5"/>
  <c r="O61" i="5"/>
  <c r="B34" i="5"/>
  <c r="J31" i="5"/>
  <c r="G31" i="5"/>
  <c r="B62" i="5"/>
  <c r="N22" i="5"/>
  <c r="O45" i="5"/>
  <c r="C36" i="5"/>
  <c r="N45" i="5"/>
  <c r="N51" i="5"/>
  <c r="C21" i="5"/>
  <c r="B10" i="5"/>
  <c r="B50" i="5"/>
  <c r="K20" i="5"/>
  <c r="G11" i="5"/>
  <c r="F21" i="5"/>
  <c r="B45" i="5"/>
  <c r="N46" i="5"/>
  <c r="K35" i="5"/>
  <c r="O20" i="5"/>
  <c r="N36" i="5"/>
  <c r="O19" i="5"/>
  <c r="C64" i="5"/>
  <c r="J49" i="5"/>
  <c r="J58" i="5"/>
  <c r="C20" i="5"/>
  <c r="B32" i="5"/>
  <c r="N33" i="5"/>
  <c r="K9" i="5"/>
  <c r="B36" i="5"/>
  <c r="N11" i="5"/>
  <c r="K49" i="5"/>
  <c r="J12" i="5"/>
  <c r="C12" i="5"/>
  <c r="G57" i="5"/>
  <c r="F62" i="5"/>
  <c r="F63" i="5"/>
  <c r="N34" i="5"/>
  <c r="F23" i="5"/>
  <c r="F11" i="5"/>
  <c r="G25" i="5"/>
  <c r="B22" i="5"/>
  <c r="G46" i="5"/>
  <c r="K18" i="5"/>
  <c r="B61" i="5"/>
  <c r="O9" i="5"/>
  <c r="K47" i="5"/>
  <c r="K12" i="5"/>
  <c r="G63" i="5"/>
  <c r="C58" i="5"/>
  <c r="F49" i="5"/>
  <c r="J64" i="5"/>
  <c r="N21" i="5"/>
  <c r="B33" i="5"/>
  <c r="K44" i="5"/>
  <c r="K19" i="5"/>
  <c r="N19" i="5"/>
  <c r="O38" i="5"/>
  <c r="G9" i="5"/>
  <c r="K31" i="5"/>
  <c r="F36" i="5"/>
  <c r="C37" i="5"/>
  <c r="J22" i="5"/>
  <c r="C51" i="5"/>
  <c r="O10" i="5"/>
  <c r="F33" i="5"/>
  <c r="F57" i="5"/>
  <c r="K48" i="5"/>
  <c r="F64" i="5"/>
  <c r="O64" i="5"/>
  <c r="J37" i="5"/>
  <c r="B59" i="5"/>
  <c r="K10" i="5"/>
  <c r="G19" i="5"/>
  <c r="J34" i="5"/>
  <c r="C19" i="5"/>
  <c r="G10" i="5"/>
  <c r="G48" i="5"/>
  <c r="N25" i="5"/>
  <c r="O44" i="5"/>
  <c r="J20" i="5"/>
  <c r="J51" i="5"/>
  <c r="B60" i="5"/>
  <c r="F10" i="5"/>
  <c r="B9" i="5"/>
  <c r="B24" i="5"/>
  <c r="C33" i="5"/>
  <c r="B63" i="5"/>
  <c r="F46" i="5"/>
  <c r="J48" i="5"/>
  <c r="C48" i="5"/>
  <c r="F48" i="5"/>
  <c r="F59" i="5"/>
  <c r="O50" i="5"/>
  <c r="N58" i="5"/>
  <c r="F25" i="5"/>
  <c r="K37" i="5"/>
  <c r="N49" i="5"/>
  <c r="O12" i="5"/>
  <c r="C18" i="5"/>
  <c r="K32" i="5"/>
  <c r="K51" i="5"/>
  <c r="N31" i="5"/>
  <c r="F51" i="5"/>
  <c r="C38" i="5"/>
  <c r="G35" i="5"/>
  <c r="C62" i="5"/>
  <c r="F44" i="5"/>
  <c r="O57" i="5"/>
  <c r="O48" i="5"/>
  <c r="O25" i="5"/>
  <c r="B44" i="5"/>
  <c r="J62" i="5"/>
  <c r="K38" i="5"/>
  <c r="K57" i="5"/>
  <c r="K59" i="5"/>
  <c r="F9" i="5"/>
  <c r="J38" i="5"/>
  <c r="O36" i="5"/>
  <c r="G58" i="5"/>
  <c r="G32" i="5"/>
  <c r="N44" i="5"/>
  <c r="C30" i="6" l="1"/>
  <c r="J48" i="6"/>
  <c r="C29" i="6"/>
  <c r="J30" i="6"/>
  <c r="J34" i="6"/>
  <c r="J35" i="6"/>
  <c r="J36" i="6"/>
  <c r="C34" i="6"/>
  <c r="J47" i="6"/>
  <c r="C36" i="6"/>
  <c r="C42" i="6"/>
  <c r="J45" i="6"/>
  <c r="J43" i="6"/>
  <c r="C44" i="6"/>
  <c r="C35" i="6"/>
  <c r="C46" i="6"/>
  <c r="J29" i="6"/>
  <c r="C32" i="6"/>
  <c r="C43" i="6"/>
  <c r="C47" i="6"/>
  <c r="J41" i="6"/>
  <c r="C41" i="6"/>
  <c r="C33" i="6"/>
  <c r="J46" i="6"/>
  <c r="J44" i="6"/>
  <c r="J42" i="6"/>
  <c r="C48" i="6"/>
  <c r="C45" i="6"/>
  <c r="J32" i="6"/>
  <c r="J31" i="6"/>
  <c r="C31" i="6"/>
  <c r="J33" i="6"/>
  <c r="O200" i="1"/>
  <c r="P200" i="1" s="1"/>
  <c r="O72" i="1"/>
  <c r="P72" i="1" s="1"/>
  <c r="O254" i="1"/>
  <c r="P254" i="1" s="1"/>
  <c r="S212" i="1"/>
  <c r="T212" i="1" s="1"/>
  <c r="K113" i="1"/>
  <c r="L113" i="1" s="1"/>
  <c r="K121" i="1"/>
  <c r="L121" i="1" s="1"/>
  <c r="O73" i="1"/>
  <c r="P73" i="1" s="1"/>
  <c r="O113" i="1"/>
  <c r="P113" i="1" s="1"/>
  <c r="K125" i="1"/>
  <c r="L125" i="1" s="1"/>
  <c r="K109" i="1"/>
  <c r="L109" i="1" s="1"/>
  <c r="K229" i="1"/>
  <c r="L229" i="1" s="1"/>
  <c r="F2" i="1"/>
  <c r="D8" i="6" s="1"/>
  <c r="E8" i="6" s="1"/>
  <c r="J2" i="1"/>
  <c r="D9" i="6" s="1"/>
  <c r="E9" i="6" s="1"/>
  <c r="N2" i="1"/>
  <c r="D10" i="6" s="1"/>
  <c r="E10" i="6" s="1"/>
  <c r="G89" i="1"/>
  <c r="H89" i="1" s="1"/>
  <c r="E2" i="1"/>
  <c r="D4" i="6" s="1"/>
  <c r="E4" i="6" s="1"/>
  <c r="M2" i="1"/>
  <c r="D6" i="6" s="1"/>
  <c r="E6" i="6" s="1"/>
  <c r="G223" i="1"/>
  <c r="H223" i="1" s="1"/>
  <c r="G95" i="1"/>
  <c r="H95" i="1" s="1"/>
  <c r="I2" i="1"/>
  <c r="D5" i="6" s="1"/>
  <c r="E5" i="6" s="1"/>
  <c r="Q2" i="1"/>
  <c r="D7" i="6" s="1"/>
  <c r="E7" i="6" s="1"/>
  <c r="L9" i="5"/>
  <c r="M9" i="5" s="1"/>
  <c r="K7" i="5"/>
  <c r="D23" i="6" s="1"/>
  <c r="E23" i="6" s="1"/>
  <c r="P18" i="5"/>
  <c r="Q18" i="5" s="1"/>
  <c r="O16" i="5"/>
  <c r="D36" i="6" s="1"/>
  <c r="H31" i="5"/>
  <c r="I31" i="5" s="1"/>
  <c r="G29" i="5"/>
  <c r="K34" i="6" s="1"/>
  <c r="O29" i="5"/>
  <c r="K36" i="6" s="1"/>
  <c r="P31" i="5"/>
  <c r="Q31" i="5" s="1"/>
  <c r="G42" i="5"/>
  <c r="D46" i="6" s="1"/>
  <c r="H44" i="5"/>
  <c r="I44" i="5" s="1"/>
  <c r="D57" i="5"/>
  <c r="E57" i="5" s="1"/>
  <c r="C55" i="5"/>
  <c r="K45" i="6" s="1"/>
  <c r="P57" i="5"/>
  <c r="Q57" i="5" s="1"/>
  <c r="O55" i="5"/>
  <c r="K48" i="6" s="1"/>
  <c r="D24" i="5"/>
  <c r="E24" i="5" s="1"/>
  <c r="D35" i="5"/>
  <c r="E35" i="5" s="1"/>
  <c r="P35" i="5"/>
  <c r="Q35" i="5" s="1"/>
  <c r="L48" i="5"/>
  <c r="M48" i="5" s="1"/>
  <c r="P46" i="5"/>
  <c r="Q46" i="5" s="1"/>
  <c r="H61" i="5"/>
  <c r="I61" i="5" s="1"/>
  <c r="L10" i="5"/>
  <c r="M10" i="5" s="1"/>
  <c r="P22" i="5"/>
  <c r="Q22" i="5" s="1"/>
  <c r="L37" i="5"/>
  <c r="M37" i="5" s="1"/>
  <c r="D45" i="5"/>
  <c r="E45" i="5" s="1"/>
  <c r="L45" i="5"/>
  <c r="M45" i="5" s="1"/>
  <c r="D59" i="5"/>
  <c r="E59" i="5" s="1"/>
  <c r="H63" i="5"/>
  <c r="I63" i="5" s="1"/>
  <c r="L19" i="5"/>
  <c r="M19" i="5" s="1"/>
  <c r="D32" i="5"/>
  <c r="E32" i="5" s="1"/>
  <c r="L49" i="5"/>
  <c r="M49" i="5" s="1"/>
  <c r="H11" i="5"/>
  <c r="I11" i="5" s="1"/>
  <c r="P11" i="5"/>
  <c r="Q11" i="5" s="1"/>
  <c r="D21" i="5"/>
  <c r="E21" i="5" s="1"/>
  <c r="L23" i="5"/>
  <c r="M23" i="5" s="1"/>
  <c r="D36" i="5"/>
  <c r="E36" i="5" s="1"/>
  <c r="B7" i="5"/>
  <c r="D17" i="6" s="1"/>
  <c r="E17" i="6" s="1"/>
  <c r="F7" i="5"/>
  <c r="D18" i="6" s="1"/>
  <c r="E18" i="6" s="1"/>
  <c r="J7" i="5"/>
  <c r="D19" i="6" s="1"/>
  <c r="E19" i="6" s="1"/>
  <c r="N7" i="5"/>
  <c r="D20" i="6" s="1"/>
  <c r="E20" i="6" s="1"/>
  <c r="C16" i="5"/>
  <c r="D33" i="6" s="1"/>
  <c r="D18" i="5"/>
  <c r="E18" i="5" s="1"/>
  <c r="G16" i="5"/>
  <c r="H18" i="5"/>
  <c r="I18" i="5" s="1"/>
  <c r="K16" i="5"/>
  <c r="D35" i="6" s="1"/>
  <c r="L18" i="5"/>
  <c r="M18" i="5" s="1"/>
  <c r="L22" i="5"/>
  <c r="M22" i="5" s="1"/>
  <c r="N16" i="5"/>
  <c r="D32" i="6" s="1"/>
  <c r="P20" i="5"/>
  <c r="Q20" i="5" s="1"/>
  <c r="B29" i="5"/>
  <c r="K29" i="6" s="1"/>
  <c r="D33" i="5"/>
  <c r="E33" i="5" s="1"/>
  <c r="F29" i="5"/>
  <c r="K30" i="6" s="1"/>
  <c r="H37" i="5"/>
  <c r="I37" i="5" s="1"/>
  <c r="J29" i="5"/>
  <c r="K31" i="6" s="1"/>
  <c r="N29" i="5"/>
  <c r="K32" i="6" s="1"/>
  <c r="P33" i="5"/>
  <c r="Q33" i="5" s="1"/>
  <c r="B42" i="5"/>
  <c r="D41" i="6" s="1"/>
  <c r="D50" i="5"/>
  <c r="E50" i="5" s="1"/>
  <c r="F42" i="5"/>
  <c r="J42" i="5"/>
  <c r="D43" i="6" s="1"/>
  <c r="L50" i="5"/>
  <c r="M50" i="5" s="1"/>
  <c r="N42" i="5"/>
  <c r="D44" i="6" s="1"/>
  <c r="P49" i="5"/>
  <c r="Q49" i="5" s="1"/>
  <c r="B55" i="5"/>
  <c r="K41" i="6" s="1"/>
  <c r="D61" i="5"/>
  <c r="E61" i="5" s="1"/>
  <c r="F55" i="5"/>
  <c r="K42" i="6" s="1"/>
  <c r="J55" i="5"/>
  <c r="K43" i="6" s="1"/>
  <c r="L62" i="5"/>
  <c r="M62" i="5" s="1"/>
  <c r="N55" i="5"/>
  <c r="K44" i="6" s="1"/>
  <c r="G7" i="5"/>
  <c r="H9" i="5"/>
  <c r="I9" i="5" s="1"/>
  <c r="P9" i="5"/>
  <c r="Q9" i="5" s="1"/>
  <c r="O7" i="5"/>
  <c r="D24" i="6" s="1"/>
  <c r="E24" i="6" s="1"/>
  <c r="D20" i="5"/>
  <c r="E20" i="5" s="1"/>
  <c r="P24" i="5"/>
  <c r="Q24" i="5" s="1"/>
  <c r="D37" i="5"/>
  <c r="E37" i="5" s="1"/>
  <c r="P37" i="5"/>
  <c r="Q37" i="5" s="1"/>
  <c r="L44" i="5"/>
  <c r="M44" i="5" s="1"/>
  <c r="K42" i="5"/>
  <c r="D47" i="6" s="1"/>
  <c r="G55" i="5"/>
  <c r="K46" i="6" s="1"/>
  <c r="H57" i="5"/>
  <c r="I57" i="5" s="1"/>
  <c r="L57" i="5"/>
  <c r="M57" i="5" s="1"/>
  <c r="K55" i="5"/>
  <c r="D10" i="5"/>
  <c r="E10" i="5" s="1"/>
  <c r="H23" i="5"/>
  <c r="I23" i="5" s="1"/>
  <c r="L20" i="5"/>
  <c r="M20" i="5" s="1"/>
  <c r="D48" i="5"/>
  <c r="E48" i="5" s="1"/>
  <c r="H59" i="5"/>
  <c r="I59" i="5" s="1"/>
  <c r="H19" i="5"/>
  <c r="I19" i="5" s="1"/>
  <c r="L24" i="5"/>
  <c r="M24" i="5" s="1"/>
  <c r="H32" i="5"/>
  <c r="I32" i="5" s="1"/>
  <c r="H46" i="5"/>
  <c r="I46" i="5" s="1"/>
  <c r="D58" i="5"/>
  <c r="E58" i="5" s="1"/>
  <c r="P58" i="5"/>
  <c r="Q58" i="5" s="1"/>
  <c r="H10" i="5"/>
  <c r="I10" i="5" s="1"/>
  <c r="P48" i="5"/>
  <c r="Q48" i="5" s="1"/>
  <c r="D62" i="5"/>
  <c r="E62" i="5" s="1"/>
  <c r="L61" i="5"/>
  <c r="M61" i="5" s="1"/>
  <c r="H20" i="5"/>
  <c r="I20" i="5" s="1"/>
  <c r="L21" i="5"/>
  <c r="M21" i="5" s="1"/>
  <c r="P36" i="5"/>
  <c r="Q36" i="5" s="1"/>
  <c r="H24" i="5"/>
  <c r="I24" i="5" s="1"/>
  <c r="L25" i="5"/>
  <c r="M25" i="5" s="1"/>
  <c r="P21" i="5"/>
  <c r="Q21" i="5" s="1"/>
  <c r="D34" i="5"/>
  <c r="E34" i="5" s="1"/>
  <c r="H34" i="5"/>
  <c r="I34" i="5" s="1"/>
  <c r="L32" i="5"/>
  <c r="M32" i="5" s="1"/>
  <c r="L34" i="5"/>
  <c r="M34" i="5" s="1"/>
  <c r="P34" i="5"/>
  <c r="Q34" i="5" s="1"/>
  <c r="D47" i="5"/>
  <c r="E47" i="5" s="1"/>
  <c r="H47" i="5"/>
  <c r="I47" i="5" s="1"/>
  <c r="L47" i="5"/>
  <c r="M47" i="5" s="1"/>
  <c r="P47" i="5"/>
  <c r="Q47" i="5" s="1"/>
  <c r="D60" i="5"/>
  <c r="E60" i="5" s="1"/>
  <c r="H62" i="5"/>
  <c r="I62" i="5" s="1"/>
  <c r="H60" i="5"/>
  <c r="I60" i="5" s="1"/>
  <c r="L60" i="5"/>
  <c r="M60" i="5" s="1"/>
  <c r="P62" i="5"/>
  <c r="Q62" i="5" s="1"/>
  <c r="P60" i="5"/>
  <c r="Q60" i="5" s="1"/>
  <c r="C7" i="5"/>
  <c r="D9" i="5"/>
  <c r="E9" i="5" s="1"/>
  <c r="D31" i="5"/>
  <c r="E31" i="5" s="1"/>
  <c r="C29" i="5"/>
  <c r="K29" i="5"/>
  <c r="K35" i="6" s="1"/>
  <c r="L31" i="5"/>
  <c r="M31" i="5" s="1"/>
  <c r="D44" i="5"/>
  <c r="E44" i="5" s="1"/>
  <c r="C42" i="5"/>
  <c r="D45" i="6" s="1"/>
  <c r="H45" i="5"/>
  <c r="I45" i="5" s="1"/>
  <c r="P44" i="5"/>
  <c r="Q44" i="5" s="1"/>
  <c r="O42" i="5"/>
  <c r="D48" i="6" s="1"/>
  <c r="P61" i="5"/>
  <c r="Q61" i="5" s="1"/>
  <c r="D22" i="5"/>
  <c r="E22" i="5" s="1"/>
  <c r="H22" i="5"/>
  <c r="I22" i="5" s="1"/>
  <c r="H35" i="5"/>
  <c r="I35" i="5" s="1"/>
  <c r="L33" i="5"/>
  <c r="M33" i="5" s="1"/>
  <c r="P59" i="5"/>
  <c r="Q59" i="5" s="1"/>
  <c r="P10" i="5"/>
  <c r="Q10" i="5" s="1"/>
  <c r="P19" i="5"/>
  <c r="Q19" i="5" s="1"/>
  <c r="L35" i="5"/>
  <c r="M35" i="5" s="1"/>
  <c r="P32" i="5"/>
  <c r="Q32" i="5" s="1"/>
  <c r="H49" i="5"/>
  <c r="I49" i="5" s="1"/>
  <c r="P50" i="5"/>
  <c r="Q50" i="5" s="1"/>
  <c r="L59" i="5"/>
  <c r="M59" i="5" s="1"/>
  <c r="D11" i="5"/>
  <c r="E11" i="5" s="1"/>
  <c r="H36" i="5"/>
  <c r="I36" i="5" s="1"/>
  <c r="D49" i="5"/>
  <c r="E49" i="5" s="1"/>
  <c r="D63" i="5"/>
  <c r="E63" i="5" s="1"/>
  <c r="L63" i="5"/>
  <c r="M63" i="5" s="1"/>
  <c r="D19" i="5"/>
  <c r="E19" i="5" s="1"/>
  <c r="H21" i="5"/>
  <c r="I21" i="5" s="1"/>
  <c r="P23" i="5"/>
  <c r="Q23" i="5" s="1"/>
  <c r="H50" i="5"/>
  <c r="I50" i="5" s="1"/>
  <c r="H58" i="5"/>
  <c r="I58" i="5" s="1"/>
  <c r="L11" i="5"/>
  <c r="M11" i="5" s="1"/>
  <c r="D23" i="5"/>
  <c r="E23" i="5" s="1"/>
  <c r="D25" i="5"/>
  <c r="E25" i="5" s="1"/>
  <c r="H25" i="5"/>
  <c r="I25" i="5" s="1"/>
  <c r="D12" i="5"/>
  <c r="E12" i="5" s="1"/>
  <c r="H12" i="5"/>
  <c r="I12" i="5" s="1"/>
  <c r="L12" i="5"/>
  <c r="M12" i="5" s="1"/>
  <c r="P12" i="5"/>
  <c r="Q12" i="5" s="1"/>
  <c r="F16" i="5"/>
  <c r="D30" i="6" s="1"/>
  <c r="J16" i="5"/>
  <c r="D31" i="6" s="1"/>
  <c r="B16" i="5"/>
  <c r="D29" i="6" s="1"/>
  <c r="P25" i="5"/>
  <c r="Q25" i="5" s="1"/>
  <c r="D38" i="5"/>
  <c r="E38" i="5" s="1"/>
  <c r="H33" i="5"/>
  <c r="I33" i="5" s="1"/>
  <c r="H38" i="5"/>
  <c r="I38" i="5" s="1"/>
  <c r="L36" i="5"/>
  <c r="M36" i="5" s="1"/>
  <c r="L38" i="5"/>
  <c r="M38" i="5" s="1"/>
  <c r="P38" i="5"/>
  <c r="Q38" i="5" s="1"/>
  <c r="D46" i="5"/>
  <c r="E46" i="5" s="1"/>
  <c r="D51" i="5"/>
  <c r="E51" i="5" s="1"/>
  <c r="H48" i="5"/>
  <c r="I48" i="5" s="1"/>
  <c r="H51" i="5"/>
  <c r="I51" i="5" s="1"/>
  <c r="L46" i="5"/>
  <c r="M46" i="5" s="1"/>
  <c r="L51" i="5"/>
  <c r="M51" i="5" s="1"/>
  <c r="P45" i="5"/>
  <c r="Q45" i="5" s="1"/>
  <c r="P51" i="5"/>
  <c r="Q51" i="5" s="1"/>
  <c r="D64" i="5"/>
  <c r="E64" i="5" s="1"/>
  <c r="H64" i="5"/>
  <c r="I64" i="5" s="1"/>
  <c r="L58" i="5"/>
  <c r="M58" i="5" s="1"/>
  <c r="L64" i="5"/>
  <c r="M64" i="5" s="1"/>
  <c r="P63" i="5"/>
  <c r="Q63" i="5" s="1"/>
  <c r="P64" i="5"/>
  <c r="Q64" i="5" s="1"/>
  <c r="S4" i="1"/>
  <c r="T4" i="1" s="1"/>
  <c r="G173" i="1"/>
  <c r="H173" i="1" s="1"/>
  <c r="G49" i="1"/>
  <c r="H49" i="1" s="1"/>
  <c r="K170" i="1"/>
  <c r="L170" i="1" s="1"/>
  <c r="G251" i="1"/>
  <c r="H251" i="1" s="1"/>
  <c r="G109" i="1"/>
  <c r="H109" i="1" s="1"/>
  <c r="K164" i="1"/>
  <c r="L164" i="1" s="1"/>
  <c r="K36" i="1"/>
  <c r="L36" i="1" s="1"/>
  <c r="K100" i="1"/>
  <c r="L100" i="1" s="1"/>
  <c r="S174" i="1"/>
  <c r="T174" i="1" s="1"/>
  <c r="G169" i="1"/>
  <c r="H169" i="1" s="1"/>
  <c r="G221" i="1"/>
  <c r="H221" i="1" s="1"/>
  <c r="R2" i="1"/>
  <c r="D11" i="6" s="1"/>
  <c r="E11" i="6" s="1"/>
  <c r="K226" i="1"/>
  <c r="L226" i="1" s="1"/>
  <c r="K80" i="1"/>
  <c r="L80" i="1" s="1"/>
  <c r="G161" i="1"/>
  <c r="H161" i="1" s="1"/>
  <c r="G27" i="1"/>
  <c r="H27" i="1" s="1"/>
  <c r="G239" i="1"/>
  <c r="H239" i="1" s="1"/>
  <c r="K70" i="1"/>
  <c r="L70" i="1" s="1"/>
  <c r="S44" i="1"/>
  <c r="T44" i="1" s="1"/>
  <c r="G143" i="1"/>
  <c r="H143" i="1" s="1"/>
  <c r="G87" i="1"/>
  <c r="H87" i="1" s="1"/>
  <c r="G13" i="1"/>
  <c r="H13" i="1" s="1"/>
  <c r="G235" i="1"/>
  <c r="H235" i="1" s="1"/>
  <c r="K173" i="1"/>
  <c r="L173" i="1" s="1"/>
  <c r="K38" i="1"/>
  <c r="L38" i="1" s="1"/>
  <c r="O138" i="1"/>
  <c r="P138" i="1" s="1"/>
  <c r="G195" i="1"/>
  <c r="H195" i="1" s="1"/>
  <c r="G63" i="1"/>
  <c r="H63" i="1" s="1"/>
  <c r="G59" i="1"/>
  <c r="H59" i="1" s="1"/>
  <c r="G133" i="1"/>
  <c r="H133" i="1" s="1"/>
  <c r="G225" i="1"/>
  <c r="H225" i="1" s="1"/>
  <c r="G25" i="1"/>
  <c r="H25" i="1" s="1"/>
  <c r="G243" i="1"/>
  <c r="H243" i="1" s="1"/>
  <c r="K225" i="1"/>
  <c r="L225" i="1" s="1"/>
  <c r="K211" i="1"/>
  <c r="L211" i="1" s="1"/>
  <c r="K203" i="1"/>
  <c r="L203" i="1" s="1"/>
  <c r="K71" i="1"/>
  <c r="L71" i="1" s="1"/>
  <c r="K11" i="1"/>
  <c r="L11" i="1" s="1"/>
  <c r="K257" i="1"/>
  <c r="L257" i="1" s="1"/>
  <c r="K251" i="1"/>
  <c r="L251" i="1" s="1"/>
  <c r="K105" i="1"/>
  <c r="L105" i="1" s="1"/>
  <c r="K107" i="1"/>
  <c r="L107" i="1" s="1"/>
  <c r="K208" i="1"/>
  <c r="L208" i="1" s="1"/>
  <c r="O162" i="1"/>
  <c r="P162" i="1" s="1"/>
  <c r="O74" i="1"/>
  <c r="P74" i="1" s="1"/>
  <c r="S80" i="1"/>
  <c r="T80" i="1" s="1"/>
  <c r="K169" i="1"/>
  <c r="L169" i="1" s="1"/>
  <c r="K59" i="1"/>
  <c r="L59" i="1" s="1"/>
  <c r="K149" i="1"/>
  <c r="L149" i="1" s="1"/>
  <c r="O39" i="1"/>
  <c r="P39" i="1" s="1"/>
  <c r="S197" i="1"/>
  <c r="T197" i="1" s="1"/>
  <c r="K55" i="1"/>
  <c r="L55" i="1" s="1"/>
  <c r="K153" i="1"/>
  <c r="L153" i="1" s="1"/>
  <c r="K99" i="1"/>
  <c r="L99" i="1" s="1"/>
  <c r="K5" i="1"/>
  <c r="L5" i="1" s="1"/>
  <c r="G192" i="1"/>
  <c r="H192" i="1" s="1"/>
  <c r="G168" i="1"/>
  <c r="H168" i="1" s="1"/>
  <c r="G160" i="1"/>
  <c r="H160" i="1" s="1"/>
  <c r="K174" i="1"/>
  <c r="L174" i="1" s="1"/>
  <c r="K182" i="1"/>
  <c r="L182" i="1" s="1"/>
  <c r="K62" i="1"/>
  <c r="L62" i="1" s="1"/>
  <c r="K60" i="1"/>
  <c r="L60" i="1" s="1"/>
  <c r="K54" i="1"/>
  <c r="L54" i="1" s="1"/>
  <c r="K142" i="1"/>
  <c r="L142" i="1" s="1"/>
  <c r="K144" i="1"/>
  <c r="L144" i="1" s="1"/>
  <c r="K224" i="1"/>
  <c r="L224" i="1" s="1"/>
  <c r="K196" i="1"/>
  <c r="L196" i="1" s="1"/>
  <c r="K74" i="1"/>
  <c r="L74" i="1" s="1"/>
  <c r="K30" i="1"/>
  <c r="L30" i="1" s="1"/>
  <c r="K26" i="1"/>
  <c r="L26" i="1" s="1"/>
  <c r="K179" i="1"/>
  <c r="L179" i="1" s="1"/>
  <c r="O186" i="1"/>
  <c r="P186" i="1" s="1"/>
  <c r="O48" i="1"/>
  <c r="P48" i="1" s="1"/>
  <c r="O44" i="1"/>
  <c r="P44" i="1" s="1"/>
  <c r="G191" i="1"/>
  <c r="H191" i="1" s="1"/>
  <c r="G181" i="1"/>
  <c r="H181" i="1" s="1"/>
  <c r="G45" i="1"/>
  <c r="H45" i="1" s="1"/>
  <c r="G47" i="1"/>
  <c r="H47" i="1" s="1"/>
  <c r="G151" i="1"/>
  <c r="H151" i="1" s="1"/>
  <c r="G155" i="1"/>
  <c r="H155" i="1" s="1"/>
  <c r="G190" i="1"/>
  <c r="H190" i="1" s="1"/>
  <c r="G194" i="1"/>
  <c r="H194" i="1" s="1"/>
  <c r="G188" i="1"/>
  <c r="H188" i="1" s="1"/>
  <c r="G174" i="1"/>
  <c r="H174" i="1" s="1"/>
  <c r="G176" i="1"/>
  <c r="H176" i="1" s="1"/>
  <c r="G178" i="1"/>
  <c r="H178" i="1" s="1"/>
  <c r="G172" i="1"/>
  <c r="H172" i="1" s="1"/>
  <c r="G182" i="1"/>
  <c r="H182" i="1" s="1"/>
  <c r="G184" i="1"/>
  <c r="H184" i="1" s="1"/>
  <c r="G186" i="1"/>
  <c r="H186" i="1" s="1"/>
  <c r="G180" i="1"/>
  <c r="H180" i="1" s="1"/>
  <c r="G166" i="1"/>
  <c r="H166" i="1" s="1"/>
  <c r="G170" i="1"/>
  <c r="H170" i="1" s="1"/>
  <c r="G164" i="1"/>
  <c r="H164" i="1" s="1"/>
  <c r="G62" i="1"/>
  <c r="H62" i="1" s="1"/>
  <c r="G64" i="1"/>
  <c r="H64" i="1" s="1"/>
  <c r="G66" i="1"/>
  <c r="H66" i="1" s="1"/>
  <c r="G60" i="1"/>
  <c r="H60" i="1" s="1"/>
  <c r="G46" i="1"/>
  <c r="H46" i="1" s="1"/>
  <c r="G48" i="1"/>
  <c r="H48" i="1" s="1"/>
  <c r="G50" i="1"/>
  <c r="H50" i="1" s="1"/>
  <c r="G44" i="1"/>
  <c r="H44" i="1" s="1"/>
  <c r="G54" i="1"/>
  <c r="H54" i="1" s="1"/>
  <c r="G56" i="1"/>
  <c r="H56" i="1" s="1"/>
  <c r="G58" i="1"/>
  <c r="H58" i="1" s="1"/>
  <c r="G52" i="1"/>
  <c r="H52" i="1" s="1"/>
  <c r="G38" i="1"/>
  <c r="H38" i="1" s="1"/>
  <c r="G40" i="1"/>
  <c r="H40" i="1" s="1"/>
  <c r="G42" i="1"/>
  <c r="H42" i="1" s="1"/>
  <c r="G36" i="1"/>
  <c r="H36" i="1" s="1"/>
  <c r="G158" i="1"/>
  <c r="H158" i="1" s="1"/>
  <c r="G162" i="1"/>
  <c r="H162" i="1" s="1"/>
  <c r="G156" i="1"/>
  <c r="H156" i="1" s="1"/>
  <c r="G142" i="1"/>
  <c r="H142" i="1" s="1"/>
  <c r="G144" i="1"/>
  <c r="H144" i="1" s="1"/>
  <c r="G146" i="1"/>
  <c r="H146" i="1" s="1"/>
  <c r="G140" i="1"/>
  <c r="H140" i="1" s="1"/>
  <c r="G150" i="1"/>
  <c r="H150" i="1" s="1"/>
  <c r="G152" i="1"/>
  <c r="H152" i="1" s="1"/>
  <c r="G154" i="1"/>
  <c r="H154" i="1" s="1"/>
  <c r="G148" i="1"/>
  <c r="H148" i="1" s="1"/>
  <c r="G134" i="1"/>
  <c r="H134" i="1" s="1"/>
  <c r="G136" i="1"/>
  <c r="H136" i="1" s="1"/>
  <c r="G138" i="1"/>
  <c r="H138" i="1" s="1"/>
  <c r="G132" i="1"/>
  <c r="H132" i="1" s="1"/>
  <c r="G222" i="1"/>
  <c r="H222" i="1" s="1"/>
  <c r="G220" i="1"/>
  <c r="H220" i="1" s="1"/>
  <c r="G204" i="1"/>
  <c r="H204" i="1" s="1"/>
  <c r="G212" i="1"/>
  <c r="H212" i="1" s="1"/>
  <c r="G94" i="1"/>
  <c r="H94" i="1" s="1"/>
  <c r="G98" i="1"/>
  <c r="H98" i="1" s="1"/>
  <c r="G78" i="1"/>
  <c r="H78" i="1" s="1"/>
  <c r="G32" i="1"/>
  <c r="H32" i="1" s="1"/>
  <c r="G26" i="1"/>
  <c r="H26" i="1" s="1"/>
  <c r="G244" i="1"/>
  <c r="H244" i="1" s="1"/>
  <c r="G232" i="1"/>
  <c r="H232" i="1" s="1"/>
  <c r="G110" i="1"/>
  <c r="H110" i="1" s="1"/>
  <c r="G112" i="1"/>
  <c r="H112" i="1" s="1"/>
  <c r="G108" i="1"/>
  <c r="H108" i="1" s="1"/>
  <c r="G116" i="1"/>
  <c r="H116" i="1" s="1"/>
  <c r="O189" i="1"/>
  <c r="P189" i="1" s="1"/>
  <c r="O191" i="1"/>
  <c r="P191" i="1" s="1"/>
  <c r="O193" i="1"/>
  <c r="P193" i="1" s="1"/>
  <c r="O195" i="1"/>
  <c r="P195" i="1" s="1"/>
  <c r="O173" i="1"/>
  <c r="P173" i="1" s="1"/>
  <c r="O175" i="1"/>
  <c r="P175" i="1" s="1"/>
  <c r="O177" i="1"/>
  <c r="P177" i="1" s="1"/>
  <c r="O179" i="1"/>
  <c r="P179" i="1" s="1"/>
  <c r="O181" i="1"/>
  <c r="P181" i="1" s="1"/>
  <c r="O183" i="1"/>
  <c r="P183" i="1" s="1"/>
  <c r="O185" i="1"/>
  <c r="P185" i="1" s="1"/>
  <c r="O187" i="1"/>
  <c r="P187" i="1" s="1"/>
  <c r="O165" i="1"/>
  <c r="P165" i="1" s="1"/>
  <c r="O167" i="1"/>
  <c r="P167" i="1" s="1"/>
  <c r="O169" i="1"/>
  <c r="P169" i="1" s="1"/>
  <c r="O171" i="1"/>
  <c r="P171" i="1" s="1"/>
  <c r="O61" i="1"/>
  <c r="P61" i="1" s="1"/>
  <c r="O63" i="1"/>
  <c r="P63" i="1" s="1"/>
  <c r="O65" i="1"/>
  <c r="P65" i="1" s="1"/>
  <c r="O67" i="1"/>
  <c r="P67" i="1" s="1"/>
  <c r="O45" i="1"/>
  <c r="P45" i="1" s="1"/>
  <c r="O47" i="1"/>
  <c r="P47" i="1" s="1"/>
  <c r="O49" i="1"/>
  <c r="P49" i="1" s="1"/>
  <c r="O51" i="1"/>
  <c r="P51" i="1" s="1"/>
  <c r="O53" i="1"/>
  <c r="P53" i="1" s="1"/>
  <c r="O55" i="1"/>
  <c r="P55" i="1" s="1"/>
  <c r="O57" i="1"/>
  <c r="P57" i="1" s="1"/>
  <c r="O59" i="1"/>
  <c r="P59" i="1" s="1"/>
  <c r="O37" i="1"/>
  <c r="P37" i="1" s="1"/>
  <c r="O41" i="1"/>
  <c r="P41" i="1" s="1"/>
  <c r="O43" i="1"/>
  <c r="P43" i="1" s="1"/>
  <c r="O157" i="1"/>
  <c r="P157" i="1" s="1"/>
  <c r="O159" i="1"/>
  <c r="P159" i="1" s="1"/>
  <c r="O161" i="1"/>
  <c r="P161" i="1" s="1"/>
  <c r="O163" i="1"/>
  <c r="P163" i="1" s="1"/>
  <c r="O141" i="1"/>
  <c r="P141" i="1" s="1"/>
  <c r="O143" i="1"/>
  <c r="P143" i="1" s="1"/>
  <c r="O145" i="1"/>
  <c r="P145" i="1" s="1"/>
  <c r="O147" i="1"/>
  <c r="P147" i="1" s="1"/>
  <c r="O149" i="1"/>
  <c r="P149" i="1" s="1"/>
  <c r="O151" i="1"/>
  <c r="P151" i="1" s="1"/>
  <c r="O153" i="1"/>
  <c r="P153" i="1" s="1"/>
  <c r="O155" i="1"/>
  <c r="P155" i="1" s="1"/>
  <c r="O133" i="1"/>
  <c r="P133" i="1" s="1"/>
  <c r="O135" i="1"/>
  <c r="P135" i="1" s="1"/>
  <c r="O137" i="1"/>
  <c r="P137" i="1" s="1"/>
  <c r="O139" i="1"/>
  <c r="P139" i="1" s="1"/>
  <c r="O221" i="1"/>
  <c r="P221" i="1" s="1"/>
  <c r="O223" i="1"/>
  <c r="P223" i="1" s="1"/>
  <c r="O225" i="1"/>
  <c r="P225" i="1" s="1"/>
  <c r="O227" i="1"/>
  <c r="P227" i="1" s="1"/>
  <c r="O205" i="1"/>
  <c r="P205" i="1" s="1"/>
  <c r="O207" i="1"/>
  <c r="P207" i="1" s="1"/>
  <c r="O209" i="1"/>
  <c r="P209" i="1" s="1"/>
  <c r="O211" i="1"/>
  <c r="P211" i="1" s="1"/>
  <c r="O213" i="1"/>
  <c r="P213" i="1" s="1"/>
  <c r="O215" i="1"/>
  <c r="P215" i="1" s="1"/>
  <c r="O217" i="1"/>
  <c r="P217" i="1" s="1"/>
  <c r="O219" i="1"/>
  <c r="P219" i="1" s="1"/>
  <c r="O197" i="1"/>
  <c r="P197" i="1" s="1"/>
  <c r="O199" i="1"/>
  <c r="P199" i="1" s="1"/>
  <c r="O201" i="1"/>
  <c r="P201" i="1" s="1"/>
  <c r="O203" i="1"/>
  <c r="P203" i="1" s="1"/>
  <c r="O93" i="1"/>
  <c r="P93" i="1" s="1"/>
  <c r="O95" i="1"/>
  <c r="P95" i="1" s="1"/>
  <c r="O97" i="1"/>
  <c r="P97" i="1" s="1"/>
  <c r="O99" i="1"/>
  <c r="P99" i="1" s="1"/>
  <c r="O77" i="1"/>
  <c r="P77" i="1" s="1"/>
  <c r="O79" i="1"/>
  <c r="P79" i="1" s="1"/>
  <c r="O81" i="1"/>
  <c r="P81" i="1" s="1"/>
  <c r="O83" i="1"/>
  <c r="P83" i="1" s="1"/>
  <c r="O85" i="1"/>
  <c r="P85" i="1" s="1"/>
  <c r="O87" i="1"/>
  <c r="P87" i="1" s="1"/>
  <c r="O89" i="1"/>
  <c r="P89" i="1" s="1"/>
  <c r="O91" i="1"/>
  <c r="P91" i="1" s="1"/>
  <c r="O69" i="1"/>
  <c r="P69" i="1" s="1"/>
  <c r="O71" i="1"/>
  <c r="P71" i="1" s="1"/>
  <c r="O75" i="1"/>
  <c r="P75" i="1" s="1"/>
  <c r="O29" i="1"/>
  <c r="P29" i="1" s="1"/>
  <c r="O31" i="1"/>
  <c r="P31" i="1" s="1"/>
  <c r="O33" i="1"/>
  <c r="P33" i="1" s="1"/>
  <c r="O35" i="1"/>
  <c r="P35" i="1" s="1"/>
  <c r="O13" i="1"/>
  <c r="P13" i="1" s="1"/>
  <c r="O15" i="1"/>
  <c r="P15" i="1" s="1"/>
  <c r="O17" i="1"/>
  <c r="P17" i="1" s="1"/>
  <c r="O19" i="1"/>
  <c r="P19" i="1" s="1"/>
  <c r="O21" i="1"/>
  <c r="P21" i="1" s="1"/>
  <c r="O23" i="1"/>
  <c r="P23" i="1" s="1"/>
  <c r="O25" i="1"/>
  <c r="P25" i="1" s="1"/>
  <c r="O27" i="1"/>
  <c r="P27" i="1" s="1"/>
  <c r="O5" i="1"/>
  <c r="P5" i="1" s="1"/>
  <c r="O7" i="1"/>
  <c r="P7" i="1" s="1"/>
  <c r="O9" i="1"/>
  <c r="P9" i="1" s="1"/>
  <c r="O11" i="1"/>
  <c r="P11" i="1" s="1"/>
  <c r="O253" i="1"/>
  <c r="P253" i="1" s="1"/>
  <c r="O255" i="1"/>
  <c r="P255" i="1" s="1"/>
  <c r="O257" i="1"/>
  <c r="P257" i="1" s="1"/>
  <c r="O259" i="1"/>
  <c r="P259" i="1" s="1"/>
  <c r="O237" i="1"/>
  <c r="P237" i="1" s="1"/>
  <c r="O239" i="1"/>
  <c r="P239" i="1" s="1"/>
  <c r="O241" i="1"/>
  <c r="P241" i="1" s="1"/>
  <c r="O243" i="1"/>
  <c r="P243" i="1" s="1"/>
  <c r="O245" i="1"/>
  <c r="P245" i="1" s="1"/>
  <c r="O247" i="1"/>
  <c r="P247" i="1" s="1"/>
  <c r="O249" i="1"/>
  <c r="P249" i="1" s="1"/>
  <c r="O229" i="1"/>
  <c r="P229" i="1" s="1"/>
  <c r="O117" i="1"/>
  <c r="P117" i="1" s="1"/>
  <c r="S189" i="1"/>
  <c r="T189" i="1" s="1"/>
  <c r="S191" i="1"/>
  <c r="T191" i="1" s="1"/>
  <c r="S193" i="1"/>
  <c r="T193" i="1" s="1"/>
  <c r="S195" i="1"/>
  <c r="T195" i="1" s="1"/>
  <c r="S173" i="1"/>
  <c r="T173" i="1" s="1"/>
  <c r="S175" i="1"/>
  <c r="T175" i="1" s="1"/>
  <c r="S177" i="1"/>
  <c r="T177" i="1" s="1"/>
  <c r="S179" i="1"/>
  <c r="T179" i="1" s="1"/>
  <c r="S181" i="1"/>
  <c r="T181" i="1" s="1"/>
  <c r="S183" i="1"/>
  <c r="T183" i="1" s="1"/>
  <c r="S185" i="1"/>
  <c r="T185" i="1" s="1"/>
  <c r="S187" i="1"/>
  <c r="T187" i="1" s="1"/>
  <c r="S165" i="1"/>
  <c r="T165" i="1" s="1"/>
  <c r="S167" i="1"/>
  <c r="T167" i="1" s="1"/>
  <c r="S169" i="1"/>
  <c r="T169" i="1" s="1"/>
  <c r="S171" i="1"/>
  <c r="T171" i="1" s="1"/>
  <c r="S61" i="1"/>
  <c r="T61" i="1" s="1"/>
  <c r="S63" i="1"/>
  <c r="T63" i="1" s="1"/>
  <c r="S65" i="1"/>
  <c r="T65" i="1" s="1"/>
  <c r="S67" i="1"/>
  <c r="T67" i="1" s="1"/>
  <c r="S45" i="1"/>
  <c r="T45" i="1" s="1"/>
  <c r="S47" i="1"/>
  <c r="T47" i="1" s="1"/>
  <c r="S49" i="1"/>
  <c r="T49" i="1" s="1"/>
  <c r="S51" i="1"/>
  <c r="T51" i="1" s="1"/>
  <c r="S53" i="1"/>
  <c r="T53" i="1" s="1"/>
  <c r="S55" i="1"/>
  <c r="T55" i="1" s="1"/>
  <c r="S57" i="1"/>
  <c r="T57" i="1" s="1"/>
  <c r="S59" i="1"/>
  <c r="T59" i="1" s="1"/>
  <c r="S37" i="1"/>
  <c r="T37" i="1" s="1"/>
  <c r="S39" i="1"/>
  <c r="T39" i="1" s="1"/>
  <c r="S41" i="1"/>
  <c r="T41" i="1" s="1"/>
  <c r="S43" i="1"/>
  <c r="T43" i="1" s="1"/>
  <c r="S157" i="1"/>
  <c r="T157" i="1" s="1"/>
  <c r="S159" i="1"/>
  <c r="T159" i="1" s="1"/>
  <c r="S161" i="1"/>
  <c r="T161" i="1" s="1"/>
  <c r="S163" i="1"/>
  <c r="T163" i="1" s="1"/>
  <c r="S141" i="1"/>
  <c r="T141" i="1" s="1"/>
  <c r="S143" i="1"/>
  <c r="T143" i="1" s="1"/>
  <c r="S145" i="1"/>
  <c r="T145" i="1" s="1"/>
  <c r="S147" i="1"/>
  <c r="T147" i="1" s="1"/>
  <c r="S149" i="1"/>
  <c r="T149" i="1" s="1"/>
  <c r="S151" i="1"/>
  <c r="T151" i="1" s="1"/>
  <c r="S153" i="1"/>
  <c r="T153" i="1" s="1"/>
  <c r="S155" i="1"/>
  <c r="T155" i="1" s="1"/>
  <c r="S133" i="1"/>
  <c r="T133" i="1" s="1"/>
  <c r="S135" i="1"/>
  <c r="T135" i="1" s="1"/>
  <c r="S137" i="1"/>
  <c r="T137" i="1" s="1"/>
  <c r="S139" i="1"/>
  <c r="T139" i="1" s="1"/>
  <c r="S221" i="1"/>
  <c r="T221" i="1" s="1"/>
  <c r="S223" i="1"/>
  <c r="T223" i="1" s="1"/>
  <c r="S225" i="1"/>
  <c r="T225" i="1" s="1"/>
  <c r="S227" i="1"/>
  <c r="T227" i="1" s="1"/>
  <c r="S205" i="1"/>
  <c r="T205" i="1" s="1"/>
  <c r="S207" i="1"/>
  <c r="T207" i="1" s="1"/>
  <c r="S209" i="1"/>
  <c r="T209" i="1" s="1"/>
  <c r="S211" i="1"/>
  <c r="T211" i="1" s="1"/>
  <c r="S213" i="1"/>
  <c r="T213" i="1" s="1"/>
  <c r="S215" i="1"/>
  <c r="T215" i="1" s="1"/>
  <c r="S217" i="1"/>
  <c r="T217" i="1" s="1"/>
  <c r="S219" i="1"/>
  <c r="T219" i="1" s="1"/>
  <c r="S199" i="1"/>
  <c r="T199" i="1" s="1"/>
  <c r="S201" i="1"/>
  <c r="T201" i="1" s="1"/>
  <c r="S203" i="1"/>
  <c r="T203" i="1" s="1"/>
  <c r="S93" i="1"/>
  <c r="T93" i="1" s="1"/>
  <c r="S95" i="1"/>
  <c r="T95" i="1" s="1"/>
  <c r="S97" i="1"/>
  <c r="T97" i="1" s="1"/>
  <c r="S99" i="1"/>
  <c r="T99" i="1" s="1"/>
  <c r="S77" i="1"/>
  <c r="T77" i="1" s="1"/>
  <c r="S79" i="1"/>
  <c r="T79" i="1" s="1"/>
  <c r="S81" i="1"/>
  <c r="T81" i="1" s="1"/>
  <c r="S83" i="1"/>
  <c r="T83" i="1" s="1"/>
  <c r="S85" i="1"/>
  <c r="T85" i="1" s="1"/>
  <c r="S87" i="1"/>
  <c r="T87" i="1" s="1"/>
  <c r="S89" i="1"/>
  <c r="T89" i="1" s="1"/>
  <c r="S91" i="1"/>
  <c r="T91" i="1" s="1"/>
  <c r="S69" i="1"/>
  <c r="T69" i="1" s="1"/>
  <c r="S71" i="1"/>
  <c r="T71" i="1" s="1"/>
  <c r="S73" i="1"/>
  <c r="T73" i="1" s="1"/>
  <c r="S75" i="1"/>
  <c r="T75" i="1" s="1"/>
  <c r="S29" i="1"/>
  <c r="T29" i="1" s="1"/>
  <c r="S31" i="1"/>
  <c r="T31" i="1" s="1"/>
  <c r="S33" i="1"/>
  <c r="T33" i="1" s="1"/>
  <c r="S35" i="1"/>
  <c r="T35" i="1" s="1"/>
  <c r="S13" i="1"/>
  <c r="T13" i="1" s="1"/>
  <c r="S15" i="1"/>
  <c r="T15" i="1" s="1"/>
  <c r="S17" i="1"/>
  <c r="T17" i="1" s="1"/>
  <c r="S19" i="1"/>
  <c r="T19" i="1" s="1"/>
  <c r="S21" i="1"/>
  <c r="T21" i="1" s="1"/>
  <c r="S23" i="1"/>
  <c r="T23" i="1" s="1"/>
  <c r="S25" i="1"/>
  <c r="T25" i="1" s="1"/>
  <c r="S27" i="1"/>
  <c r="T27" i="1" s="1"/>
  <c r="S5" i="1"/>
  <c r="T5" i="1" s="1"/>
  <c r="S7" i="1"/>
  <c r="T7" i="1" s="1"/>
  <c r="S9" i="1"/>
  <c r="T9" i="1" s="1"/>
  <c r="S11" i="1"/>
  <c r="T11" i="1" s="1"/>
  <c r="S253" i="1"/>
  <c r="T253" i="1" s="1"/>
  <c r="S255" i="1"/>
  <c r="T255" i="1" s="1"/>
  <c r="S257" i="1"/>
  <c r="T257" i="1" s="1"/>
  <c r="S259" i="1"/>
  <c r="T259" i="1" s="1"/>
  <c r="S237" i="1"/>
  <c r="T237" i="1" s="1"/>
  <c r="S239" i="1"/>
  <c r="T239" i="1" s="1"/>
  <c r="S241" i="1"/>
  <c r="T241" i="1" s="1"/>
  <c r="S243" i="1"/>
  <c r="T243" i="1" s="1"/>
  <c r="S245" i="1"/>
  <c r="T245" i="1" s="1"/>
  <c r="S247" i="1"/>
  <c r="T247" i="1" s="1"/>
  <c r="S249" i="1"/>
  <c r="T249" i="1" s="1"/>
  <c r="S251" i="1"/>
  <c r="T251" i="1" s="1"/>
  <c r="S229" i="1"/>
  <c r="T229" i="1" s="1"/>
  <c r="S231" i="1"/>
  <c r="T231" i="1" s="1"/>
  <c r="S233" i="1"/>
  <c r="T233" i="1" s="1"/>
  <c r="S235" i="1"/>
  <c r="T235" i="1" s="1"/>
  <c r="S125" i="1"/>
  <c r="T125" i="1" s="1"/>
  <c r="S127" i="1"/>
  <c r="T127" i="1" s="1"/>
  <c r="S129" i="1"/>
  <c r="T129" i="1" s="1"/>
  <c r="S131" i="1"/>
  <c r="T131" i="1" s="1"/>
  <c r="S109" i="1"/>
  <c r="T109" i="1" s="1"/>
  <c r="S111" i="1"/>
  <c r="T111" i="1" s="1"/>
  <c r="S113" i="1"/>
  <c r="T113" i="1" s="1"/>
  <c r="S115" i="1"/>
  <c r="T115" i="1" s="1"/>
  <c r="S117" i="1"/>
  <c r="T117" i="1" s="1"/>
  <c r="S119" i="1"/>
  <c r="T119" i="1" s="1"/>
  <c r="S121" i="1"/>
  <c r="T121" i="1" s="1"/>
  <c r="S123" i="1"/>
  <c r="T123" i="1" s="1"/>
  <c r="S101" i="1"/>
  <c r="T101" i="1" s="1"/>
  <c r="S103" i="1"/>
  <c r="T103" i="1" s="1"/>
  <c r="S105" i="1"/>
  <c r="T105" i="1" s="1"/>
  <c r="S107" i="1"/>
  <c r="T107" i="1" s="1"/>
  <c r="G224" i="1"/>
  <c r="H224" i="1" s="1"/>
  <c r="G206" i="1"/>
  <c r="H206" i="1" s="1"/>
  <c r="G210" i="1"/>
  <c r="H210" i="1" s="1"/>
  <c r="G216" i="1"/>
  <c r="H216" i="1" s="1"/>
  <c r="G200" i="1"/>
  <c r="H200" i="1" s="1"/>
  <c r="G76" i="1"/>
  <c r="H76" i="1" s="1"/>
  <c r="G84" i="1"/>
  <c r="H84" i="1" s="1"/>
  <c r="G74" i="1"/>
  <c r="H74" i="1" s="1"/>
  <c r="G14" i="1"/>
  <c r="H14" i="1" s="1"/>
  <c r="G12" i="1"/>
  <c r="H12" i="1" s="1"/>
  <c r="G20" i="1"/>
  <c r="H20" i="1" s="1"/>
  <c r="G10" i="1"/>
  <c r="H10" i="1" s="1"/>
  <c r="G256" i="1"/>
  <c r="H256" i="1" s="1"/>
  <c r="G238" i="1"/>
  <c r="H238" i="1" s="1"/>
  <c r="G236" i="1"/>
  <c r="H236" i="1" s="1"/>
  <c r="G250" i="1"/>
  <c r="H250" i="1" s="1"/>
  <c r="G234" i="1"/>
  <c r="H234" i="1" s="1"/>
  <c r="G128" i="1"/>
  <c r="H128" i="1" s="1"/>
  <c r="G122" i="1"/>
  <c r="H122" i="1" s="1"/>
  <c r="G104" i="1"/>
  <c r="H104" i="1" s="1"/>
  <c r="K192" i="1"/>
  <c r="L192" i="1" s="1"/>
  <c r="K172" i="1"/>
  <c r="L172" i="1" s="1"/>
  <c r="K186" i="1"/>
  <c r="L186" i="1" s="1"/>
  <c r="K166" i="1"/>
  <c r="L166" i="1" s="1"/>
  <c r="K66" i="1"/>
  <c r="L66" i="1" s="1"/>
  <c r="K48" i="1"/>
  <c r="L48" i="1" s="1"/>
  <c r="K52" i="1"/>
  <c r="L52" i="1" s="1"/>
  <c r="K156" i="1"/>
  <c r="L156" i="1" s="1"/>
  <c r="K150" i="1"/>
  <c r="L150" i="1" s="1"/>
  <c r="K154" i="1"/>
  <c r="L154" i="1" s="1"/>
  <c r="K136" i="1"/>
  <c r="L136" i="1" s="1"/>
  <c r="K222" i="1"/>
  <c r="L222" i="1" s="1"/>
  <c r="K206" i="1"/>
  <c r="L206" i="1" s="1"/>
  <c r="K210" i="1"/>
  <c r="L210" i="1" s="1"/>
  <c r="K212" i="1"/>
  <c r="L212" i="1" s="1"/>
  <c r="K200" i="1"/>
  <c r="L200" i="1" s="1"/>
  <c r="K94" i="1"/>
  <c r="L94" i="1" s="1"/>
  <c r="K98" i="1"/>
  <c r="L98" i="1" s="1"/>
  <c r="K86" i="1"/>
  <c r="L86" i="1" s="1"/>
  <c r="K90" i="1"/>
  <c r="L90" i="1" s="1"/>
  <c r="K68" i="1"/>
  <c r="L68" i="1" s="1"/>
  <c r="K32" i="1"/>
  <c r="L32" i="1" s="1"/>
  <c r="K14" i="1"/>
  <c r="L14" i="1" s="1"/>
  <c r="K22" i="1"/>
  <c r="L22" i="1" s="1"/>
  <c r="K20" i="1"/>
  <c r="L20" i="1" s="1"/>
  <c r="K10" i="1"/>
  <c r="L10" i="1" s="1"/>
  <c r="K256" i="1"/>
  <c r="L256" i="1" s="1"/>
  <c r="K252" i="1"/>
  <c r="L252" i="1" s="1"/>
  <c r="K242" i="1"/>
  <c r="L242" i="1" s="1"/>
  <c r="K250" i="1"/>
  <c r="L250" i="1" s="1"/>
  <c r="K232" i="1"/>
  <c r="L232" i="1" s="1"/>
  <c r="K126" i="1"/>
  <c r="L126" i="1" s="1"/>
  <c r="K124" i="1"/>
  <c r="L124" i="1" s="1"/>
  <c r="K114" i="1"/>
  <c r="L114" i="1" s="1"/>
  <c r="K120" i="1"/>
  <c r="L120" i="1" s="1"/>
  <c r="K102" i="1"/>
  <c r="L102" i="1" s="1"/>
  <c r="O190" i="1"/>
  <c r="P190" i="1" s="1"/>
  <c r="O194" i="1"/>
  <c r="P194" i="1" s="1"/>
  <c r="O174" i="1"/>
  <c r="P174" i="1" s="1"/>
  <c r="O172" i="1"/>
  <c r="P172" i="1" s="1"/>
  <c r="O184" i="1"/>
  <c r="P184" i="1" s="1"/>
  <c r="O180" i="1"/>
  <c r="P180" i="1" s="1"/>
  <c r="O168" i="1"/>
  <c r="P168" i="1" s="1"/>
  <c r="O164" i="1"/>
  <c r="P164" i="1" s="1"/>
  <c r="O64" i="1"/>
  <c r="P64" i="1" s="1"/>
  <c r="O66" i="1"/>
  <c r="P66" i="1" s="1"/>
  <c r="O46" i="1"/>
  <c r="P46" i="1" s="1"/>
  <c r="O56" i="1"/>
  <c r="P56" i="1" s="1"/>
  <c r="O52" i="1"/>
  <c r="P52" i="1" s="1"/>
  <c r="O38" i="1"/>
  <c r="P38" i="1" s="1"/>
  <c r="O156" i="1"/>
  <c r="P156" i="1" s="1"/>
  <c r="O152" i="1"/>
  <c r="P152" i="1" s="1"/>
  <c r="O196" i="1"/>
  <c r="P196" i="1" s="1"/>
  <c r="O82" i="1"/>
  <c r="P82" i="1" s="1"/>
  <c r="S190" i="1"/>
  <c r="T190" i="1" s="1"/>
  <c r="S192" i="1"/>
  <c r="T192" i="1" s="1"/>
  <c r="S194" i="1"/>
  <c r="T194" i="1" s="1"/>
  <c r="S188" i="1"/>
  <c r="T188" i="1" s="1"/>
  <c r="S176" i="1"/>
  <c r="T176" i="1" s="1"/>
  <c r="S178" i="1"/>
  <c r="T178" i="1" s="1"/>
  <c r="S172" i="1"/>
  <c r="T172" i="1" s="1"/>
  <c r="S182" i="1"/>
  <c r="T182" i="1" s="1"/>
  <c r="S184" i="1"/>
  <c r="T184" i="1" s="1"/>
  <c r="S186" i="1"/>
  <c r="T186" i="1" s="1"/>
  <c r="S180" i="1"/>
  <c r="T180" i="1" s="1"/>
  <c r="S166" i="1"/>
  <c r="T166" i="1" s="1"/>
  <c r="S168" i="1"/>
  <c r="T168" i="1" s="1"/>
  <c r="S170" i="1"/>
  <c r="T170" i="1" s="1"/>
  <c r="S164" i="1"/>
  <c r="T164" i="1" s="1"/>
  <c r="S62" i="1"/>
  <c r="T62" i="1" s="1"/>
  <c r="S64" i="1"/>
  <c r="T64" i="1" s="1"/>
  <c r="S66" i="1"/>
  <c r="T66" i="1" s="1"/>
  <c r="S60" i="1"/>
  <c r="T60" i="1" s="1"/>
  <c r="S46" i="1"/>
  <c r="T46" i="1" s="1"/>
  <c r="S48" i="1"/>
  <c r="T48" i="1" s="1"/>
  <c r="S50" i="1"/>
  <c r="T50" i="1" s="1"/>
  <c r="S54" i="1"/>
  <c r="T54" i="1" s="1"/>
  <c r="S56" i="1"/>
  <c r="T56" i="1" s="1"/>
  <c r="S58" i="1"/>
  <c r="T58" i="1" s="1"/>
  <c r="S52" i="1"/>
  <c r="T52" i="1" s="1"/>
  <c r="S38" i="1"/>
  <c r="T38" i="1" s="1"/>
  <c r="S40" i="1"/>
  <c r="T40" i="1" s="1"/>
  <c r="S42" i="1"/>
  <c r="T42" i="1" s="1"/>
  <c r="S36" i="1"/>
  <c r="T36" i="1" s="1"/>
  <c r="S158" i="1"/>
  <c r="T158" i="1" s="1"/>
  <c r="S160" i="1"/>
  <c r="T160" i="1" s="1"/>
  <c r="S162" i="1"/>
  <c r="T162" i="1" s="1"/>
  <c r="S156" i="1"/>
  <c r="T156" i="1" s="1"/>
  <c r="S142" i="1"/>
  <c r="T142" i="1" s="1"/>
  <c r="S144" i="1"/>
  <c r="T144" i="1" s="1"/>
  <c r="S140" i="1"/>
  <c r="T140" i="1" s="1"/>
  <c r="S224" i="1"/>
  <c r="T224" i="1" s="1"/>
  <c r="S68" i="1"/>
  <c r="T68" i="1" s="1"/>
  <c r="S12" i="1"/>
  <c r="T12" i="1" s="1"/>
  <c r="G208" i="1"/>
  <c r="H208" i="1" s="1"/>
  <c r="G198" i="1"/>
  <c r="H198" i="1" s="1"/>
  <c r="G196" i="1"/>
  <c r="H196" i="1" s="1"/>
  <c r="G96" i="1"/>
  <c r="H96" i="1" s="1"/>
  <c r="G82" i="1"/>
  <c r="H82" i="1" s="1"/>
  <c r="G88" i="1"/>
  <c r="H88" i="1" s="1"/>
  <c r="G70" i="1"/>
  <c r="H70" i="1" s="1"/>
  <c r="G68" i="1"/>
  <c r="H68" i="1" s="1"/>
  <c r="G34" i="1"/>
  <c r="H34" i="1" s="1"/>
  <c r="G16" i="1"/>
  <c r="H16" i="1" s="1"/>
  <c r="G22" i="1"/>
  <c r="H22" i="1" s="1"/>
  <c r="G8" i="1"/>
  <c r="H8" i="1" s="1"/>
  <c r="G4" i="1"/>
  <c r="H4" i="1" s="1"/>
  <c r="G240" i="1"/>
  <c r="H240" i="1" s="1"/>
  <c r="G246" i="1"/>
  <c r="H246" i="1" s="1"/>
  <c r="G126" i="1"/>
  <c r="H126" i="1" s="1"/>
  <c r="G114" i="1"/>
  <c r="H114" i="1" s="1"/>
  <c r="G120" i="1"/>
  <c r="H120" i="1" s="1"/>
  <c r="G102" i="1"/>
  <c r="H102" i="1" s="1"/>
  <c r="K190" i="1"/>
  <c r="L190" i="1" s="1"/>
  <c r="K194" i="1"/>
  <c r="L194" i="1" s="1"/>
  <c r="K176" i="1"/>
  <c r="L176" i="1" s="1"/>
  <c r="K180" i="1"/>
  <c r="L180" i="1" s="1"/>
  <c r="K64" i="1"/>
  <c r="L64" i="1" s="1"/>
  <c r="K46" i="1"/>
  <c r="L46" i="1" s="1"/>
  <c r="K50" i="1"/>
  <c r="L50" i="1" s="1"/>
  <c r="K58" i="1"/>
  <c r="L58" i="1" s="1"/>
  <c r="K40" i="1"/>
  <c r="L40" i="1" s="1"/>
  <c r="K158" i="1"/>
  <c r="L158" i="1" s="1"/>
  <c r="K162" i="1"/>
  <c r="L162" i="1" s="1"/>
  <c r="K140" i="1"/>
  <c r="L140" i="1" s="1"/>
  <c r="K148" i="1"/>
  <c r="L148" i="1" s="1"/>
  <c r="K132" i="1"/>
  <c r="L132" i="1" s="1"/>
  <c r="K204" i="1"/>
  <c r="L204" i="1" s="1"/>
  <c r="K216" i="1"/>
  <c r="L216" i="1" s="1"/>
  <c r="K198" i="1"/>
  <c r="L198" i="1" s="1"/>
  <c r="K202" i="1"/>
  <c r="L202" i="1" s="1"/>
  <c r="K92" i="1"/>
  <c r="L92" i="1" s="1"/>
  <c r="K76" i="1"/>
  <c r="L76" i="1" s="1"/>
  <c r="K84" i="1"/>
  <c r="L84" i="1" s="1"/>
  <c r="K72" i="1"/>
  <c r="L72" i="1" s="1"/>
  <c r="K28" i="1"/>
  <c r="L28" i="1" s="1"/>
  <c r="K18" i="1"/>
  <c r="L18" i="1" s="1"/>
  <c r="K24" i="1"/>
  <c r="L24" i="1" s="1"/>
  <c r="K8" i="1"/>
  <c r="L8" i="1" s="1"/>
  <c r="K254" i="1"/>
  <c r="L254" i="1" s="1"/>
  <c r="K238" i="1"/>
  <c r="L238" i="1" s="1"/>
  <c r="K236" i="1"/>
  <c r="L236" i="1" s="1"/>
  <c r="K248" i="1"/>
  <c r="L248" i="1" s="1"/>
  <c r="K230" i="1"/>
  <c r="L230" i="1" s="1"/>
  <c r="K228" i="1"/>
  <c r="L228" i="1" s="1"/>
  <c r="K130" i="1"/>
  <c r="L130" i="1" s="1"/>
  <c r="K112" i="1"/>
  <c r="L112" i="1" s="1"/>
  <c r="K118" i="1"/>
  <c r="L118" i="1" s="1"/>
  <c r="K116" i="1"/>
  <c r="L116" i="1" s="1"/>
  <c r="K106" i="1"/>
  <c r="L106" i="1" s="1"/>
  <c r="O192" i="1"/>
  <c r="P192" i="1" s="1"/>
  <c r="O188" i="1"/>
  <c r="P188" i="1" s="1"/>
  <c r="O176" i="1"/>
  <c r="P176" i="1" s="1"/>
  <c r="O178" i="1"/>
  <c r="P178" i="1" s="1"/>
  <c r="O182" i="1"/>
  <c r="P182" i="1" s="1"/>
  <c r="O166" i="1"/>
  <c r="P166" i="1" s="1"/>
  <c r="O170" i="1"/>
  <c r="P170" i="1" s="1"/>
  <c r="O62" i="1"/>
  <c r="P62" i="1" s="1"/>
  <c r="O60" i="1"/>
  <c r="P60" i="1" s="1"/>
  <c r="O50" i="1"/>
  <c r="P50" i="1" s="1"/>
  <c r="O54" i="1"/>
  <c r="P54" i="1" s="1"/>
  <c r="O58" i="1"/>
  <c r="P58" i="1" s="1"/>
  <c r="G189" i="1"/>
  <c r="H189" i="1" s="1"/>
  <c r="G193" i="1"/>
  <c r="H193" i="1" s="1"/>
  <c r="G175" i="1"/>
  <c r="H175" i="1" s="1"/>
  <c r="G177" i="1"/>
  <c r="H177" i="1" s="1"/>
  <c r="G179" i="1"/>
  <c r="H179" i="1" s="1"/>
  <c r="G183" i="1"/>
  <c r="H183" i="1" s="1"/>
  <c r="G185" i="1"/>
  <c r="H185" i="1" s="1"/>
  <c r="G187" i="1"/>
  <c r="H187" i="1" s="1"/>
  <c r="G165" i="1"/>
  <c r="H165" i="1" s="1"/>
  <c r="G167" i="1"/>
  <c r="H167" i="1" s="1"/>
  <c r="G171" i="1"/>
  <c r="H171" i="1" s="1"/>
  <c r="G61" i="1"/>
  <c r="H61" i="1" s="1"/>
  <c r="G65" i="1"/>
  <c r="H65" i="1" s="1"/>
  <c r="G67" i="1"/>
  <c r="H67" i="1" s="1"/>
  <c r="G51" i="1"/>
  <c r="H51" i="1" s="1"/>
  <c r="G53" i="1"/>
  <c r="H53" i="1" s="1"/>
  <c r="G55" i="1"/>
  <c r="H55" i="1" s="1"/>
  <c r="G57" i="1"/>
  <c r="H57" i="1" s="1"/>
  <c r="G37" i="1"/>
  <c r="H37" i="1" s="1"/>
  <c r="G39" i="1"/>
  <c r="H39" i="1" s="1"/>
  <c r="G41" i="1"/>
  <c r="H41" i="1" s="1"/>
  <c r="G43" i="1"/>
  <c r="H43" i="1" s="1"/>
  <c r="G157" i="1"/>
  <c r="H157" i="1" s="1"/>
  <c r="G159" i="1"/>
  <c r="H159" i="1" s="1"/>
  <c r="G163" i="1"/>
  <c r="H163" i="1" s="1"/>
  <c r="G141" i="1"/>
  <c r="H141" i="1" s="1"/>
  <c r="G145" i="1"/>
  <c r="H145" i="1" s="1"/>
  <c r="G147" i="1"/>
  <c r="H147" i="1" s="1"/>
  <c r="G149" i="1"/>
  <c r="H149" i="1" s="1"/>
  <c r="G153" i="1"/>
  <c r="H153" i="1" s="1"/>
  <c r="G135" i="1"/>
  <c r="H135" i="1" s="1"/>
  <c r="G137" i="1"/>
  <c r="H137" i="1" s="1"/>
  <c r="G139" i="1"/>
  <c r="H139" i="1" s="1"/>
  <c r="G205" i="1"/>
  <c r="H205" i="1" s="1"/>
  <c r="G197" i="1"/>
  <c r="H197" i="1" s="1"/>
  <c r="G79" i="1"/>
  <c r="H79" i="1" s="1"/>
  <c r="G73" i="1"/>
  <c r="H73" i="1" s="1"/>
  <c r="G19" i="1"/>
  <c r="H19" i="1" s="1"/>
  <c r="G21" i="1"/>
  <c r="H21" i="1" s="1"/>
  <c r="G11" i="1"/>
  <c r="H11" i="1" s="1"/>
  <c r="G255" i="1"/>
  <c r="H255" i="1" s="1"/>
  <c r="G247" i="1"/>
  <c r="H247" i="1" s="1"/>
  <c r="G117" i="1"/>
  <c r="H117" i="1" s="1"/>
  <c r="G226" i="1"/>
  <c r="H226" i="1" s="1"/>
  <c r="G202" i="1"/>
  <c r="H202" i="1" s="1"/>
  <c r="G92" i="1"/>
  <c r="H92" i="1" s="1"/>
  <c r="G80" i="1"/>
  <c r="H80" i="1" s="1"/>
  <c r="G90" i="1"/>
  <c r="H90" i="1" s="1"/>
  <c r="G72" i="1"/>
  <c r="H72" i="1" s="1"/>
  <c r="G30" i="1"/>
  <c r="H30" i="1" s="1"/>
  <c r="G28" i="1"/>
  <c r="H28" i="1" s="1"/>
  <c r="G18" i="1"/>
  <c r="H18" i="1" s="1"/>
  <c r="G24" i="1"/>
  <c r="H24" i="1" s="1"/>
  <c r="G6" i="1"/>
  <c r="H6" i="1" s="1"/>
  <c r="G254" i="1"/>
  <c r="H254" i="1" s="1"/>
  <c r="G242" i="1"/>
  <c r="H242" i="1" s="1"/>
  <c r="G248" i="1"/>
  <c r="H248" i="1" s="1"/>
  <c r="G230" i="1"/>
  <c r="H230" i="1" s="1"/>
  <c r="G228" i="1"/>
  <c r="H228" i="1" s="1"/>
  <c r="G130" i="1"/>
  <c r="H130" i="1" s="1"/>
  <c r="G118" i="1"/>
  <c r="H118" i="1" s="1"/>
  <c r="G100" i="1"/>
  <c r="H100" i="1" s="1"/>
  <c r="K188" i="1"/>
  <c r="L188" i="1" s="1"/>
  <c r="K178" i="1"/>
  <c r="L178" i="1" s="1"/>
  <c r="K184" i="1"/>
  <c r="L184" i="1" s="1"/>
  <c r="K168" i="1"/>
  <c r="L168" i="1" s="1"/>
  <c r="K44" i="1"/>
  <c r="L44" i="1" s="1"/>
  <c r="K56" i="1"/>
  <c r="L56" i="1" s="1"/>
  <c r="K42" i="1"/>
  <c r="L42" i="1" s="1"/>
  <c r="K160" i="1"/>
  <c r="L160" i="1" s="1"/>
  <c r="K146" i="1"/>
  <c r="L146" i="1" s="1"/>
  <c r="K152" i="1"/>
  <c r="L152" i="1" s="1"/>
  <c r="K134" i="1"/>
  <c r="L134" i="1" s="1"/>
  <c r="K138" i="1"/>
  <c r="L138" i="1" s="1"/>
  <c r="K220" i="1"/>
  <c r="L220" i="1" s="1"/>
  <c r="K214" i="1"/>
  <c r="L214" i="1" s="1"/>
  <c r="K218" i="1"/>
  <c r="L218" i="1" s="1"/>
  <c r="K96" i="1"/>
  <c r="L96" i="1" s="1"/>
  <c r="K78" i="1"/>
  <c r="L78" i="1" s="1"/>
  <c r="K82" i="1"/>
  <c r="L82" i="1" s="1"/>
  <c r="K88" i="1"/>
  <c r="L88" i="1" s="1"/>
  <c r="K34" i="1"/>
  <c r="L34" i="1" s="1"/>
  <c r="K16" i="1"/>
  <c r="L16" i="1" s="1"/>
  <c r="K12" i="1"/>
  <c r="L12" i="1" s="1"/>
  <c r="K6" i="1"/>
  <c r="L6" i="1" s="1"/>
  <c r="K4" i="1"/>
  <c r="L4" i="1" s="1"/>
  <c r="K258" i="1"/>
  <c r="L258" i="1" s="1"/>
  <c r="K240" i="1"/>
  <c r="L240" i="1" s="1"/>
  <c r="K246" i="1"/>
  <c r="L246" i="1" s="1"/>
  <c r="K244" i="1"/>
  <c r="L244" i="1" s="1"/>
  <c r="K234" i="1"/>
  <c r="L234" i="1" s="1"/>
  <c r="K128" i="1"/>
  <c r="L128" i="1" s="1"/>
  <c r="K110" i="1"/>
  <c r="L110" i="1" s="1"/>
  <c r="K108" i="1"/>
  <c r="L108" i="1" s="1"/>
  <c r="K122" i="1"/>
  <c r="L122" i="1" s="1"/>
  <c r="K104" i="1"/>
  <c r="L104" i="1" s="1"/>
  <c r="K189" i="1"/>
  <c r="L189" i="1" s="1"/>
  <c r="K191" i="1"/>
  <c r="L191" i="1" s="1"/>
  <c r="K193" i="1"/>
  <c r="L193" i="1" s="1"/>
  <c r="K195" i="1"/>
  <c r="L195" i="1" s="1"/>
  <c r="K175" i="1"/>
  <c r="L175" i="1" s="1"/>
  <c r="K177" i="1"/>
  <c r="L177" i="1" s="1"/>
  <c r="K181" i="1"/>
  <c r="L181" i="1" s="1"/>
  <c r="K183" i="1"/>
  <c r="L183" i="1" s="1"/>
  <c r="K185" i="1"/>
  <c r="L185" i="1" s="1"/>
  <c r="K187" i="1"/>
  <c r="L187" i="1" s="1"/>
  <c r="K165" i="1"/>
  <c r="L165" i="1" s="1"/>
  <c r="K167" i="1"/>
  <c r="L167" i="1" s="1"/>
  <c r="K171" i="1"/>
  <c r="L171" i="1" s="1"/>
  <c r="K61" i="1"/>
  <c r="L61" i="1" s="1"/>
  <c r="K63" i="1"/>
  <c r="L63" i="1" s="1"/>
  <c r="K65" i="1"/>
  <c r="L65" i="1" s="1"/>
  <c r="K67" i="1"/>
  <c r="L67" i="1" s="1"/>
  <c r="K45" i="1"/>
  <c r="L45" i="1" s="1"/>
  <c r="K47" i="1"/>
  <c r="L47" i="1" s="1"/>
  <c r="K49" i="1"/>
  <c r="L49" i="1" s="1"/>
  <c r="K51" i="1"/>
  <c r="L51" i="1" s="1"/>
  <c r="K53" i="1"/>
  <c r="L53" i="1" s="1"/>
  <c r="K57" i="1"/>
  <c r="L57" i="1" s="1"/>
  <c r="K37" i="1"/>
  <c r="L37" i="1" s="1"/>
  <c r="K39" i="1"/>
  <c r="L39" i="1" s="1"/>
  <c r="K41" i="1"/>
  <c r="L41" i="1" s="1"/>
  <c r="K43" i="1"/>
  <c r="L43" i="1" s="1"/>
  <c r="K157" i="1"/>
  <c r="L157" i="1" s="1"/>
  <c r="K159" i="1"/>
  <c r="L159" i="1" s="1"/>
  <c r="K161" i="1"/>
  <c r="L161" i="1" s="1"/>
  <c r="K163" i="1"/>
  <c r="L163" i="1" s="1"/>
  <c r="K141" i="1"/>
  <c r="L141" i="1" s="1"/>
  <c r="K143" i="1"/>
  <c r="L143" i="1" s="1"/>
  <c r="K145" i="1"/>
  <c r="L145" i="1" s="1"/>
  <c r="K147" i="1"/>
  <c r="L147" i="1" s="1"/>
  <c r="K151" i="1"/>
  <c r="L151" i="1" s="1"/>
  <c r="K155" i="1"/>
  <c r="L155" i="1" s="1"/>
  <c r="K133" i="1"/>
  <c r="L133" i="1" s="1"/>
  <c r="K135" i="1"/>
  <c r="L135" i="1" s="1"/>
  <c r="K137" i="1"/>
  <c r="L137" i="1" s="1"/>
  <c r="K139" i="1"/>
  <c r="L139" i="1" s="1"/>
  <c r="K221" i="1"/>
  <c r="L221" i="1" s="1"/>
  <c r="K223" i="1"/>
  <c r="L223" i="1" s="1"/>
  <c r="K227" i="1"/>
  <c r="L227" i="1" s="1"/>
  <c r="K205" i="1"/>
  <c r="L205" i="1" s="1"/>
  <c r="K207" i="1"/>
  <c r="L207" i="1" s="1"/>
  <c r="K209" i="1"/>
  <c r="L209" i="1" s="1"/>
  <c r="K213" i="1"/>
  <c r="L213" i="1" s="1"/>
  <c r="K215" i="1"/>
  <c r="L215" i="1" s="1"/>
  <c r="K217" i="1"/>
  <c r="L217" i="1" s="1"/>
  <c r="K219" i="1"/>
  <c r="L219" i="1" s="1"/>
  <c r="K197" i="1"/>
  <c r="L197" i="1" s="1"/>
  <c r="K199" i="1"/>
  <c r="L199" i="1" s="1"/>
  <c r="K201" i="1"/>
  <c r="L201" i="1" s="1"/>
  <c r="K93" i="1"/>
  <c r="L93" i="1" s="1"/>
  <c r="K95" i="1"/>
  <c r="L95" i="1" s="1"/>
  <c r="K97" i="1"/>
  <c r="L97" i="1" s="1"/>
  <c r="K77" i="1"/>
  <c r="L77" i="1" s="1"/>
  <c r="K79" i="1"/>
  <c r="L79" i="1" s="1"/>
  <c r="K81" i="1"/>
  <c r="L81" i="1" s="1"/>
  <c r="K83" i="1"/>
  <c r="L83" i="1" s="1"/>
  <c r="K85" i="1"/>
  <c r="L85" i="1" s="1"/>
  <c r="K87" i="1"/>
  <c r="L87" i="1" s="1"/>
  <c r="K89" i="1"/>
  <c r="L89" i="1" s="1"/>
  <c r="K91" i="1"/>
  <c r="L91" i="1" s="1"/>
  <c r="K69" i="1"/>
  <c r="L69" i="1" s="1"/>
  <c r="K73" i="1"/>
  <c r="L73" i="1" s="1"/>
  <c r="K75" i="1"/>
  <c r="L75" i="1" s="1"/>
  <c r="K29" i="1"/>
  <c r="L29" i="1" s="1"/>
  <c r="K31" i="1"/>
  <c r="L31" i="1" s="1"/>
  <c r="K33" i="1"/>
  <c r="L33" i="1" s="1"/>
  <c r="K35" i="1"/>
  <c r="L35" i="1" s="1"/>
  <c r="K13" i="1"/>
  <c r="L13" i="1" s="1"/>
  <c r="K15" i="1"/>
  <c r="L15" i="1" s="1"/>
  <c r="K17" i="1"/>
  <c r="L17" i="1" s="1"/>
  <c r="K19" i="1"/>
  <c r="L19" i="1" s="1"/>
  <c r="K21" i="1"/>
  <c r="L21" i="1" s="1"/>
  <c r="K23" i="1"/>
  <c r="L23" i="1" s="1"/>
  <c r="K25" i="1"/>
  <c r="L25" i="1" s="1"/>
  <c r="K27" i="1"/>
  <c r="L27" i="1" s="1"/>
  <c r="K7" i="1"/>
  <c r="L7" i="1" s="1"/>
  <c r="K9" i="1"/>
  <c r="L9" i="1" s="1"/>
  <c r="K253" i="1"/>
  <c r="L253" i="1" s="1"/>
  <c r="K255" i="1"/>
  <c r="L255" i="1" s="1"/>
  <c r="K259" i="1"/>
  <c r="L259" i="1" s="1"/>
  <c r="K237" i="1"/>
  <c r="L237" i="1" s="1"/>
  <c r="K239" i="1"/>
  <c r="L239" i="1" s="1"/>
  <c r="K241" i="1"/>
  <c r="L241" i="1" s="1"/>
  <c r="K247" i="1"/>
  <c r="L247" i="1" s="1"/>
  <c r="K233" i="1"/>
  <c r="L233" i="1" s="1"/>
  <c r="K131" i="1"/>
  <c r="L131" i="1" s="1"/>
  <c r="K103" i="1"/>
  <c r="L103" i="1" s="1"/>
  <c r="O40" i="1"/>
  <c r="P40" i="1" s="1"/>
  <c r="O42" i="1"/>
  <c r="P42" i="1" s="1"/>
  <c r="O36" i="1"/>
  <c r="P36" i="1" s="1"/>
  <c r="O158" i="1"/>
  <c r="P158" i="1" s="1"/>
  <c r="O160" i="1"/>
  <c r="P160" i="1" s="1"/>
  <c r="O142" i="1"/>
  <c r="P142" i="1" s="1"/>
  <c r="O144" i="1"/>
  <c r="P144" i="1" s="1"/>
  <c r="O146" i="1"/>
  <c r="P146" i="1" s="1"/>
  <c r="O140" i="1"/>
  <c r="P140" i="1" s="1"/>
  <c r="O150" i="1"/>
  <c r="P150" i="1" s="1"/>
  <c r="O154" i="1"/>
  <c r="P154" i="1" s="1"/>
  <c r="O148" i="1"/>
  <c r="P148" i="1" s="1"/>
  <c r="O134" i="1"/>
  <c r="P134" i="1" s="1"/>
  <c r="O136" i="1"/>
  <c r="P136" i="1" s="1"/>
  <c r="O222" i="1"/>
  <c r="P222" i="1" s="1"/>
  <c r="O224" i="1"/>
  <c r="P224" i="1" s="1"/>
  <c r="O226" i="1"/>
  <c r="P226" i="1" s="1"/>
  <c r="O220" i="1"/>
  <c r="P220" i="1" s="1"/>
  <c r="O206" i="1"/>
  <c r="P206" i="1" s="1"/>
  <c r="O208" i="1"/>
  <c r="P208" i="1" s="1"/>
  <c r="O204" i="1"/>
  <c r="P204" i="1" s="1"/>
  <c r="O214" i="1"/>
  <c r="P214" i="1" s="1"/>
  <c r="O216" i="1"/>
  <c r="P216" i="1" s="1"/>
  <c r="O218" i="1"/>
  <c r="P218" i="1" s="1"/>
  <c r="O212" i="1"/>
  <c r="P212" i="1" s="1"/>
  <c r="O198" i="1"/>
  <c r="P198" i="1" s="1"/>
  <c r="O202" i="1"/>
  <c r="P202" i="1" s="1"/>
  <c r="O94" i="1"/>
  <c r="P94" i="1" s="1"/>
  <c r="O96" i="1"/>
  <c r="P96" i="1" s="1"/>
  <c r="O98" i="1"/>
  <c r="P98" i="1" s="1"/>
  <c r="O92" i="1"/>
  <c r="P92" i="1" s="1"/>
  <c r="O78" i="1"/>
  <c r="P78" i="1" s="1"/>
  <c r="O80" i="1"/>
  <c r="P80" i="1" s="1"/>
  <c r="O76" i="1"/>
  <c r="P76" i="1" s="1"/>
  <c r="O86" i="1"/>
  <c r="P86" i="1" s="1"/>
  <c r="O88" i="1"/>
  <c r="P88" i="1" s="1"/>
  <c r="O90" i="1"/>
  <c r="P90" i="1" s="1"/>
  <c r="O84" i="1"/>
  <c r="P84" i="1" s="1"/>
  <c r="O70" i="1"/>
  <c r="P70" i="1" s="1"/>
  <c r="O68" i="1"/>
  <c r="P68" i="1" s="1"/>
  <c r="O30" i="1"/>
  <c r="P30" i="1" s="1"/>
  <c r="O32" i="1"/>
  <c r="P32" i="1" s="1"/>
  <c r="O34" i="1"/>
  <c r="P34" i="1" s="1"/>
  <c r="O28" i="1"/>
  <c r="P28" i="1" s="1"/>
  <c r="O14" i="1"/>
  <c r="P14" i="1" s="1"/>
  <c r="O16" i="1"/>
  <c r="P16" i="1" s="1"/>
  <c r="O18" i="1"/>
  <c r="P18" i="1" s="1"/>
  <c r="O12" i="1"/>
  <c r="P12" i="1" s="1"/>
  <c r="O22" i="1"/>
  <c r="P22" i="1" s="1"/>
  <c r="O24" i="1"/>
  <c r="P24" i="1" s="1"/>
  <c r="O26" i="1"/>
  <c r="P26" i="1" s="1"/>
  <c r="O228" i="1"/>
  <c r="P228" i="1" s="1"/>
  <c r="O104" i="1"/>
  <c r="P104" i="1" s="1"/>
  <c r="O106" i="1"/>
  <c r="P106" i="1" s="1"/>
  <c r="S146" i="1"/>
  <c r="T146" i="1" s="1"/>
  <c r="S150" i="1"/>
  <c r="T150" i="1" s="1"/>
  <c r="S152" i="1"/>
  <c r="T152" i="1" s="1"/>
  <c r="S154" i="1"/>
  <c r="T154" i="1" s="1"/>
  <c r="S148" i="1"/>
  <c r="T148" i="1" s="1"/>
  <c r="S134" i="1"/>
  <c r="T134" i="1" s="1"/>
  <c r="S136" i="1"/>
  <c r="T136" i="1" s="1"/>
  <c r="S138" i="1"/>
  <c r="T138" i="1" s="1"/>
  <c r="S132" i="1"/>
  <c r="T132" i="1" s="1"/>
  <c r="S222" i="1"/>
  <c r="T222" i="1" s="1"/>
  <c r="S226" i="1"/>
  <c r="T226" i="1" s="1"/>
  <c r="S220" i="1"/>
  <c r="T220" i="1" s="1"/>
  <c r="S206" i="1"/>
  <c r="T206" i="1" s="1"/>
  <c r="S208" i="1"/>
  <c r="T208" i="1" s="1"/>
  <c r="S210" i="1"/>
  <c r="T210" i="1" s="1"/>
  <c r="S204" i="1"/>
  <c r="T204" i="1" s="1"/>
  <c r="S214" i="1"/>
  <c r="T214" i="1" s="1"/>
  <c r="S216" i="1"/>
  <c r="T216" i="1" s="1"/>
  <c r="S218" i="1"/>
  <c r="T218" i="1" s="1"/>
  <c r="S198" i="1"/>
  <c r="T198" i="1" s="1"/>
  <c r="S200" i="1"/>
  <c r="T200" i="1" s="1"/>
  <c r="S202" i="1"/>
  <c r="T202" i="1" s="1"/>
  <c r="S196" i="1"/>
  <c r="T196" i="1" s="1"/>
  <c r="S94" i="1"/>
  <c r="T94" i="1" s="1"/>
  <c r="S96" i="1"/>
  <c r="T96" i="1" s="1"/>
  <c r="S98" i="1"/>
  <c r="T98" i="1" s="1"/>
  <c r="S92" i="1"/>
  <c r="T92" i="1" s="1"/>
  <c r="S78" i="1"/>
  <c r="T78" i="1" s="1"/>
  <c r="S82" i="1"/>
  <c r="T82" i="1" s="1"/>
  <c r="S76" i="1"/>
  <c r="T76" i="1" s="1"/>
  <c r="S86" i="1"/>
  <c r="T86" i="1" s="1"/>
  <c r="S88" i="1"/>
  <c r="T88" i="1" s="1"/>
  <c r="S90" i="1"/>
  <c r="T90" i="1" s="1"/>
  <c r="S84" i="1"/>
  <c r="T84" i="1" s="1"/>
  <c r="S70" i="1"/>
  <c r="T70" i="1" s="1"/>
  <c r="S72" i="1"/>
  <c r="T72" i="1" s="1"/>
  <c r="S74" i="1"/>
  <c r="T74" i="1" s="1"/>
  <c r="S30" i="1"/>
  <c r="T30" i="1" s="1"/>
  <c r="S32" i="1"/>
  <c r="T32" i="1" s="1"/>
  <c r="S34" i="1"/>
  <c r="T34" i="1" s="1"/>
  <c r="S28" i="1"/>
  <c r="T28" i="1" s="1"/>
  <c r="S14" i="1"/>
  <c r="T14" i="1" s="1"/>
  <c r="S16" i="1"/>
  <c r="T16" i="1" s="1"/>
  <c r="S18" i="1"/>
  <c r="T18" i="1" s="1"/>
  <c r="S22" i="1"/>
  <c r="T22" i="1" s="1"/>
  <c r="S24" i="1"/>
  <c r="T24" i="1" s="1"/>
  <c r="S26" i="1"/>
  <c r="T26" i="1" s="1"/>
  <c r="S238" i="1"/>
  <c r="T238" i="1" s="1"/>
  <c r="S246" i="1"/>
  <c r="T246" i="1" s="1"/>
  <c r="S118" i="1"/>
  <c r="T118" i="1" s="1"/>
  <c r="S104" i="1"/>
  <c r="T104" i="1" s="1"/>
  <c r="G227" i="1"/>
  <c r="H227" i="1" s="1"/>
  <c r="G207" i="1"/>
  <c r="H207" i="1" s="1"/>
  <c r="G209" i="1"/>
  <c r="H209" i="1" s="1"/>
  <c r="G211" i="1"/>
  <c r="H211" i="1" s="1"/>
  <c r="G215" i="1"/>
  <c r="H215" i="1" s="1"/>
  <c r="G217" i="1"/>
  <c r="H217" i="1" s="1"/>
  <c r="G219" i="1"/>
  <c r="H219" i="1" s="1"/>
  <c r="G199" i="1"/>
  <c r="H199" i="1" s="1"/>
  <c r="G201" i="1"/>
  <c r="H201" i="1" s="1"/>
  <c r="G203" i="1"/>
  <c r="H203" i="1" s="1"/>
  <c r="G93" i="1"/>
  <c r="H93" i="1" s="1"/>
  <c r="G97" i="1"/>
  <c r="H97" i="1" s="1"/>
  <c r="G99" i="1"/>
  <c r="H99" i="1" s="1"/>
  <c r="G77" i="1"/>
  <c r="H77" i="1" s="1"/>
  <c r="G81" i="1"/>
  <c r="H81" i="1" s="1"/>
  <c r="G83" i="1"/>
  <c r="H83" i="1" s="1"/>
  <c r="G85" i="1"/>
  <c r="H85" i="1" s="1"/>
  <c r="G91" i="1"/>
  <c r="H91" i="1" s="1"/>
  <c r="G69" i="1"/>
  <c r="H69" i="1" s="1"/>
  <c r="G71" i="1"/>
  <c r="H71" i="1" s="1"/>
  <c r="G75" i="1"/>
  <c r="H75" i="1" s="1"/>
  <c r="G29" i="1"/>
  <c r="H29" i="1" s="1"/>
  <c r="G31" i="1"/>
  <c r="H31" i="1" s="1"/>
  <c r="G35" i="1"/>
  <c r="H35" i="1" s="1"/>
  <c r="G15" i="1"/>
  <c r="H15" i="1" s="1"/>
  <c r="G17" i="1"/>
  <c r="H17" i="1" s="1"/>
  <c r="G23" i="1"/>
  <c r="H23" i="1" s="1"/>
  <c r="G7" i="1"/>
  <c r="H7" i="1" s="1"/>
  <c r="G253" i="1"/>
  <c r="H253" i="1" s="1"/>
  <c r="G259" i="1"/>
  <c r="H259" i="1" s="1"/>
  <c r="G237" i="1"/>
  <c r="H237" i="1" s="1"/>
  <c r="G241" i="1"/>
  <c r="H241" i="1" s="1"/>
  <c r="G245" i="1"/>
  <c r="H245" i="1" s="1"/>
  <c r="G249" i="1"/>
  <c r="H249" i="1" s="1"/>
  <c r="G229" i="1"/>
  <c r="H229" i="1" s="1"/>
  <c r="G231" i="1"/>
  <c r="H231" i="1" s="1"/>
  <c r="G233" i="1"/>
  <c r="H233" i="1" s="1"/>
  <c r="G125" i="1"/>
  <c r="H125" i="1" s="1"/>
  <c r="G127" i="1"/>
  <c r="H127" i="1" s="1"/>
  <c r="G129" i="1"/>
  <c r="H129" i="1" s="1"/>
  <c r="G131" i="1"/>
  <c r="H131" i="1" s="1"/>
  <c r="G111" i="1"/>
  <c r="H111" i="1" s="1"/>
  <c r="G113" i="1"/>
  <c r="H113" i="1" s="1"/>
  <c r="G115" i="1"/>
  <c r="H115" i="1" s="1"/>
  <c r="G119" i="1"/>
  <c r="H119" i="1" s="1"/>
  <c r="G121" i="1"/>
  <c r="H121" i="1" s="1"/>
  <c r="G123" i="1"/>
  <c r="H123" i="1" s="1"/>
  <c r="G103" i="1"/>
  <c r="H103" i="1" s="1"/>
  <c r="G105" i="1"/>
  <c r="H105" i="1" s="1"/>
  <c r="G107" i="1"/>
  <c r="H107" i="1" s="1"/>
  <c r="O20" i="1"/>
  <c r="P20" i="1" s="1"/>
  <c r="O6" i="1"/>
  <c r="P6" i="1" s="1"/>
  <c r="O8" i="1"/>
  <c r="P8" i="1" s="1"/>
  <c r="O10" i="1"/>
  <c r="P10" i="1" s="1"/>
  <c r="O4" i="1"/>
  <c r="P4" i="1" s="1"/>
  <c r="O256" i="1"/>
  <c r="P256" i="1" s="1"/>
  <c r="O258" i="1"/>
  <c r="P258" i="1" s="1"/>
  <c r="O252" i="1"/>
  <c r="P252" i="1" s="1"/>
  <c r="O238" i="1"/>
  <c r="P238" i="1" s="1"/>
  <c r="O240" i="1"/>
  <c r="P240" i="1" s="1"/>
  <c r="O242" i="1"/>
  <c r="P242" i="1" s="1"/>
  <c r="O236" i="1"/>
  <c r="P236" i="1" s="1"/>
  <c r="O246" i="1"/>
  <c r="P246" i="1" s="1"/>
  <c r="O248" i="1"/>
  <c r="P248" i="1" s="1"/>
  <c r="O250" i="1"/>
  <c r="P250" i="1" s="1"/>
  <c r="O230" i="1"/>
  <c r="P230" i="1" s="1"/>
  <c r="O232" i="1"/>
  <c r="P232" i="1" s="1"/>
  <c r="O234" i="1"/>
  <c r="P234" i="1" s="1"/>
  <c r="O126" i="1"/>
  <c r="P126" i="1" s="1"/>
  <c r="O128" i="1"/>
  <c r="P128" i="1" s="1"/>
  <c r="O124" i="1"/>
  <c r="P124" i="1" s="1"/>
  <c r="O110" i="1"/>
  <c r="P110" i="1" s="1"/>
  <c r="O112" i="1"/>
  <c r="P112" i="1" s="1"/>
  <c r="O114" i="1"/>
  <c r="P114" i="1" s="1"/>
  <c r="O108" i="1"/>
  <c r="P108" i="1" s="1"/>
  <c r="O118" i="1"/>
  <c r="P118" i="1" s="1"/>
  <c r="O120" i="1"/>
  <c r="P120" i="1" s="1"/>
  <c r="O122" i="1"/>
  <c r="P122" i="1" s="1"/>
  <c r="O116" i="1"/>
  <c r="P116" i="1" s="1"/>
  <c r="O102" i="1"/>
  <c r="P102" i="1" s="1"/>
  <c r="O100" i="1"/>
  <c r="P100" i="1" s="1"/>
  <c r="S20" i="1"/>
  <c r="T20" i="1" s="1"/>
  <c r="S6" i="1"/>
  <c r="T6" i="1" s="1"/>
  <c r="S8" i="1"/>
  <c r="T8" i="1" s="1"/>
  <c r="S10" i="1"/>
  <c r="T10" i="1" s="1"/>
  <c r="S254" i="1"/>
  <c r="T254" i="1" s="1"/>
  <c r="S256" i="1"/>
  <c r="T256" i="1" s="1"/>
  <c r="S258" i="1"/>
  <c r="T258" i="1" s="1"/>
  <c r="S252" i="1"/>
  <c r="T252" i="1" s="1"/>
  <c r="S240" i="1"/>
  <c r="T240" i="1" s="1"/>
  <c r="S242" i="1"/>
  <c r="T242" i="1" s="1"/>
  <c r="S236" i="1"/>
  <c r="T236" i="1" s="1"/>
  <c r="S248" i="1"/>
  <c r="T248" i="1" s="1"/>
  <c r="S250" i="1"/>
  <c r="T250" i="1" s="1"/>
  <c r="S244" i="1"/>
  <c r="T244" i="1" s="1"/>
  <c r="S230" i="1"/>
  <c r="T230" i="1" s="1"/>
  <c r="S232" i="1"/>
  <c r="T232" i="1" s="1"/>
  <c r="S234" i="1"/>
  <c r="T234" i="1" s="1"/>
  <c r="S228" i="1"/>
  <c r="T228" i="1" s="1"/>
  <c r="S128" i="1"/>
  <c r="T128" i="1" s="1"/>
  <c r="S130" i="1"/>
  <c r="T130" i="1" s="1"/>
  <c r="S124" i="1"/>
  <c r="T124" i="1" s="1"/>
  <c r="S110" i="1"/>
  <c r="T110" i="1" s="1"/>
  <c r="S112" i="1"/>
  <c r="T112" i="1" s="1"/>
  <c r="S114" i="1"/>
  <c r="T114" i="1" s="1"/>
  <c r="S108" i="1"/>
  <c r="T108" i="1" s="1"/>
  <c r="S120" i="1"/>
  <c r="T120" i="1" s="1"/>
  <c r="S122" i="1"/>
  <c r="T122" i="1" s="1"/>
  <c r="S116" i="1"/>
  <c r="T116" i="1" s="1"/>
  <c r="S102" i="1"/>
  <c r="T102" i="1" s="1"/>
  <c r="S106" i="1"/>
  <c r="T106" i="1" s="1"/>
  <c r="S100" i="1"/>
  <c r="T100" i="1" s="1"/>
  <c r="K243" i="1"/>
  <c r="L243" i="1" s="1"/>
  <c r="K245" i="1"/>
  <c r="L245" i="1" s="1"/>
  <c r="K249" i="1"/>
  <c r="L249" i="1" s="1"/>
  <c r="K231" i="1"/>
  <c r="L231" i="1" s="1"/>
  <c r="K235" i="1"/>
  <c r="L235" i="1" s="1"/>
  <c r="K127" i="1"/>
  <c r="L127" i="1" s="1"/>
  <c r="K129" i="1"/>
  <c r="L129" i="1" s="1"/>
  <c r="K111" i="1"/>
  <c r="L111" i="1" s="1"/>
  <c r="K115" i="1"/>
  <c r="L115" i="1" s="1"/>
  <c r="K117" i="1"/>
  <c r="L117" i="1" s="1"/>
  <c r="K119" i="1"/>
  <c r="L119" i="1" s="1"/>
  <c r="K123" i="1"/>
  <c r="L123" i="1" s="1"/>
  <c r="K101" i="1"/>
  <c r="L101" i="1" s="1"/>
  <c r="O251" i="1"/>
  <c r="P251" i="1" s="1"/>
  <c r="O231" i="1"/>
  <c r="P231" i="1" s="1"/>
  <c r="O233" i="1"/>
  <c r="P233" i="1" s="1"/>
  <c r="O235" i="1"/>
  <c r="P235" i="1" s="1"/>
  <c r="O125" i="1"/>
  <c r="P125" i="1" s="1"/>
  <c r="O127" i="1"/>
  <c r="P127" i="1" s="1"/>
  <c r="O129" i="1"/>
  <c r="P129" i="1" s="1"/>
  <c r="O109" i="1"/>
  <c r="P109" i="1" s="1"/>
  <c r="O111" i="1"/>
  <c r="P111" i="1" s="1"/>
  <c r="O115" i="1"/>
  <c r="P115" i="1" s="1"/>
  <c r="O119" i="1"/>
  <c r="P119" i="1" s="1"/>
  <c r="O121" i="1"/>
  <c r="P121" i="1" s="1"/>
  <c r="O123" i="1"/>
  <c r="P123" i="1" s="1"/>
  <c r="O101" i="1"/>
  <c r="P101" i="1" s="1"/>
  <c r="O103" i="1"/>
  <c r="P103" i="1" s="1"/>
  <c r="O107" i="1"/>
  <c r="P107" i="1" s="1"/>
  <c r="E32" i="6" l="1"/>
  <c r="E36" i="6"/>
  <c r="L48" i="6"/>
  <c r="L46" i="6"/>
  <c r="E46" i="6"/>
  <c r="D29" i="5"/>
  <c r="E29" i="5" s="1"/>
  <c r="K33" i="6"/>
  <c r="L33" i="6" s="1"/>
  <c r="L55" i="5"/>
  <c r="M55" i="5" s="1"/>
  <c r="K47" i="6"/>
  <c r="H42" i="5"/>
  <c r="I42" i="5" s="1"/>
  <c r="D42" i="6"/>
  <c r="E42" i="6" s="1"/>
  <c r="H16" i="5"/>
  <c r="I16" i="5" s="1"/>
  <c r="D34" i="6"/>
  <c r="E34" i="6" s="1"/>
  <c r="E31" i="6"/>
  <c r="E33" i="6"/>
  <c r="E35" i="6"/>
  <c r="L36" i="6"/>
  <c r="L31" i="6"/>
  <c r="E41" i="6"/>
  <c r="E44" i="6"/>
  <c r="L35" i="6"/>
  <c r="L32" i="6"/>
  <c r="L41" i="6"/>
  <c r="L43" i="6"/>
  <c r="L34" i="6"/>
  <c r="D7" i="5"/>
  <c r="E7" i="5" s="1"/>
  <c r="D21" i="6"/>
  <c r="E21" i="6" s="1"/>
  <c r="E45" i="6"/>
  <c r="E47" i="6"/>
  <c r="L45" i="6"/>
  <c r="L30" i="6"/>
  <c r="E48" i="6"/>
  <c r="E43" i="6"/>
  <c r="E29" i="6"/>
  <c r="H7" i="5"/>
  <c r="I7" i="5" s="1"/>
  <c r="D22" i="6"/>
  <c r="E22" i="6" s="1"/>
  <c r="L42" i="6"/>
  <c r="L44" i="6"/>
  <c r="L29" i="6"/>
  <c r="L47" i="6"/>
  <c r="E30" i="6"/>
  <c r="P29" i="5"/>
  <c r="Q29" i="5" s="1"/>
  <c r="P7" i="5"/>
  <c r="Q7" i="5" s="1"/>
  <c r="D16" i="5"/>
  <c r="E16" i="5" s="1"/>
  <c r="L29" i="5"/>
  <c r="M29" i="5" s="1"/>
  <c r="P55" i="5"/>
  <c r="Q55" i="5" s="1"/>
  <c r="H55" i="5"/>
  <c r="I55" i="5" s="1"/>
  <c r="K2" i="1"/>
  <c r="L2" i="1" s="1"/>
  <c r="O2" i="1"/>
  <c r="P2" i="1" s="1"/>
  <c r="S2" i="1"/>
  <c r="T2" i="1" s="1"/>
  <c r="D42" i="5"/>
  <c r="E42" i="5" s="1"/>
  <c r="L42" i="5"/>
  <c r="M42" i="5" s="1"/>
  <c r="H29" i="5"/>
  <c r="I29" i="5" s="1"/>
  <c r="L16" i="5"/>
  <c r="M16" i="5" s="1"/>
  <c r="D55" i="5"/>
  <c r="E55" i="5" s="1"/>
  <c r="P16" i="5"/>
  <c r="Q16" i="5" s="1"/>
  <c r="L7" i="5"/>
  <c r="M7" i="5" s="1"/>
  <c r="P42" i="5"/>
  <c r="Q42" i="5" s="1"/>
  <c r="G2" i="1"/>
  <c r="H2" i="1" s="1"/>
</calcChain>
</file>

<file path=xl/sharedStrings.xml><?xml version="1.0" encoding="utf-8"?>
<sst xmlns="http://schemas.openxmlformats.org/spreadsheetml/2006/main" count="2985" uniqueCount="387">
  <si>
    <t>formula</t>
  </si>
  <si>
    <t>shipment_scheme</t>
  </si>
  <si>
    <t>zone_type</t>
  </si>
  <si>
    <t>weight_bucket</t>
  </si>
  <si>
    <t>001-2 Kg</t>
  </si>
  <si>
    <t>NA</t>
  </si>
  <si>
    <t>Old paid district</t>
  </si>
  <si>
    <t>1-2 Kg</t>
  </si>
  <si>
    <t>003 Kg</t>
  </si>
  <si>
    <t>3 Kg</t>
  </si>
  <si>
    <t>004 Kg</t>
  </si>
  <si>
    <t>4 Kg</t>
  </si>
  <si>
    <t>005 Kg</t>
  </si>
  <si>
    <t>5 Kg</t>
  </si>
  <si>
    <t>006 Kg</t>
  </si>
  <si>
    <t>6 Kg</t>
  </si>
  <si>
    <t>007 Kg</t>
  </si>
  <si>
    <t>7 Kg</t>
  </si>
  <si>
    <t>008 Kg and above</t>
  </si>
  <si>
    <t>8 Kg and above</t>
  </si>
  <si>
    <t>00&lt;= 0.17</t>
  </si>
  <si>
    <t>&lt;= 0.17</t>
  </si>
  <si>
    <t>011-2 Kg</t>
  </si>
  <si>
    <t>New paid - full price</t>
  </si>
  <si>
    <t>013 Kg</t>
  </si>
  <si>
    <t>014 Kg</t>
  </si>
  <si>
    <t>015 Kg</t>
  </si>
  <si>
    <t>016 Kg</t>
  </si>
  <si>
    <t>017 Kg</t>
  </si>
  <si>
    <t>018 Kg and above</t>
  </si>
  <si>
    <t>01&lt;= 0.17</t>
  </si>
  <si>
    <t>021-2 Kg</t>
  </si>
  <si>
    <t>New paid - half price</t>
  </si>
  <si>
    <t>023 Kg</t>
  </si>
  <si>
    <t>024 Kg</t>
  </si>
  <si>
    <t>025 Kg</t>
  </si>
  <si>
    <t>026 Kg</t>
  </si>
  <si>
    <t>027 Kg</t>
  </si>
  <si>
    <t>028 Kg and above</t>
  </si>
  <si>
    <t>02&lt;= 0.17</t>
  </si>
  <si>
    <t>031-2 Kg</t>
  </si>
  <si>
    <t>Free district</t>
  </si>
  <si>
    <t>033 Kg</t>
  </si>
  <si>
    <t>034 Kg</t>
  </si>
  <si>
    <t>035 Kg</t>
  </si>
  <si>
    <t>036 Kg</t>
  </si>
  <si>
    <t>037 Kg</t>
  </si>
  <si>
    <t>038 Kg and above</t>
  </si>
  <si>
    <t>03&lt;= 0.17</t>
  </si>
  <si>
    <t>101-2 Kg</t>
  </si>
  <si>
    <t>Direct Billing</t>
  </si>
  <si>
    <t>103 Kg</t>
  </si>
  <si>
    <t>104 Kg</t>
  </si>
  <si>
    <t>105 Kg</t>
  </si>
  <si>
    <t>106 Kg</t>
  </si>
  <si>
    <t>107 Kg</t>
  </si>
  <si>
    <t>108 Kg and above</t>
  </si>
  <si>
    <t>10&lt;= 0.17</t>
  </si>
  <si>
    <t>111-2 Kg</t>
  </si>
  <si>
    <t>113 Kg</t>
  </si>
  <si>
    <t>114 Kg</t>
  </si>
  <si>
    <t>115 Kg</t>
  </si>
  <si>
    <t>116 Kg</t>
  </si>
  <si>
    <t>117 Kg</t>
  </si>
  <si>
    <t>118 Kg and above</t>
  </si>
  <si>
    <t>11&lt;= 0.17</t>
  </si>
  <si>
    <t>121-2 Kg</t>
  </si>
  <si>
    <t>123 Kg</t>
  </si>
  <si>
    <t>124 Kg</t>
  </si>
  <si>
    <t>125 Kg</t>
  </si>
  <si>
    <t>126 Kg</t>
  </si>
  <si>
    <t>127 Kg</t>
  </si>
  <si>
    <t>128 Kg and above</t>
  </si>
  <si>
    <t>12&lt;= 0.17</t>
  </si>
  <si>
    <t>131-2 Kg</t>
  </si>
  <si>
    <t>133 Kg</t>
  </si>
  <si>
    <t>134 Kg</t>
  </si>
  <si>
    <t>135 Kg</t>
  </si>
  <si>
    <t>136 Kg</t>
  </si>
  <si>
    <t>137 Kg</t>
  </si>
  <si>
    <t>138 Kg and above</t>
  </si>
  <si>
    <t>13&lt;= 0.17</t>
  </si>
  <si>
    <t>201-2 Kg</t>
  </si>
  <si>
    <t>Master Account</t>
  </si>
  <si>
    <t>203 Kg</t>
  </si>
  <si>
    <t>204 Kg</t>
  </si>
  <si>
    <t>205 Kg</t>
  </si>
  <si>
    <t>206 Kg</t>
  </si>
  <si>
    <t>207 Kg</t>
  </si>
  <si>
    <t>208 Kg and above</t>
  </si>
  <si>
    <t>20&lt;= 0.17</t>
  </si>
  <si>
    <t>211-2 Kg</t>
  </si>
  <si>
    <t>213 Kg</t>
  </si>
  <si>
    <t>214 Kg</t>
  </si>
  <si>
    <t>215 Kg</t>
  </si>
  <si>
    <t>216 Kg</t>
  </si>
  <si>
    <t>217 Kg</t>
  </si>
  <si>
    <t>218 Kg and above</t>
  </si>
  <si>
    <t>21&lt;= 0.17</t>
  </si>
  <si>
    <t>221-2 Kg</t>
  </si>
  <si>
    <t>223 Kg</t>
  </si>
  <si>
    <t>224 Kg</t>
  </si>
  <si>
    <t>225 Kg</t>
  </si>
  <si>
    <t>226 Kg</t>
  </si>
  <si>
    <t>227 Kg</t>
  </si>
  <si>
    <t>228 Kg and above</t>
  </si>
  <si>
    <t>22&lt;= 0.17</t>
  </si>
  <si>
    <t>231-2 Kg</t>
  </si>
  <si>
    <t>233 Kg</t>
  </si>
  <si>
    <t>234 Kg</t>
  </si>
  <si>
    <t>235 Kg</t>
  </si>
  <si>
    <t>236 Kg</t>
  </si>
  <si>
    <t>237 Kg</t>
  </si>
  <si>
    <t>238 Kg and above</t>
  </si>
  <si>
    <t>23&lt;= 0.17</t>
  </si>
  <si>
    <t>301-2 Kg</t>
  </si>
  <si>
    <t>Retail</t>
  </si>
  <si>
    <t>303 Kg</t>
  </si>
  <si>
    <t>304 Kg</t>
  </si>
  <si>
    <t>305 Kg</t>
  </si>
  <si>
    <t>306 Kg</t>
  </si>
  <si>
    <t>307 Kg</t>
  </si>
  <si>
    <t>308 Kg and above</t>
  </si>
  <si>
    <t>30&lt;= 0.17</t>
  </si>
  <si>
    <t>311-2 Kg</t>
  </si>
  <si>
    <t>313 Kg</t>
  </si>
  <si>
    <t>314 Kg</t>
  </si>
  <si>
    <t>315 Kg</t>
  </si>
  <si>
    <t>316 Kg</t>
  </si>
  <si>
    <t>317 Kg</t>
  </si>
  <si>
    <t>318 Kg and above</t>
  </si>
  <si>
    <t>31&lt;= 0.17</t>
  </si>
  <si>
    <t>321-2 Kg</t>
  </si>
  <si>
    <t>323 Kg</t>
  </si>
  <si>
    <t>324 Kg</t>
  </si>
  <si>
    <t>325 Kg</t>
  </si>
  <si>
    <t>326 Kg</t>
  </si>
  <si>
    <t>327 Kg</t>
  </si>
  <si>
    <t>328 Kg and above</t>
  </si>
  <si>
    <t>32&lt;= 0.17</t>
  </si>
  <si>
    <t>331-2 Kg</t>
  </si>
  <si>
    <t>333 Kg</t>
  </si>
  <si>
    <t>334 Kg</t>
  </si>
  <si>
    <t>335 Kg</t>
  </si>
  <si>
    <t>336 Kg</t>
  </si>
  <si>
    <t>337 Kg</t>
  </si>
  <si>
    <t>338 Kg and above</t>
  </si>
  <si>
    <t>33&lt;= 0.17</t>
  </si>
  <si>
    <t>401-2 Kg</t>
  </si>
  <si>
    <t>FBL</t>
  </si>
  <si>
    <t>403 Kg</t>
  </si>
  <si>
    <t>404 Kg</t>
  </si>
  <si>
    <t>405 Kg</t>
  </si>
  <si>
    <t>406 Kg</t>
  </si>
  <si>
    <t>407 Kg</t>
  </si>
  <si>
    <t>408 Kg and above</t>
  </si>
  <si>
    <t>40&lt;= 0.17</t>
  </si>
  <si>
    <t>411-2 Kg</t>
  </si>
  <si>
    <t>413 Kg</t>
  </si>
  <si>
    <t>414 Kg</t>
  </si>
  <si>
    <t>415 Kg</t>
  </si>
  <si>
    <t>416 Kg</t>
  </si>
  <si>
    <t>417 Kg</t>
  </si>
  <si>
    <t>418 Kg and above</t>
  </si>
  <si>
    <t>41&lt;= 0.17</t>
  </si>
  <si>
    <t>421-2 Kg</t>
  </si>
  <si>
    <t>423 Kg</t>
  </si>
  <si>
    <t>424 Kg</t>
  </si>
  <si>
    <t>425 Kg</t>
  </si>
  <si>
    <t>426 Kg</t>
  </si>
  <si>
    <t>427 Kg</t>
  </si>
  <si>
    <t>428 Kg and above</t>
  </si>
  <si>
    <t>42&lt;= 0.17</t>
  </si>
  <si>
    <t>431-2 Kg</t>
  </si>
  <si>
    <t>433 Kg</t>
  </si>
  <si>
    <t>434 Kg</t>
  </si>
  <si>
    <t>435 Kg</t>
  </si>
  <si>
    <t>436 Kg</t>
  </si>
  <si>
    <t>437 Kg</t>
  </si>
  <si>
    <t>438 Kg and above</t>
  </si>
  <si>
    <t>43&lt;= 0.17</t>
  </si>
  <si>
    <t>501-2 Kg</t>
  </si>
  <si>
    <t>Cross Border</t>
  </si>
  <si>
    <t>503 Kg</t>
  </si>
  <si>
    <t>504 Kg</t>
  </si>
  <si>
    <t>505 Kg</t>
  </si>
  <si>
    <t>506 Kg</t>
  </si>
  <si>
    <t>507 Kg</t>
  </si>
  <si>
    <t>508 Kg and above</t>
  </si>
  <si>
    <t>50&lt;= 0.17</t>
  </si>
  <si>
    <t>511-2 Kg</t>
  </si>
  <si>
    <t>513 Kg</t>
  </si>
  <si>
    <t>514 Kg</t>
  </si>
  <si>
    <t>515 Kg</t>
  </si>
  <si>
    <t>516 Kg</t>
  </si>
  <si>
    <t>517 Kg</t>
  </si>
  <si>
    <t>518 Kg and above</t>
  </si>
  <si>
    <t>51&lt;= 0.17</t>
  </si>
  <si>
    <t>521-2 Kg</t>
  </si>
  <si>
    <t>523 Kg</t>
  </si>
  <si>
    <t>524 Kg</t>
  </si>
  <si>
    <t>525 Kg</t>
  </si>
  <si>
    <t>526 Kg</t>
  </si>
  <si>
    <t>527 Kg</t>
  </si>
  <si>
    <t>528 Kg and above</t>
  </si>
  <si>
    <t>52&lt;= 0.17</t>
  </si>
  <si>
    <t>531-2 Kg</t>
  </si>
  <si>
    <t>533 Kg</t>
  </si>
  <si>
    <t>534 Kg</t>
  </si>
  <si>
    <t>535 Kg</t>
  </si>
  <si>
    <t>536 Kg</t>
  </si>
  <si>
    <t>537 Kg</t>
  </si>
  <si>
    <t>538 Kg and above</t>
  </si>
  <si>
    <t>53&lt;= 0.17</t>
  </si>
  <si>
    <t>601-2 Kg</t>
  </si>
  <si>
    <t>Return</t>
  </si>
  <si>
    <t>603 Kg</t>
  </si>
  <si>
    <t>604 Kg</t>
  </si>
  <si>
    <t>605 Kg</t>
  </si>
  <si>
    <t>606 Kg</t>
  </si>
  <si>
    <t>607 Kg</t>
  </si>
  <si>
    <t>608 Kg and above</t>
  </si>
  <si>
    <t>60&lt;= 0.17</t>
  </si>
  <si>
    <t>611-2 Kg</t>
  </si>
  <si>
    <t>613 Kg</t>
  </si>
  <si>
    <t>614 Kg</t>
  </si>
  <si>
    <t>615 Kg</t>
  </si>
  <si>
    <t>616 Kg</t>
  </si>
  <si>
    <t>617 Kg</t>
  </si>
  <si>
    <t>618 Kg and above</t>
  </si>
  <si>
    <t>61&lt;= 0.17</t>
  </si>
  <si>
    <t>621-2 Kg</t>
  </si>
  <si>
    <t>623 Kg</t>
  </si>
  <si>
    <t>624 Kg</t>
  </si>
  <si>
    <t>625 Kg</t>
  </si>
  <si>
    <t>626 Kg</t>
  </si>
  <si>
    <t>627 Kg</t>
  </si>
  <si>
    <t>628 Kg and above</t>
  </si>
  <si>
    <t>62&lt;= 0.17</t>
  </si>
  <si>
    <t>631-2 Kg</t>
  </si>
  <si>
    <t>633 Kg</t>
  </si>
  <si>
    <t>634 Kg</t>
  </si>
  <si>
    <t>635 Kg</t>
  </si>
  <si>
    <t>636 Kg</t>
  </si>
  <si>
    <t>637 Kg</t>
  </si>
  <si>
    <t>638 Kg and above</t>
  </si>
  <si>
    <t>63&lt;= 0.17</t>
  </si>
  <si>
    <t>701-2 Kg</t>
  </si>
  <si>
    <t>Go-Jek</t>
  </si>
  <si>
    <t>703 Kg</t>
  </si>
  <si>
    <t>704 Kg</t>
  </si>
  <si>
    <t>705 Kg</t>
  </si>
  <si>
    <t>706 Kg</t>
  </si>
  <si>
    <t>707 Kg</t>
  </si>
  <si>
    <t>708 Kg and above</t>
  </si>
  <si>
    <t>70&lt;= 0.17</t>
  </si>
  <si>
    <t>711-2 Kg</t>
  </si>
  <si>
    <t>713 Kg</t>
  </si>
  <si>
    <t>714 Kg</t>
  </si>
  <si>
    <t>715 Kg</t>
  </si>
  <si>
    <t>716 Kg</t>
  </si>
  <si>
    <t>717 Kg</t>
  </si>
  <si>
    <t>718 Kg and above</t>
  </si>
  <si>
    <t>71&lt;= 0.17</t>
  </si>
  <si>
    <t>721-2 Kg</t>
  </si>
  <si>
    <t>723 Kg</t>
  </si>
  <si>
    <t>724 Kg</t>
  </si>
  <si>
    <t>725 Kg</t>
  </si>
  <si>
    <t>726 Kg</t>
  </si>
  <si>
    <t>727 Kg</t>
  </si>
  <si>
    <t>728 Kg and above</t>
  </si>
  <si>
    <t>72&lt;= 0.17</t>
  </si>
  <si>
    <t>731-2 Kg</t>
  </si>
  <si>
    <t>733 Kg</t>
  </si>
  <si>
    <t>734 Kg</t>
  </si>
  <si>
    <t>735 Kg</t>
  </si>
  <si>
    <t>736 Kg</t>
  </si>
  <si>
    <t>737 Kg</t>
  </si>
  <si>
    <t>738 Kg and above</t>
  </si>
  <si>
    <t>73&lt;= 0.17</t>
  </si>
  <si>
    <t>before</t>
  </si>
  <si>
    <t>paid_price</t>
  </si>
  <si>
    <t>count_so</t>
  </si>
  <si>
    <t>count_soi</t>
  </si>
  <si>
    <t>gain_loss</t>
  </si>
  <si>
    <t>after</t>
  </si>
  <si>
    <t>Jabodetabek</t>
  </si>
  <si>
    <t>delta</t>
  </si>
  <si>
    <t>delta %</t>
  </si>
  <si>
    <t>Gain Loss</t>
  </si>
  <si>
    <t>Count of Items</t>
  </si>
  <si>
    <t>Count of Orders</t>
  </si>
  <si>
    <t>Paid Price</t>
  </si>
  <si>
    <t>Formula</t>
  </si>
  <si>
    <t>Shipment Scheme</t>
  </si>
  <si>
    <t>Zone Type</t>
  </si>
  <si>
    <t>Weight Bucket</t>
  </si>
  <si>
    <t>Subtotals</t>
  </si>
  <si>
    <t>Sum of before</t>
  </si>
  <si>
    <t>Sum of after</t>
  </si>
  <si>
    <t>Sum of before2</t>
  </si>
  <si>
    <t>Sum of after2</t>
  </si>
  <si>
    <t>Sum of before3</t>
  </si>
  <si>
    <t>Sum of after3</t>
  </si>
  <si>
    <t>Sum of before4</t>
  </si>
  <si>
    <t>Sum of after4</t>
  </si>
  <si>
    <t>All Business Units</t>
  </si>
  <si>
    <t>Business Unit</t>
  </si>
  <si>
    <t>Gain/Loss</t>
  </si>
  <si>
    <t>business_unit</t>
  </si>
  <si>
    <t>Before</t>
  </si>
  <si>
    <t>After</t>
  </si>
  <si>
    <t>141-2 Kg</t>
  </si>
  <si>
    <t>143 Kg</t>
  </si>
  <si>
    <t>144 Kg</t>
  </si>
  <si>
    <t>145 Kg</t>
  </si>
  <si>
    <t>146 Kg</t>
  </si>
  <si>
    <t>147 Kg</t>
  </si>
  <si>
    <t>148 Kg and above</t>
  </si>
  <si>
    <t>14&lt;= 0.17</t>
  </si>
  <si>
    <t>241-2 Kg</t>
  </si>
  <si>
    <t>243 Kg</t>
  </si>
  <si>
    <t>244 Kg</t>
  </si>
  <si>
    <t>245 Kg</t>
  </si>
  <si>
    <t>246 Kg</t>
  </si>
  <si>
    <t>247 Kg</t>
  </si>
  <si>
    <t>248 Kg and above</t>
  </si>
  <si>
    <t>24&lt;= 0.17</t>
  </si>
  <si>
    <t>341-2 Kg</t>
  </si>
  <si>
    <t>343 Kg</t>
  </si>
  <si>
    <t>344 Kg</t>
  </si>
  <si>
    <t>345 Kg</t>
  </si>
  <si>
    <t>346 Kg</t>
  </si>
  <si>
    <t>347 Kg</t>
  </si>
  <si>
    <t>348 Kg and above</t>
  </si>
  <si>
    <t>34&lt;= 0.17</t>
  </si>
  <si>
    <t>441-2 Kg</t>
  </si>
  <si>
    <t>443 Kg</t>
  </si>
  <si>
    <t>444 Kg</t>
  </si>
  <si>
    <t>445 Kg</t>
  </si>
  <si>
    <t>446 Kg</t>
  </si>
  <si>
    <t>447 Kg</t>
  </si>
  <si>
    <t>448 Kg and above</t>
  </si>
  <si>
    <t>44&lt;= 0.17</t>
  </si>
  <si>
    <t>041-2 Kg</t>
  </si>
  <si>
    <t>043 Kg</t>
  </si>
  <si>
    <t>044 Kg</t>
  </si>
  <si>
    <t>045 Kg</t>
  </si>
  <si>
    <t>046 Kg</t>
  </si>
  <si>
    <t>047 Kg</t>
  </si>
  <si>
    <t>048 Kg and above</t>
  </si>
  <si>
    <t>04&lt;= 0.17</t>
  </si>
  <si>
    <t>541-2 Kg</t>
  </si>
  <si>
    <t>543 Kg</t>
  </si>
  <si>
    <t>544 Kg</t>
  </si>
  <si>
    <t>545 Kg</t>
  </si>
  <si>
    <t>546 Kg</t>
  </si>
  <si>
    <t>547 Kg</t>
  </si>
  <si>
    <t>548 Kg and above</t>
  </si>
  <si>
    <t>54&lt;= 0.17</t>
  </si>
  <si>
    <t>641-2 Kg</t>
  </si>
  <si>
    <t>643 Kg</t>
  </si>
  <si>
    <t>644 Kg</t>
  </si>
  <si>
    <t>645 Kg</t>
  </si>
  <si>
    <t>646 Kg</t>
  </si>
  <si>
    <t>647 Kg</t>
  </si>
  <si>
    <t>648 Kg and above</t>
  </si>
  <si>
    <t>64&lt;= 0.17</t>
  </si>
  <si>
    <t>741-2 Kg</t>
  </si>
  <si>
    <t>743 Kg</t>
  </si>
  <si>
    <t>744 Kg</t>
  </si>
  <si>
    <t>745 Kg</t>
  </si>
  <si>
    <t>746 Kg</t>
  </si>
  <si>
    <t>747 Kg</t>
  </si>
  <si>
    <t>748 Kg and above</t>
  </si>
  <si>
    <t>74&lt;= 0.17</t>
  </si>
  <si>
    <t>subtotals</t>
  </si>
  <si>
    <t>PASTE RAW DATA TO ROWS BELOW</t>
  </si>
  <si>
    <t>BU Breakdown</t>
  </si>
  <si>
    <t>Raw Data</t>
  </si>
  <si>
    <t>BU Summary Sheet</t>
  </si>
  <si>
    <t>BU Breakdown Sheet</t>
  </si>
  <si>
    <t>Remarks</t>
  </si>
  <si>
    <t>BU Summary</t>
  </si>
  <si>
    <t>Breakdown Summary</t>
  </si>
  <si>
    <t>02.01 - 02.19</t>
  </si>
  <si>
    <t>03.01 - 03.19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</si>
</sst>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i/>
      <sz val="10"/>
      <color theme="0"/>
      <name val="Segoe UI"/>
      <family val="2"/>
    </font>
    <font>
      <i/>
      <sz val="10"/>
      <color theme="1"/>
      <name val="Segoe UI"/>
      <family val="2"/>
    </font>
    <font>
      <b/>
      <sz val="10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43" fontId="18" fillId="0" borderId="0" xfId="1" applyFont="1"/>
    <xf numFmtId="9" fontId="18" fillId="0" borderId="0" xfId="2" applyFont="1"/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43" fontId="18" fillId="0" borderId="0" xfId="1" applyFont="1" applyAlignment="1">
      <alignment vertical="top"/>
    </xf>
    <xf numFmtId="9" fontId="18" fillId="0" borderId="0" xfId="2" applyFont="1" applyAlignment="1">
      <alignment vertical="top"/>
    </xf>
    <xf numFmtId="0" fontId="21" fillId="0" borderId="0" xfId="0" applyFont="1" applyAlignment="1">
      <alignment horizontal="center" vertical="top"/>
    </xf>
    <xf numFmtId="0" fontId="22" fillId="0" borderId="0" xfId="0" applyFont="1"/>
    <xf numFmtId="0" fontId="21" fillId="0" borderId="0" xfId="0" applyFont="1"/>
    <xf numFmtId="0" fontId="18" fillId="0" borderId="0" xfId="0" pivotButton="1" applyFont="1"/>
    <xf numFmtId="0" fontId="18" fillId="0" borderId="0" xfId="0" applyNumberFormat="1" applyFont="1"/>
    <xf numFmtId="43" fontId="0" fillId="0" borderId="0" xfId="1" applyFont="1"/>
    <xf numFmtId="0" fontId="18" fillId="33" borderId="0" xfId="0" applyFont="1" applyFill="1" applyAlignment="1">
      <alignment horizontal="center"/>
    </xf>
    <xf numFmtId="0" fontId="18" fillId="0" borderId="0" xfId="0" applyFont="1" applyAlignment="1"/>
    <xf numFmtId="43" fontId="22" fillId="0" borderId="0" xfId="1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 vertical="center"/>
    </xf>
    <xf numFmtId="43" fontId="19" fillId="34" borderId="0" xfId="1" applyFont="1" applyFill="1" applyAlignment="1">
      <alignment horizontal="center" vertical="center"/>
    </xf>
    <xf numFmtId="43" fontId="20" fillId="34" borderId="0" xfId="1" applyFont="1" applyFill="1" applyAlignment="1">
      <alignment horizontal="center" vertical="center"/>
    </xf>
    <xf numFmtId="9" fontId="20" fillId="34" borderId="0" xfId="2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43" fontId="19" fillId="34" borderId="0" xfId="1" applyFont="1" applyFill="1" applyAlignment="1">
      <alignment horizontal="center" vertical="center"/>
    </xf>
    <xf numFmtId="9" fontId="19" fillId="34" borderId="0" xfId="2" applyFont="1" applyFill="1" applyAlignment="1">
      <alignment horizontal="center" vertical="center"/>
    </xf>
    <xf numFmtId="0" fontId="19" fillId="34" borderId="0" xfId="0" applyFont="1" applyFill="1" applyAlignment="1">
      <alignment horizontal="center" vertical="top"/>
    </xf>
    <xf numFmtId="43" fontId="19" fillId="34" borderId="0" xfId="1" applyFont="1" applyFill="1" applyAlignment="1">
      <alignment horizontal="center" vertical="top"/>
    </xf>
    <xf numFmtId="43" fontId="20" fillId="34" borderId="0" xfId="1" applyFont="1" applyFill="1" applyAlignment="1">
      <alignment horizontal="center" vertical="top"/>
    </xf>
    <xf numFmtId="9" fontId="20" fillId="34" borderId="0" xfId="2" applyFont="1" applyFill="1" applyAlignment="1">
      <alignment horizontal="center" vertical="top"/>
    </xf>
    <xf numFmtId="0" fontId="19" fillId="34" borderId="0" xfId="0" applyFont="1" applyFill="1" applyAlignment="1">
      <alignment horizontal="center" vertical="top"/>
    </xf>
    <xf numFmtId="43" fontId="19" fillId="34" borderId="0" xfId="1" applyFont="1" applyFill="1" applyAlignment="1">
      <alignment horizontal="center" vertical="top"/>
    </xf>
    <xf numFmtId="9" fontId="19" fillId="34" borderId="0" xfId="2" applyFont="1" applyFill="1" applyAlignment="1">
      <alignment horizontal="center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0"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ont>
        <name val="Segoe UI"/>
        <family val="2"/>
        <scheme val="none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9"/>
      <tableStyleElement type="headerRow" dxfId="1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fly Maliangkay (Lazada Indonesia)" refreshedDate="42815.621555902777" createdVersion="6" refreshedVersion="6" minRefreshableVersion="3" recordCount="256">
  <cacheSource type="worksheet">
    <worksheetSource ref="A3:T259" sheet="BU Breakdown"/>
  </cacheSource>
  <cacheFields count="20">
    <cacheField name="formula" numFmtId="0">
      <sharedItems/>
    </cacheField>
    <cacheField name="shipment_scheme" numFmtId="0">
      <sharedItems count="8">
        <s v="NA"/>
        <s v="Direct Billing"/>
        <s v="Master Account"/>
        <s v="Retail"/>
        <s v="FBL"/>
        <s v="Cross Border"/>
        <s v="Return"/>
        <s v="Go-Jek" u="1"/>
      </sharedItems>
    </cacheField>
    <cacheField name="zone_type" numFmtId="0">
      <sharedItems/>
    </cacheField>
    <cacheField name="weight_bucket" numFmtId="0">
      <sharedItems count="8">
        <s v="1-2 Kg"/>
        <s v="3 Kg"/>
        <s v="4 Kg"/>
        <s v="5 Kg"/>
        <s v="6 Kg"/>
        <s v="7 Kg"/>
        <s v="8 Kg and above"/>
        <s v="&lt;= 0.17"/>
      </sharedItems>
    </cacheField>
    <cacheField name="before" numFmtId="43">
      <sharedItems containsSemiMixedTypes="0" containsString="0" containsNumber="1" minValue="0" maxValue="59886689768.25"/>
    </cacheField>
    <cacheField name="after" numFmtId="43">
      <sharedItems containsSemiMixedTypes="0" containsString="0" containsNumber="1" minValue="0" maxValue="58080898260.529999"/>
    </cacheField>
    <cacheField name="delta" numFmtId="43">
      <sharedItems containsSemiMixedTypes="0" containsString="0" containsNumber="1" minValue="-4185223288.2399979" maxValue="8664352484.6800003"/>
    </cacheField>
    <cacheField name="delta %" numFmtId="9">
      <sharedItems containsSemiMixedTypes="0" containsString="0" containsNumber="1" minValue="-7.2593245087985903" maxValue="1"/>
    </cacheField>
    <cacheField name="before2" numFmtId="43">
      <sharedItems containsSemiMixedTypes="0" containsString="0" containsNumber="1" containsInteger="1" minValue="0" maxValue="530128"/>
    </cacheField>
    <cacheField name="after2" numFmtId="43">
      <sharedItems containsSemiMixedTypes="0" containsString="0" containsNumber="1" containsInteger="1" minValue="0" maxValue="466496"/>
    </cacheField>
    <cacheField name="delta2" numFmtId="43">
      <sharedItems containsSemiMixedTypes="0" containsString="0" containsNumber="1" containsInteger="1" minValue="-63632" maxValue="25986"/>
    </cacheField>
    <cacheField name="delta %2" numFmtId="9">
      <sharedItems containsSemiMixedTypes="0" containsString="0" containsNumber="1" minValue="-6" maxValue="1"/>
    </cacheField>
    <cacheField name="before3" numFmtId="43">
      <sharedItems containsSemiMixedTypes="0" containsString="0" containsNumber="1" containsInteger="1" minValue="0" maxValue="668434"/>
    </cacheField>
    <cacheField name="after3" numFmtId="43">
      <sharedItems containsSemiMixedTypes="0" containsString="0" containsNumber="1" containsInteger="1" minValue="0" maxValue="584078"/>
    </cacheField>
    <cacheField name="delta3" numFmtId="43">
      <sharedItems containsSemiMixedTypes="0" containsString="0" containsNumber="1" containsInteger="1" minValue="-84356" maxValue="31030"/>
    </cacheField>
    <cacheField name="delta %3" numFmtId="9">
      <sharedItems containsSemiMixedTypes="0" containsString="0" containsNumber="1" minValue="-18" maxValue="1"/>
    </cacheField>
    <cacheField name="before4" numFmtId="43">
      <sharedItems containsSemiMixedTypes="0" containsString="0" containsNumber="1" minValue="-4634883886.3500004" maxValue="134413169.10820001"/>
    </cacheField>
    <cacheField name="after4" numFmtId="43">
      <sharedItems containsSemiMixedTypes="0" containsString="0" containsNumber="1" minValue="-3164106384.7929001" maxValue="160063473.35569999"/>
    </cacheField>
    <cacheField name="delta4" numFmtId="43">
      <sharedItems containsSemiMixedTypes="0" containsString="0" containsNumber="1" minValue="-188160399.91" maxValue="1470777501.5571003"/>
    </cacheField>
    <cacheField name="delta %4" numFmtId="9">
      <sharedItems containsSemiMixedTypes="0" containsString="0" containsNumber="1" minValue="-87.912433155080208" maxValue="1.9411587303823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s v="001-2 Kg"/>
    <x v="0"/>
    <s v="Old paid district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003 Kg"/>
    <x v="0"/>
    <s v="Old paid district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004 Kg"/>
    <x v="0"/>
    <s v="Old paid district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005 Kg"/>
    <x v="0"/>
    <s v="Old paid district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006 Kg"/>
    <x v="0"/>
    <s v="Old paid district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007 Kg"/>
    <x v="0"/>
    <s v="Old paid district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008 Kg and above"/>
    <x v="0"/>
    <s v="Old paid district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00&lt;= 0.17"/>
    <x v="0"/>
    <s v="Old paid district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011-2 Kg"/>
    <x v="0"/>
    <s v="New paid - full price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013 Kg"/>
    <x v="0"/>
    <s v="New paid - full price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014 Kg"/>
    <x v="0"/>
    <s v="New paid - full price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015 Kg"/>
    <x v="0"/>
    <s v="New paid - full price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016 Kg"/>
    <x v="0"/>
    <s v="New paid - full price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017 Kg"/>
    <x v="0"/>
    <s v="New paid - full price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018 Kg and above"/>
    <x v="0"/>
    <s v="New paid - full price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01&lt;= 0.17"/>
    <x v="0"/>
    <s v="New paid - full price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021-2 Kg"/>
    <x v="0"/>
    <s v="New paid - half price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023 Kg"/>
    <x v="0"/>
    <s v="New paid - half price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024 Kg"/>
    <x v="0"/>
    <s v="New paid - half price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025 Kg"/>
    <x v="0"/>
    <s v="New paid - half price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026 Kg"/>
    <x v="0"/>
    <s v="New paid - half price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027 Kg"/>
    <x v="0"/>
    <s v="New paid - half price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028 Kg and above"/>
    <x v="0"/>
    <s v="New paid - half price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02&lt;= 0.17"/>
    <x v="0"/>
    <s v="New paid - half price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031-2 Kg"/>
    <x v="0"/>
    <s v="Free district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033 Kg"/>
    <x v="0"/>
    <s v="Free district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034 Kg"/>
    <x v="0"/>
    <s v="Free district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035 Kg"/>
    <x v="0"/>
    <s v="Free district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036 Kg"/>
    <x v="0"/>
    <s v="Free district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037 Kg"/>
    <x v="0"/>
    <s v="Free district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038 Kg and above"/>
    <x v="0"/>
    <s v="Free district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03&lt;= 0.17"/>
    <x v="0"/>
    <s v="Free district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041-2 Kg"/>
    <x v="0"/>
    <s v="Jabodetabek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043 Kg"/>
    <x v="0"/>
    <s v="Jabodetabek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044 Kg"/>
    <x v="0"/>
    <s v="Jabodetabek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045 Kg"/>
    <x v="0"/>
    <s v="Jabodetabek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046 Kg"/>
    <x v="0"/>
    <s v="Jabodetabek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047 Kg"/>
    <x v="0"/>
    <s v="Jabodetabek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048 Kg and above"/>
    <x v="0"/>
    <s v="Jabodetabek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04&lt;= 0.17"/>
    <x v="0"/>
    <s v="Jabodetabek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101-2 Kg"/>
    <x v="1"/>
    <s v="Old paid district"/>
    <x v="0"/>
    <n v="5494538403.2799997"/>
    <n v="5030074469.71"/>
    <n v="-464463933.56999969"/>
    <n v="-9.2337387123570272E-2"/>
    <n v="16852"/>
    <n v="15681"/>
    <n v="-1171"/>
    <n v="-7.4676359926025129E-2"/>
    <n v="19809"/>
    <n v="18308"/>
    <n v="-1501"/>
    <n v="-8.1986017041730391E-2"/>
    <n v="-28327250"/>
    <n v="-30592750"/>
    <n v="-2265500"/>
    <n v="7.4053493066167639E-2"/>
  </r>
  <r>
    <s v="103 Kg"/>
    <x v="1"/>
    <s v="Old paid district"/>
    <x v="1"/>
    <n v="344599169.98000002"/>
    <n v="274329840.58999997"/>
    <n v="-70269329.390000045"/>
    <n v="-0.25614905487085221"/>
    <n v="508"/>
    <n v="519"/>
    <n v="11"/>
    <n v="2.119460500963391E-2"/>
    <n v="819"/>
    <n v="848"/>
    <n v="29"/>
    <n v="3.4198113207547169E-2"/>
    <n v="-5559750"/>
    <n v="-4491200"/>
    <n v="1068550"/>
    <n v="-0.23792082294264338"/>
  </r>
  <r>
    <s v="104 Kg"/>
    <x v="1"/>
    <s v="Old paid district"/>
    <x v="2"/>
    <n v="234768251.99000001"/>
    <n v="204691466.75999999"/>
    <n v="-30076785.230000019"/>
    <n v="-0.14693717186200508"/>
    <n v="279"/>
    <n v="290"/>
    <n v="11"/>
    <n v="3.793103448275862E-2"/>
    <n v="476"/>
    <n v="541"/>
    <n v="65"/>
    <n v="0.12014787430683918"/>
    <n v="-5377400"/>
    <n v="-5881400"/>
    <n v="-504000"/>
    <n v="8.5693882408950248E-2"/>
  </r>
  <r>
    <s v="105 Kg"/>
    <x v="1"/>
    <s v="Old paid district"/>
    <x v="3"/>
    <n v="179585289.55000001"/>
    <n v="253057414"/>
    <n v="73472124.449999988"/>
    <n v="0.29033776678836998"/>
    <n v="130"/>
    <n v="161"/>
    <n v="31"/>
    <n v="0.19254658385093168"/>
    <n v="242"/>
    <n v="311"/>
    <n v="69"/>
    <n v="0.22186495176848875"/>
    <n v="-3992000"/>
    <n v="-4822900"/>
    <n v="-830900"/>
    <n v="0.17228223682846419"/>
  </r>
  <r>
    <s v="106 Kg"/>
    <x v="1"/>
    <s v="Old paid district"/>
    <x v="4"/>
    <n v="149778381"/>
    <n v="112698632"/>
    <n v="-37079749"/>
    <n v="-0.32901685088777299"/>
    <n v="88"/>
    <n v="71"/>
    <n v="-17"/>
    <n v="-0.23943661971830985"/>
    <n v="152"/>
    <n v="147"/>
    <n v="-5"/>
    <n v="-3.4013605442176874E-2"/>
    <n v="-3225850"/>
    <n v="-2721500"/>
    <n v="504350"/>
    <n v="-0.18532059525996694"/>
  </r>
  <r>
    <s v="107 Kg"/>
    <x v="1"/>
    <s v="Old paid district"/>
    <x v="5"/>
    <n v="80468534"/>
    <n v="72423750"/>
    <n v="-8044784"/>
    <n v="-0.1110793627780942"/>
    <n v="40"/>
    <n v="39"/>
    <n v="-1"/>
    <n v="-2.564102564102564E-2"/>
    <n v="65"/>
    <n v="74"/>
    <n v="9"/>
    <n v="0.12162162162162163"/>
    <n v="-1519950"/>
    <n v="-1706650"/>
    <n v="-186700"/>
    <n v="0.10939559956640202"/>
  </r>
  <r>
    <s v="108 Kg and above"/>
    <x v="1"/>
    <s v="Old paid district"/>
    <x v="6"/>
    <n v="440267014.44"/>
    <n v="330115653"/>
    <n v="-110151361.44"/>
    <n v="-0.3336750633875577"/>
    <n v="173"/>
    <n v="165"/>
    <n v="-8"/>
    <n v="-4.8484848484848485E-2"/>
    <n v="316"/>
    <n v="300"/>
    <n v="-16"/>
    <n v="-5.3333333333333337E-2"/>
    <n v="-24767950"/>
    <n v="-25639900"/>
    <n v="-871950"/>
    <n v="3.4007542931134678E-2"/>
  </r>
  <r>
    <s v="10&lt;= 0.17"/>
    <x v="1"/>
    <s v="Old paid district"/>
    <x v="7"/>
    <n v="63103114.119999997"/>
    <n v="68543212.430000007"/>
    <n v="5440098.3100000098"/>
    <n v="7.9367425557355209E-2"/>
    <n v="529"/>
    <n v="609"/>
    <n v="80"/>
    <n v="0.13136288998357964"/>
    <n v="721"/>
    <n v="862"/>
    <n v="141"/>
    <n v="0.16357308584686775"/>
    <n v="0"/>
    <n v="0"/>
    <n v="0"/>
    <n v="0"/>
  </r>
  <r>
    <s v="111-2 Kg"/>
    <x v="1"/>
    <s v="New paid - full price"/>
    <x v="0"/>
    <n v="1225520166.1800001"/>
    <n v="1123808714.3900001"/>
    <n v="-101711451.78999996"/>
    <n v="-9.0506018050597353E-2"/>
    <n v="4614"/>
    <n v="4008"/>
    <n v="-606"/>
    <n v="-0.15119760479041916"/>
    <n v="5354"/>
    <n v="4610"/>
    <n v="-744"/>
    <n v="-0.16138828633405639"/>
    <n v="7144500"/>
    <n v="6089333.3300000001"/>
    <n v="-1055166.67"/>
    <n v="-0.17328114800376676"/>
  </r>
  <r>
    <s v="113 Kg"/>
    <x v="1"/>
    <s v="New paid - full price"/>
    <x v="1"/>
    <n v="56141924.130000003"/>
    <n v="71621109.299999997"/>
    <n v="15479185.169999994"/>
    <n v="0.21612601817101421"/>
    <n v="132"/>
    <n v="139"/>
    <n v="7"/>
    <n v="5.0359712230215826E-2"/>
    <n v="200"/>
    <n v="217"/>
    <n v="17"/>
    <n v="7.8341013824884786E-2"/>
    <n v="-405750"/>
    <n v="-463500"/>
    <n v="-57750"/>
    <n v="0.12459546925566344"/>
  </r>
  <r>
    <s v="114 Kg"/>
    <x v="1"/>
    <s v="New paid - full price"/>
    <x v="2"/>
    <n v="32865661.600000001"/>
    <n v="40007700"/>
    <n v="7142038.3999999985"/>
    <n v="0.17851659555535557"/>
    <n v="57"/>
    <n v="52"/>
    <n v="-5"/>
    <n v="-9.6153846153846159E-2"/>
    <n v="85"/>
    <n v="101"/>
    <n v="16"/>
    <n v="0.15841584158415842"/>
    <n v="-692000"/>
    <n v="-423500"/>
    <n v="268500"/>
    <n v="-0.63400236127508858"/>
  </r>
  <r>
    <s v="115 Kg"/>
    <x v="1"/>
    <s v="New paid - full price"/>
    <x v="3"/>
    <n v="38474120"/>
    <n v="28216810"/>
    <n v="-10257310"/>
    <n v="-0.36351770451727178"/>
    <n v="49"/>
    <n v="30"/>
    <n v="-19"/>
    <n v="-0.6333333333333333"/>
    <n v="86"/>
    <n v="55"/>
    <n v="-31"/>
    <n v="-0.5636363636363636"/>
    <n v="-748000"/>
    <n v="-512500"/>
    <n v="235500"/>
    <n v="-0.45951219512195124"/>
  </r>
  <r>
    <s v="116 Kg"/>
    <x v="1"/>
    <s v="New paid - full price"/>
    <x v="4"/>
    <n v="23853590"/>
    <n v="23608573"/>
    <n v="-245017"/>
    <n v="-1.0378306219524578E-2"/>
    <n v="17"/>
    <n v="18"/>
    <n v="1"/>
    <n v="5.5555555555555552E-2"/>
    <n v="19"/>
    <n v="24"/>
    <n v="5"/>
    <n v="0.20833333333333334"/>
    <n v="-369500"/>
    <n v="-309000"/>
    <n v="60500"/>
    <n v="-0.19579288025889968"/>
  </r>
  <r>
    <s v="117 Kg"/>
    <x v="1"/>
    <s v="New paid - full price"/>
    <x v="5"/>
    <n v="25130230"/>
    <n v="3042649.55"/>
    <n v="-22087580.449999999"/>
    <n v="-7.2593245087985903"/>
    <n v="19"/>
    <n v="4"/>
    <n v="-15"/>
    <n v="-3.75"/>
    <n v="32"/>
    <n v="5"/>
    <n v="-27"/>
    <n v="-5.4"/>
    <n v="-329500"/>
    <n v="-160250"/>
    <n v="169250"/>
    <n v="-1.0561622464898597"/>
  </r>
  <r>
    <s v="118 Kg and above"/>
    <x v="1"/>
    <s v="New paid - full price"/>
    <x v="6"/>
    <n v="73183549.319999993"/>
    <n v="99150685"/>
    <n v="25967135.680000007"/>
    <n v="0.26189567606113873"/>
    <n v="49"/>
    <n v="42"/>
    <n v="-7"/>
    <n v="-0.16666666666666666"/>
    <n v="66"/>
    <n v="66"/>
    <n v="0"/>
    <n v="0"/>
    <n v="-5063500"/>
    <n v="-3940500"/>
    <n v="1123000"/>
    <n v="-0.28498921456667936"/>
  </r>
  <r>
    <s v="11&lt;= 0.17"/>
    <x v="1"/>
    <s v="New paid - full price"/>
    <x v="7"/>
    <n v="18938203.07"/>
    <n v="24758235.809999999"/>
    <n v="5820032.7399999984"/>
    <n v="0.23507461455105991"/>
    <n v="150"/>
    <n v="179"/>
    <n v="29"/>
    <n v="0.16201117318435754"/>
    <n v="192"/>
    <n v="284"/>
    <n v="92"/>
    <n v="0.323943661971831"/>
    <n v="49999.99"/>
    <n v="50000"/>
    <n v="1.0000000002037268E-2"/>
    <n v="2.0000000004074537E-7"/>
  </r>
  <r>
    <s v="121-2 Kg"/>
    <x v="1"/>
    <s v="New paid - half price"/>
    <x v="0"/>
    <n v="3195114376.3000002"/>
    <n v="2804364246.75"/>
    <n v="-390750129.55000019"/>
    <n v="-0.13933643962364861"/>
    <n v="13376"/>
    <n v="11957"/>
    <n v="-1419"/>
    <n v="-0.11867525298988041"/>
    <n v="15819"/>
    <n v="14028"/>
    <n v="-1791"/>
    <n v="-0.12767322497861419"/>
    <n v="-73890400"/>
    <n v="-65434100"/>
    <n v="8456300"/>
    <n v="-0.1292338398480303"/>
  </r>
  <r>
    <s v="123 Kg"/>
    <x v="1"/>
    <s v="New paid - half price"/>
    <x v="1"/>
    <n v="219652517.31999999"/>
    <n v="158205819.63999999"/>
    <n v="-61446697.680000007"/>
    <n v="-0.38839720194758326"/>
    <n v="464"/>
    <n v="384"/>
    <n v="-80"/>
    <n v="-0.20833333333333334"/>
    <n v="764"/>
    <n v="621"/>
    <n v="-143"/>
    <n v="-0.23027375201288244"/>
    <n v="-8382200"/>
    <n v="-7226000"/>
    <n v="1156200"/>
    <n v="-0.16000553556601163"/>
  </r>
  <r>
    <s v="124 Kg"/>
    <x v="1"/>
    <s v="New paid - half price"/>
    <x v="2"/>
    <n v="148682509.81999999"/>
    <n v="129811151.66"/>
    <n v="-18871358.159999996"/>
    <n v="-0.14537547752004898"/>
    <n v="244"/>
    <n v="232"/>
    <n v="-12"/>
    <n v="-5.1724137931034482E-2"/>
    <n v="396"/>
    <n v="413"/>
    <n v="17"/>
    <n v="4.1162227602905568E-2"/>
    <n v="-7785000"/>
    <n v="-8026400"/>
    <n v="-241400"/>
    <n v="3.0075750024917771E-2"/>
  </r>
  <r>
    <s v="125 Kg"/>
    <x v="1"/>
    <s v="New paid - half price"/>
    <x v="3"/>
    <n v="118321634"/>
    <n v="111998233.23"/>
    <n v="-6323400.7699999958"/>
    <n v="-5.6459826085061858E-2"/>
    <n v="153"/>
    <n v="126"/>
    <n v="-27"/>
    <n v="-0.21428571428571427"/>
    <n v="336"/>
    <n v="255"/>
    <n v="-81"/>
    <n v="-0.31764705882352939"/>
    <n v="-6663000"/>
    <n v="-5286000"/>
    <n v="1377000"/>
    <n v="-0.26049943246311008"/>
  </r>
  <r>
    <s v="126 Kg"/>
    <x v="1"/>
    <s v="New paid - half price"/>
    <x v="4"/>
    <n v="74629290"/>
    <n v="67346123.769999996"/>
    <n v="-7283166.2300000042"/>
    <n v="-0.1081452921458913"/>
    <n v="70"/>
    <n v="72"/>
    <n v="2"/>
    <n v="2.7777777777777776E-2"/>
    <n v="132"/>
    <n v="160"/>
    <n v="28"/>
    <n v="0.17499999999999999"/>
    <n v="-3769000"/>
    <n v="-3454200"/>
    <n v="314800"/>
    <n v="-9.1135429332406925E-2"/>
  </r>
  <r>
    <s v="127 Kg"/>
    <x v="1"/>
    <s v="New paid - half price"/>
    <x v="5"/>
    <n v="47250503.119999997"/>
    <n v="60358866"/>
    <n v="13108362.880000003"/>
    <n v="0.21717377659149531"/>
    <n v="40"/>
    <n v="39"/>
    <n v="-1"/>
    <n v="-2.564102564102564E-2"/>
    <n v="76"/>
    <n v="70"/>
    <n v="-6"/>
    <n v="-8.5714285714285715E-2"/>
    <n v="-2386900"/>
    <n v="-2272000"/>
    <n v="114900"/>
    <n v="-5.0572183098591551E-2"/>
  </r>
  <r>
    <s v="128 Kg and above"/>
    <x v="1"/>
    <s v="New paid - half price"/>
    <x v="6"/>
    <n v="223404115.72999999"/>
    <n v="251193371.19999999"/>
    <n v="27789255.469999999"/>
    <n v="0.11062893633396963"/>
    <n v="173"/>
    <n v="190"/>
    <n v="17"/>
    <n v="8.9473684210526316E-2"/>
    <n v="286"/>
    <n v="287"/>
    <n v="1"/>
    <n v="3.4843205574912892E-3"/>
    <n v="-29900500"/>
    <n v="-29746000"/>
    <n v="154500"/>
    <n v="-5.1939756605930212E-3"/>
  </r>
  <r>
    <s v="12&lt;= 0.17"/>
    <x v="1"/>
    <s v="New paid - half price"/>
    <x v="7"/>
    <n v="36863762.130000003"/>
    <n v="46821477.359999999"/>
    <n v="9957715.2299999967"/>
    <n v="0.21267409299021736"/>
    <n v="376"/>
    <n v="452"/>
    <n v="76"/>
    <n v="0.16814159292035399"/>
    <n v="491"/>
    <n v="594"/>
    <n v="103"/>
    <n v="0.17340067340067339"/>
    <n v="0"/>
    <n v="0"/>
    <n v="0"/>
    <n v="0"/>
  </r>
  <r>
    <s v="131-2 Kg"/>
    <x v="1"/>
    <s v="Free district"/>
    <x v="0"/>
    <n v="11634854403.75"/>
    <n v="10040032943.57"/>
    <n v="-1594821460.1800003"/>
    <n v="-0.15884623777070189"/>
    <n v="61502"/>
    <n v="52758"/>
    <n v="-8744"/>
    <n v="-0.16573789757003676"/>
    <n v="75075"/>
    <n v="64396"/>
    <n v="-10679"/>
    <n v="-0.16583328157028387"/>
    <n v="-1026595136.41"/>
    <n v="-862488777.82000005"/>
    <n v="164106358.58999991"/>
    <n v="-0.19027071749824973"/>
  </r>
  <r>
    <s v="133 Kg"/>
    <x v="1"/>
    <s v="Free district"/>
    <x v="1"/>
    <n v="852138390.50999999"/>
    <n v="709766196.97000003"/>
    <n v="-142372193.53999996"/>
    <n v="-0.20059027063811785"/>
    <n v="2272"/>
    <n v="2157"/>
    <n v="-115"/>
    <n v="-5.331478905887807E-2"/>
    <n v="4167"/>
    <n v="4059"/>
    <n v="-108"/>
    <n v="-2.6607538802660754E-2"/>
    <n v="-75850110.189999998"/>
    <n v="-72999303.510000005"/>
    <n v="2850806.6799999923"/>
    <n v="-3.9052518899847677E-2"/>
  </r>
  <r>
    <s v="134 Kg"/>
    <x v="1"/>
    <s v="Free district"/>
    <x v="2"/>
    <n v="570383406.87"/>
    <n v="587369078.25999999"/>
    <n v="16985671.389999986"/>
    <n v="2.8918225386187674E-2"/>
    <n v="1687"/>
    <n v="1967"/>
    <n v="280"/>
    <n v="0.14234875444839859"/>
    <n v="3610"/>
    <n v="4194"/>
    <n v="584"/>
    <n v="0.13924654268001907"/>
    <n v="-112322272.72"/>
    <n v="-144363668.44999999"/>
    <n v="-32041395.729999989"/>
    <n v="0.22194916542382995"/>
  </r>
  <r>
    <s v="135 Kg"/>
    <x v="1"/>
    <s v="Free district"/>
    <x v="3"/>
    <n v="495382185.63"/>
    <n v="500931303.07999998"/>
    <n v="5549117.4499999881"/>
    <n v="1.1077601690852567E-2"/>
    <n v="680"/>
    <n v="645"/>
    <n v="-35"/>
    <n v="-5.4263565891472867E-2"/>
    <n v="2169"/>
    <n v="1909"/>
    <n v="-260"/>
    <n v="-0.13619696176008381"/>
    <n v="-39179333.32"/>
    <n v="-35685633.329999998"/>
    <n v="3493699.9900000021"/>
    <n v="-9.7902143355346818E-2"/>
  </r>
  <r>
    <s v="136 Kg"/>
    <x v="1"/>
    <s v="Free district"/>
    <x v="4"/>
    <n v="255816701.75999999"/>
    <n v="227526560.19999999"/>
    <n v="-28290141.560000002"/>
    <n v="-0.12433775439286057"/>
    <n v="289"/>
    <n v="1041"/>
    <n v="752"/>
    <n v="0.72238232468780017"/>
    <n v="740"/>
    <n v="2981"/>
    <n v="2241"/>
    <n v="0.75176115397517607"/>
    <n v="-19432827.600000001"/>
    <n v="-151978666.63999999"/>
    <n v="-132545839.03999999"/>
    <n v="0.87213450394303316"/>
  </r>
  <r>
    <s v="137 Kg"/>
    <x v="1"/>
    <s v="Free district"/>
    <x v="5"/>
    <n v="163411558.21000001"/>
    <n v="196490908.66999999"/>
    <n v="33079350.459999979"/>
    <n v="0.16835053939088682"/>
    <n v="145"/>
    <n v="137"/>
    <n v="-8"/>
    <n v="-5.8394160583941604E-2"/>
    <n v="352"/>
    <n v="400"/>
    <n v="48"/>
    <n v="0.12"/>
    <n v="-6539000"/>
    <n v="-7882000"/>
    <n v="-1343000"/>
    <n v="0.17038822633849277"/>
  </r>
  <r>
    <s v="138 Kg and above"/>
    <x v="1"/>
    <s v="Free district"/>
    <x v="6"/>
    <n v="863499751.28999996"/>
    <n v="1232585536.8"/>
    <n v="369085785.50999999"/>
    <n v="0.29944030210528755"/>
    <n v="960"/>
    <n v="1141"/>
    <n v="181"/>
    <n v="0.15863277826468011"/>
    <n v="5213"/>
    <n v="8968"/>
    <n v="3755"/>
    <n v="0.41871097234611954"/>
    <n v="-225942079.53"/>
    <n v="-414102479.44"/>
    <n v="-188160399.91"/>
    <n v="0.4543812443829206"/>
  </r>
  <r>
    <s v="13&lt;= 0.17"/>
    <x v="1"/>
    <s v="Free district"/>
    <x v="7"/>
    <n v="152308532.53"/>
    <n v="136964051.03"/>
    <n v="-15344481.5"/>
    <n v="-0.11203291217371347"/>
    <n v="1241"/>
    <n v="1198"/>
    <n v="-43"/>
    <n v="-3.589315525876461E-2"/>
    <n v="1598"/>
    <n v="1547"/>
    <n v="-51"/>
    <n v="-3.2967032967032968E-2"/>
    <n v="386666.67"/>
    <n v="1221666.67"/>
    <n v="835000"/>
    <n v="0.68349249472444074"/>
  </r>
  <r>
    <s v="141-2 Kg"/>
    <x v="1"/>
    <s v="Jabodetabek"/>
    <x v="0"/>
    <n v="27417298032.130001"/>
    <n v="25153814187.290001"/>
    <n v="-2263483844.8400002"/>
    <n v="-8.9985710635634666E-2"/>
    <n v="111312"/>
    <n v="99786"/>
    <n v="-11526"/>
    <n v="-0.11550718537670615"/>
    <n v="135024"/>
    <n v="119887"/>
    <n v="-15137"/>
    <n v="-0.12626056202924421"/>
    <n v="-422266666.64999998"/>
    <n v="-359821999.93000001"/>
    <n v="62444666.719999969"/>
    <n v="-0.1735432150678613"/>
  </r>
  <r>
    <s v="143 Kg"/>
    <x v="1"/>
    <s v="Jabodetabek"/>
    <x v="1"/>
    <n v="1680184809.76"/>
    <n v="1839521678.1600001"/>
    <n v="159336868.4000001"/>
    <n v="8.6618641297763005E-2"/>
    <n v="4496"/>
    <n v="4589"/>
    <n v="93"/>
    <n v="2.0265853127042929E-2"/>
    <n v="7671"/>
    <n v="7776"/>
    <n v="105"/>
    <n v="1.3503086419753086E-2"/>
    <n v="-46026999.939999998"/>
    <n v="-43252999.780000001"/>
    <n v="2774000.1599999964"/>
    <n v="-6.413428372851683E-2"/>
  </r>
  <r>
    <s v="144 Kg"/>
    <x v="1"/>
    <s v="Jabodetabek"/>
    <x v="2"/>
    <n v="1383030817.0599999"/>
    <n v="1442407647.9400001"/>
    <n v="59376830.880000114"/>
    <n v="4.1165083230666574E-2"/>
    <n v="2501"/>
    <n v="2579"/>
    <n v="78"/>
    <n v="3.0244280728964713E-2"/>
    <n v="4732"/>
    <n v="4894"/>
    <n v="162"/>
    <n v="3.3101757253780138E-2"/>
    <n v="-37765500"/>
    <n v="-41418000"/>
    <n v="-3652500"/>
    <n v="8.8186295813414459E-2"/>
  </r>
  <r>
    <s v="145 Kg"/>
    <x v="1"/>
    <s v="Jabodetabek"/>
    <x v="3"/>
    <n v="1171881081.1500001"/>
    <n v="1663775118.22"/>
    <n v="491894037.06999993"/>
    <n v="0.29564935289827859"/>
    <n v="1557"/>
    <n v="1675"/>
    <n v="118"/>
    <n v="7.0447761194029845E-2"/>
    <n v="3764"/>
    <n v="3979"/>
    <n v="215"/>
    <n v="5.4033676803216892E-2"/>
    <n v="-25615999.989999998"/>
    <n v="-27996000"/>
    <n v="-2380000.0100000016"/>
    <n v="8.5012144949278529E-2"/>
  </r>
  <r>
    <s v="146 Kg"/>
    <x v="1"/>
    <s v="Jabodetabek"/>
    <x v="4"/>
    <n v="919171139.07000005"/>
    <n v="1034410547"/>
    <n v="115239407.92999995"/>
    <n v="0.11140587097088053"/>
    <n v="747"/>
    <n v="812"/>
    <n v="65"/>
    <n v="8.0049261083743842E-2"/>
    <n v="1518"/>
    <n v="1800"/>
    <n v="282"/>
    <n v="0.15666666666666668"/>
    <n v="-16076000"/>
    <n v="-20366000"/>
    <n v="-4290000"/>
    <n v="0.21064519296867329"/>
  </r>
  <r>
    <s v="147 Kg"/>
    <x v="1"/>
    <s v="Jabodetabek"/>
    <x v="5"/>
    <n v="1742300601.76"/>
    <n v="1559952017.3099999"/>
    <n v="-182348584.45000005"/>
    <n v="-0.11689371366976027"/>
    <n v="592"/>
    <n v="662"/>
    <n v="70"/>
    <n v="0.10574018126888217"/>
    <n v="869"/>
    <n v="1081"/>
    <n v="212"/>
    <n v="0.19611470860314523"/>
    <n v="-6182000"/>
    <n v="-7002000"/>
    <n v="-820000"/>
    <n v="0.11710939731505285"/>
  </r>
  <r>
    <s v="148 Kg and above"/>
    <x v="1"/>
    <s v="Jabodetabek"/>
    <x v="6"/>
    <n v="5823008717.5"/>
    <n v="6847044079.2399998"/>
    <n v="1024035361.7399998"/>
    <n v="0.14955875117626882"/>
    <n v="2164"/>
    <n v="2205"/>
    <n v="41"/>
    <n v="1.8594104308390022E-2"/>
    <n v="4273"/>
    <n v="5272"/>
    <n v="999"/>
    <n v="0.18949165402124432"/>
    <n v="-47784000"/>
    <n v="-64610000"/>
    <n v="-16826000"/>
    <n v="0.2604240829592942"/>
  </r>
  <r>
    <s v="14&lt;= 0.17"/>
    <x v="1"/>
    <s v="Jabodetabek"/>
    <x v="7"/>
    <n v="1590265965.5999999"/>
    <n v="1777082008.3699999"/>
    <n v="186816042.76999998"/>
    <n v="0.10512516692538799"/>
    <n v="2744"/>
    <n v="2737"/>
    <n v="-7"/>
    <n v="-2.5575447570332483E-3"/>
    <n v="3308"/>
    <n v="3359"/>
    <n v="51"/>
    <n v="1.5183090205418279E-2"/>
    <n v="735833.39"/>
    <n v="1926666.69"/>
    <n v="1190833.2999999998"/>
    <n v="0.61807955998865582"/>
  </r>
  <r>
    <s v="201-2 Kg"/>
    <x v="2"/>
    <s v="Old paid district"/>
    <x v="0"/>
    <n v="7731996070.2299995"/>
    <n v="7673319660.6999998"/>
    <n v="-58676409.529999733"/>
    <n v="-7.6468089594285155E-3"/>
    <n v="38255"/>
    <n v="34793"/>
    <n v="-3462"/>
    <n v="-9.9502773546403009E-2"/>
    <n v="45192"/>
    <n v="41112"/>
    <n v="-4080"/>
    <n v="-9.9241097489784005E-2"/>
    <n v="134413169.10820001"/>
    <n v="160063473.35569999"/>
    <n v="25650304.247499973"/>
    <n v="0.16025082868531007"/>
  </r>
  <r>
    <s v="203 Kg"/>
    <x v="2"/>
    <s v="Old paid district"/>
    <x v="1"/>
    <n v="426001380.60000002"/>
    <n v="466009538.04000002"/>
    <n v="40008157.439999998"/>
    <n v="8.5852657883937755E-2"/>
    <n v="1159"/>
    <n v="1098"/>
    <n v="-61"/>
    <n v="-5.5555555555555552E-2"/>
    <n v="1986"/>
    <n v="1863"/>
    <n v="-123"/>
    <n v="-6.602254428341385E-2"/>
    <n v="9552079"/>
    <n v="10095308"/>
    <n v="543229"/>
    <n v="5.3810047202125975E-2"/>
  </r>
  <r>
    <s v="204 Kg"/>
    <x v="2"/>
    <s v="Old paid district"/>
    <x v="2"/>
    <n v="409794484.30000001"/>
    <n v="369305421.98000002"/>
    <n v="-40489062.319999993"/>
    <n v="-0.10963571047216497"/>
    <n v="454"/>
    <n v="394"/>
    <n v="-60"/>
    <n v="-0.15228426395939088"/>
    <n v="920"/>
    <n v="835"/>
    <n v="-85"/>
    <n v="-0.10179640718562874"/>
    <n v="3909893.9712"/>
    <n v="3946231.5580000002"/>
    <n v="36337.586800000165"/>
    <n v="9.2081739923078696E-3"/>
  </r>
  <r>
    <s v="205 Kg"/>
    <x v="2"/>
    <s v="Old paid district"/>
    <x v="3"/>
    <n v="187450942.72999999"/>
    <n v="261517162.55000001"/>
    <n v="74066219.820000023"/>
    <n v="0.28321743436566671"/>
    <n v="243"/>
    <n v="262"/>
    <n v="19"/>
    <n v="7.2519083969465645E-2"/>
    <n v="599"/>
    <n v="612"/>
    <n v="13"/>
    <n v="2.1241830065359478E-2"/>
    <n v="2545992.5"/>
    <n v="2342233"/>
    <n v="-203759.5"/>
    <n v="-8.6993693624844326E-2"/>
  </r>
  <r>
    <s v="206 Kg"/>
    <x v="2"/>
    <s v="Old paid district"/>
    <x v="4"/>
    <n v="89209287.310000002"/>
    <n v="86539694.310000002"/>
    <n v="-2669593"/>
    <n v="-3.0848190778639231E-2"/>
    <n v="97"/>
    <n v="100"/>
    <n v="3"/>
    <n v="0.03"/>
    <n v="192"/>
    <n v="220"/>
    <n v="28"/>
    <n v="0.12727272727272726"/>
    <n v="551094.75"/>
    <n v="1062155.25"/>
    <n v="511060.5"/>
    <n v="0.48115423804570939"/>
  </r>
  <r>
    <s v="207 Kg"/>
    <x v="2"/>
    <s v="Old paid district"/>
    <x v="5"/>
    <n v="87024619.859999999"/>
    <n v="94139711"/>
    <n v="7115091.1400000006"/>
    <n v="7.5580125160996089E-2"/>
    <n v="57"/>
    <n v="75"/>
    <n v="18"/>
    <n v="0.24"/>
    <n v="98"/>
    <n v="128"/>
    <n v="30"/>
    <n v="0.234375"/>
    <n v="203579"/>
    <n v="765710.39950000006"/>
    <n v="562131.39950000006"/>
    <n v="0.73413055362323054"/>
  </r>
  <r>
    <s v="208 Kg and above"/>
    <x v="2"/>
    <s v="Old paid district"/>
    <x v="6"/>
    <n v="322518125.89999998"/>
    <n v="336383634.81"/>
    <n v="13865508.910000026"/>
    <n v="4.1219332557101654E-2"/>
    <n v="179"/>
    <n v="175"/>
    <n v="-4"/>
    <n v="-2.2857142857142857E-2"/>
    <n v="394"/>
    <n v="415"/>
    <n v="21"/>
    <n v="5.0602409638554217E-2"/>
    <n v="-534501.92500000005"/>
    <n v="567919"/>
    <n v="1102420.925"/>
    <n v="1.9411587303823257"/>
  </r>
  <r>
    <s v="20&lt;= 0.17"/>
    <x v="2"/>
    <s v="Old paid district"/>
    <x v="7"/>
    <n v="83051968.799999997"/>
    <n v="85780425.840000004"/>
    <n v="2728457.0400000066"/>
    <n v="3.1807455060775744E-2"/>
    <n v="1130"/>
    <n v="1202"/>
    <n v="72"/>
    <n v="5.9900166389351084E-2"/>
    <n v="1159"/>
    <n v="1247"/>
    <n v="88"/>
    <n v="7.0569366479550921E-2"/>
    <n v="-28767709.5"/>
    <n v="-30340867.5"/>
    <n v="-1573158"/>
    <n v="5.1849473321749946E-2"/>
  </r>
  <r>
    <s v="211-2 Kg"/>
    <x v="2"/>
    <s v="New paid - full price"/>
    <x v="0"/>
    <n v="2159225810.02"/>
    <n v="1978761682.48"/>
    <n v="-180464127.53999996"/>
    <n v="-9.1200536748731978E-2"/>
    <n v="12522"/>
    <n v="10571"/>
    <n v="-1951"/>
    <n v="-0.18456153627849778"/>
    <n v="14668"/>
    <n v="12296"/>
    <n v="-2372"/>
    <n v="-0.19290826284970722"/>
    <n v="41688119.962499999"/>
    <n v="48049295.659999996"/>
    <n v="6361175.6974999979"/>
    <n v="0.13238853161370145"/>
  </r>
  <r>
    <s v="213 Kg"/>
    <x v="2"/>
    <s v="New paid - full price"/>
    <x v="1"/>
    <n v="150985996.44999999"/>
    <n v="100248120.48999999"/>
    <n v="-50737875.959999993"/>
    <n v="-0.50612296481968688"/>
    <n v="350"/>
    <n v="307"/>
    <n v="-43"/>
    <n v="-0.14006514657980457"/>
    <n v="570"/>
    <n v="547"/>
    <n v="-23"/>
    <n v="-4.2047531992687383E-2"/>
    <n v="1969394.875"/>
    <n v="2494566.4700000002"/>
    <n v="525171.5950000002"/>
    <n v="0.21052619816540713"/>
  </r>
  <r>
    <s v="214 Kg"/>
    <x v="2"/>
    <s v="New paid - full price"/>
    <x v="2"/>
    <n v="98822449.340000004"/>
    <n v="63865338"/>
    <n v="-34957111.340000004"/>
    <n v="-0.54735655419219742"/>
    <n v="140"/>
    <n v="108"/>
    <n v="-32"/>
    <n v="-0.29629629629629628"/>
    <n v="270"/>
    <n v="224"/>
    <n v="-46"/>
    <n v="-0.20535714285714285"/>
    <n v="992637.25"/>
    <n v="811007.90969999996"/>
    <n v="-181629.34030000004"/>
    <n v="-0.22395507877005363"/>
  </r>
  <r>
    <s v="215 Kg"/>
    <x v="2"/>
    <s v="New paid - full price"/>
    <x v="3"/>
    <n v="64103183.159999996"/>
    <n v="58558384.600000001"/>
    <n v="-5544798.5599999949"/>
    <n v="-9.4688379774738443E-2"/>
    <n v="89"/>
    <n v="74"/>
    <n v="-15"/>
    <n v="-0.20270270270270271"/>
    <n v="238"/>
    <n v="172"/>
    <n v="-66"/>
    <n v="-0.38372093023255816"/>
    <n v="271212"/>
    <n v="506603"/>
    <n v="235391"/>
    <n v="0.46464588642388616"/>
  </r>
  <r>
    <s v="216 Kg"/>
    <x v="2"/>
    <s v="New paid - full price"/>
    <x v="4"/>
    <n v="17124674.899999999"/>
    <n v="15487671"/>
    <n v="-1637003.8999999985"/>
    <n v="-0.10569722845997946"/>
    <n v="34"/>
    <n v="22"/>
    <n v="-12"/>
    <n v="-0.54545454545454541"/>
    <n v="69"/>
    <n v="44"/>
    <n v="-25"/>
    <n v="-0.56818181818181823"/>
    <n v="210681"/>
    <n v="136624"/>
    <n v="-74057"/>
    <n v="-0.54204971308115701"/>
  </r>
  <r>
    <s v="217 Kg"/>
    <x v="2"/>
    <s v="New paid - full price"/>
    <x v="5"/>
    <n v="24422728.260000002"/>
    <n v="32469685"/>
    <n v="8046956.7399999984"/>
    <n v="0.24782983696946856"/>
    <n v="20"/>
    <n v="18"/>
    <n v="-2"/>
    <n v="-0.1111111111111111"/>
    <n v="42"/>
    <n v="30"/>
    <n v="-12"/>
    <n v="-0.4"/>
    <n v="286342"/>
    <n v="87192"/>
    <n v="-199150"/>
    <n v="-2.2840398201669876"/>
  </r>
  <r>
    <s v="218 Kg and above"/>
    <x v="2"/>
    <s v="New paid - full price"/>
    <x v="6"/>
    <n v="70954920.689999998"/>
    <n v="107677371.98999999"/>
    <n v="36722451.299999997"/>
    <n v="0.34104148923146466"/>
    <n v="57"/>
    <n v="57"/>
    <n v="0"/>
    <n v="0"/>
    <n v="131"/>
    <n v="88"/>
    <n v="-43"/>
    <n v="-0.48863636363636365"/>
    <n v="-21515"/>
    <n v="-182138.5"/>
    <n v="-160623.5"/>
    <n v="0.88187560565174306"/>
  </r>
  <r>
    <s v="21&lt;= 0.17"/>
    <x v="2"/>
    <s v="New paid - full price"/>
    <x v="7"/>
    <n v="23789442.960000001"/>
    <n v="20116914.030000001"/>
    <n v="-3672528.9299999997"/>
    <n v="-0.18255925956253635"/>
    <n v="375"/>
    <n v="365"/>
    <n v="-10"/>
    <n v="-2.7397260273972601E-2"/>
    <n v="384"/>
    <n v="371"/>
    <n v="-13"/>
    <n v="-3.5040431266846361E-2"/>
    <n v="-7291168.5"/>
    <n v="-6749109.5"/>
    <n v="542059"/>
    <n v="-8.0315632751254071E-2"/>
  </r>
  <r>
    <s v="221-2 Kg"/>
    <x v="2"/>
    <s v="New paid - half price"/>
    <x v="0"/>
    <n v="9621619301.7999992"/>
    <n v="8529883534.3800001"/>
    <n v="-1091735767.4199991"/>
    <n v="-0.12798952799527907"/>
    <n v="76316"/>
    <n v="64653"/>
    <n v="-11663"/>
    <n v="-0.18039379456483071"/>
    <n v="91068"/>
    <n v="76264"/>
    <n v="-14804"/>
    <n v="-0.19411517885240742"/>
    <n v="-33234284"/>
    <n v="44568376.25"/>
    <n v="77802660.25"/>
    <n v="1.7456920533424189"/>
  </r>
  <r>
    <s v="223 Kg"/>
    <x v="2"/>
    <s v="New paid - half price"/>
    <x v="1"/>
    <n v="553380286.59000003"/>
    <n v="562154265.47000003"/>
    <n v="8773978.8799999952"/>
    <n v="1.5607777827078015E-2"/>
    <n v="2320"/>
    <n v="1896"/>
    <n v="-424"/>
    <n v="-0.22362869198312235"/>
    <n v="4379"/>
    <n v="3230"/>
    <n v="-1149"/>
    <n v="-0.35572755417956659"/>
    <n v="-5039200.5"/>
    <n v="-2422589.1255000001"/>
    <n v="2616611.3744999999"/>
    <n v="-1.0800887971293751"/>
  </r>
  <r>
    <s v="224 Kg"/>
    <x v="2"/>
    <s v="New paid - half price"/>
    <x v="2"/>
    <n v="331373706.36000001"/>
    <n v="268154316.28999999"/>
    <n v="-63219390.070000023"/>
    <n v="-0.23575749570120794"/>
    <n v="781"/>
    <n v="592"/>
    <n v="-189"/>
    <n v="-0.31925675675675674"/>
    <n v="1750"/>
    <n v="1293"/>
    <n v="-457"/>
    <n v="-0.35344160866202629"/>
    <n v="-4201737.9000000004"/>
    <n v="-2344026"/>
    <n v="1857711.9000000004"/>
    <n v="-0.79253041561825699"/>
  </r>
  <r>
    <s v="225 Kg"/>
    <x v="2"/>
    <s v="New paid - half price"/>
    <x v="3"/>
    <n v="248410204.06999999"/>
    <n v="181949766.93000001"/>
    <n v="-66460437.139999986"/>
    <n v="-0.36526805316309502"/>
    <n v="531"/>
    <n v="417"/>
    <n v="-114"/>
    <n v="-0.2733812949640288"/>
    <n v="1238"/>
    <n v="1028"/>
    <n v="-210"/>
    <n v="-0.20428015564202334"/>
    <n v="-5436415.4375"/>
    <n v="-3678830.5"/>
    <n v="1757584.9375"/>
    <n v="-0.47775643305664667"/>
  </r>
  <r>
    <s v="226 Kg"/>
    <x v="2"/>
    <s v="New paid - half price"/>
    <x v="4"/>
    <n v="102989282.09999999"/>
    <n v="110377262.08"/>
    <n v="7387979.9800000042"/>
    <n v="6.6933894180535955E-2"/>
    <n v="207"/>
    <n v="172"/>
    <n v="-35"/>
    <n v="-0.20348837209302326"/>
    <n v="478"/>
    <n v="329"/>
    <n v="-149"/>
    <n v="-0.45288753799392095"/>
    <n v="-1615956.7749999999"/>
    <n v="-1928926.75"/>
    <n v="-312969.97500000009"/>
    <n v="0.16225083456383199"/>
  </r>
  <r>
    <s v="227 Kg"/>
    <x v="2"/>
    <s v="New paid - half price"/>
    <x v="5"/>
    <n v="78726415.25"/>
    <n v="49894593"/>
    <n v="-28831822.25"/>
    <n v="-0.5778546434881231"/>
    <n v="109"/>
    <n v="86"/>
    <n v="-23"/>
    <n v="-0.26744186046511625"/>
    <n v="249"/>
    <n v="160"/>
    <n v="-89"/>
    <n v="-0.55625000000000002"/>
    <n v="-1538195"/>
    <n v="-1157430.5"/>
    <n v="380764.5"/>
    <n v="-0.32897396431146408"/>
  </r>
  <r>
    <s v="228 Kg and above"/>
    <x v="2"/>
    <s v="New paid - half price"/>
    <x v="6"/>
    <n v="349485382.5"/>
    <n v="323461105.31999999"/>
    <n v="-26024277.180000007"/>
    <n v="-8.0455661444222781E-2"/>
    <n v="292"/>
    <n v="229"/>
    <n v="-63"/>
    <n v="-0.27510917030567683"/>
    <n v="609"/>
    <n v="577"/>
    <n v="-32"/>
    <n v="-5.5459272097053723E-2"/>
    <n v="-12093605"/>
    <n v="-8541061.3450000007"/>
    <n v="3552543.6549999993"/>
    <n v="-0.41593702603244787"/>
  </r>
  <r>
    <s v="22&lt;= 0.17"/>
    <x v="2"/>
    <s v="New paid - half price"/>
    <x v="7"/>
    <n v="125184445.95999999"/>
    <n v="107674349.66"/>
    <n v="-17510096.299999997"/>
    <n v="-0.1626208689004493"/>
    <n v="2381"/>
    <n v="2261"/>
    <n v="-120"/>
    <n v="-5.307386112339673E-2"/>
    <n v="2438"/>
    <n v="2306"/>
    <n v="-132"/>
    <n v="-5.7241977450130092E-2"/>
    <n v="-36385033.5"/>
    <n v="-34057154.5"/>
    <n v="2327879"/>
    <n v="-6.8352128478613799E-2"/>
  </r>
  <r>
    <s v="231-2 Kg"/>
    <x v="2"/>
    <s v="Free district"/>
    <x v="0"/>
    <n v="33574618429.599998"/>
    <n v="29952236318.02"/>
    <n v="-3622382111.579998"/>
    <n v="-0.12093861951138132"/>
    <n v="307138"/>
    <n v="249699"/>
    <n v="-57439"/>
    <n v="-0.23003295968345888"/>
    <n v="405525"/>
    <n v="332537"/>
    <n v="-72988"/>
    <n v="-0.21948835768651309"/>
    <n v="-4634883886.3500004"/>
    <n v="-3164106384.7929001"/>
    <n v="1470777501.5571003"/>
    <n v="-0.46483187437244367"/>
  </r>
  <r>
    <s v="233 Kg"/>
    <x v="2"/>
    <s v="Free district"/>
    <x v="1"/>
    <n v="2124866775.1600001"/>
    <n v="1892682751.8599999"/>
    <n v="-232184023.30000019"/>
    <n v="-0.12267455973370367"/>
    <n v="12456"/>
    <n v="10039"/>
    <n v="-2417"/>
    <n v="-0.24076103197529636"/>
    <n v="26086"/>
    <n v="21169"/>
    <n v="-4917"/>
    <n v="-0.23227360763380414"/>
    <n v="-364098232.18000001"/>
    <n v="-268991342.56300002"/>
    <n v="95106889.616999984"/>
    <n v="-0.35356858964605953"/>
  </r>
  <r>
    <s v="234 Kg"/>
    <x v="2"/>
    <s v="Free district"/>
    <x v="2"/>
    <n v="1182665433.1500001"/>
    <n v="1134064615.53"/>
    <n v="-48600817.620000124"/>
    <n v="-4.2855421952554928E-2"/>
    <n v="4222"/>
    <n v="3841"/>
    <n v="-381"/>
    <n v="-9.9192918510804473E-2"/>
    <n v="11979"/>
    <n v="10674"/>
    <n v="-1305"/>
    <n v="-0.12225969645868466"/>
    <n v="-173047007.99250001"/>
    <n v="-151915501.66"/>
    <n v="21131506.332500011"/>
    <n v="-0.13910039529602544"/>
  </r>
  <r>
    <s v="235 Kg"/>
    <x v="2"/>
    <s v="Free district"/>
    <x v="3"/>
    <n v="747634720.41999996"/>
    <n v="698865900.32000005"/>
    <n v="-48768820.099999905"/>
    <n v="-6.9782801074811926E-2"/>
    <n v="2901"/>
    <n v="2329"/>
    <n v="-572"/>
    <n v="-0.24559896951481322"/>
    <n v="10073"/>
    <n v="8134"/>
    <n v="-1939"/>
    <n v="-0.23838209982788297"/>
    <n v="-134198389.995"/>
    <n v="-103562510.565"/>
    <n v="30635879.430000007"/>
    <n v="-0.29582016950788093"/>
  </r>
  <r>
    <s v="236 Kg"/>
    <x v="2"/>
    <s v="Free district"/>
    <x v="4"/>
    <n v="391709801.58999997"/>
    <n v="301737769.17000002"/>
    <n v="-89972032.419999957"/>
    <n v="-0.29817955063262042"/>
    <n v="1105"/>
    <n v="830"/>
    <n v="-275"/>
    <n v="-0.33132530120481929"/>
    <n v="3312"/>
    <n v="2356"/>
    <n v="-956"/>
    <n v="-0.40577249575551783"/>
    <n v="-49679800.93"/>
    <n v="-32849458.704"/>
    <n v="16830342.226"/>
    <n v="-0.51234762732789285"/>
  </r>
  <r>
    <s v="237 Kg"/>
    <x v="2"/>
    <s v="Free district"/>
    <x v="5"/>
    <n v="179624395.66999999"/>
    <n v="165255439.34999999"/>
    <n v="-14368956.319999993"/>
    <n v="-8.694997499941591E-2"/>
    <n v="503"/>
    <n v="419"/>
    <n v="-84"/>
    <n v="-0.20047732696897375"/>
    <n v="1934"/>
    <n v="1585"/>
    <n v="-349"/>
    <n v="-0.22018927444794953"/>
    <n v="-30366403.219999999"/>
    <n v="-23706146.219999999"/>
    <n v="6660257"/>
    <n v="-0.28095064200612191"/>
  </r>
  <r>
    <s v="238 Kg and above"/>
    <x v="2"/>
    <s v="Free district"/>
    <x v="6"/>
    <n v="936967992.08000004"/>
    <n v="809926907.75"/>
    <n v="-127041084.33000004"/>
    <n v="-0.15685499903062092"/>
    <n v="992"/>
    <n v="869"/>
    <n v="-123"/>
    <n v="-0.14154200230149597"/>
    <n v="4542"/>
    <n v="4134"/>
    <n v="-408"/>
    <n v="-9.8693759071117562E-2"/>
    <n v="-44648392.056299999"/>
    <n v="-39206698.968800001"/>
    <n v="5441693.0874999985"/>
    <n v="-0.13879498225113013"/>
  </r>
  <r>
    <s v="23&lt;= 0.17"/>
    <x v="2"/>
    <s v="Free district"/>
    <x v="7"/>
    <n v="355496448.27999997"/>
    <n v="308453088.22000003"/>
    <n v="-47043360.059999943"/>
    <n v="-0.15251382416520629"/>
    <n v="7810"/>
    <n v="6812"/>
    <n v="-998"/>
    <n v="-0.14650616559013505"/>
    <n v="8219"/>
    <n v="7216"/>
    <n v="-1003"/>
    <n v="-0.13899667405764968"/>
    <n v="-78696704.700000003"/>
    <n v="-56757343.549999997"/>
    <n v="21939361.150000006"/>
    <n v="-0.38654665242873243"/>
  </r>
  <r>
    <s v="241-2 Kg"/>
    <x v="2"/>
    <s v="Jabodetabek"/>
    <x v="0"/>
    <n v="59886689768.25"/>
    <n v="55701466480.010002"/>
    <n v="-4185223288.2399979"/>
    <n v="-7.5136680463197145E-2"/>
    <n v="530128"/>
    <n v="466496"/>
    <n v="-63632"/>
    <n v="-0.13640417066813007"/>
    <n v="668434"/>
    <n v="584078"/>
    <n v="-84356"/>
    <n v="-0.14442591571673646"/>
    <n v="-3129579199.8775001"/>
    <n v="-1843887063.4093001"/>
    <n v="1285692136.4682"/>
    <n v="-0.69727271370459531"/>
  </r>
  <r>
    <s v="243 Kg"/>
    <x v="2"/>
    <s v="Jabodetabek"/>
    <x v="1"/>
    <n v="3936802708.2199998"/>
    <n v="3488407038.77"/>
    <n v="-448395669.44999981"/>
    <n v="-0.12853880423544339"/>
    <n v="20249"/>
    <n v="17421"/>
    <n v="-2828"/>
    <n v="-0.16233281671545835"/>
    <n v="38433"/>
    <n v="32715"/>
    <n v="-5718"/>
    <n v="-0.17478220999541494"/>
    <n v="-264088603.0925"/>
    <n v="-189917398.521"/>
    <n v="74171204.571500003"/>
    <n v="-0.39054454804623162"/>
  </r>
  <r>
    <s v="244 Kg"/>
    <x v="2"/>
    <s v="Jabodetabek"/>
    <x v="2"/>
    <n v="2596619158.2399998"/>
    <n v="2128005250.8900001"/>
    <n v="-468613907.34999967"/>
    <n v="-0.22021275894597078"/>
    <n v="7196"/>
    <n v="5990"/>
    <n v="-1206"/>
    <n v="-0.20133555926544242"/>
    <n v="16801"/>
    <n v="14116"/>
    <n v="-2685"/>
    <n v="-0.19020969113063191"/>
    <n v="-121830703.0325"/>
    <n v="-90600614.200000003"/>
    <n v="31230088.832499996"/>
    <n v="-0.34470063043457816"/>
  </r>
  <r>
    <s v="245 Kg"/>
    <x v="2"/>
    <s v="Jabodetabek"/>
    <x v="3"/>
    <n v="1565342684.8699999"/>
    <n v="1333145499.28"/>
    <n v="-232197185.58999991"/>
    <n v="-0.17417242582704143"/>
    <n v="4961"/>
    <n v="4242"/>
    <n v="-719"/>
    <n v="-0.1694955209806695"/>
    <n v="12939"/>
    <n v="10934"/>
    <n v="-2005"/>
    <n v="-0.18337296506310591"/>
    <n v="-85024983.8125"/>
    <n v="-62296108.4551"/>
    <n v="22728875.3574"/>
    <n v="-0.36485225034211993"/>
  </r>
  <r>
    <s v="246 Kg"/>
    <x v="2"/>
    <s v="Jabodetabek"/>
    <x v="4"/>
    <n v="676189266.62"/>
    <n v="734875469.98000002"/>
    <n v="58686203.360000014"/>
    <n v="7.9858704987931073E-2"/>
    <n v="1980"/>
    <n v="1786"/>
    <n v="-194"/>
    <n v="-0.10862262038073908"/>
    <n v="4347"/>
    <n v="3736"/>
    <n v="-611"/>
    <n v="-0.1635438972162741"/>
    <n v="-31674907.309999999"/>
    <n v="-24035664.890000001"/>
    <n v="7639242.4199999981"/>
    <n v="-0.31782946113457805"/>
  </r>
  <r>
    <s v="247 Kg"/>
    <x v="2"/>
    <s v="Jabodetabek"/>
    <x v="5"/>
    <n v="505526402.24000001"/>
    <n v="519869398.38"/>
    <n v="14342996.139999986"/>
    <n v="2.7589614208289929E-2"/>
    <n v="1121"/>
    <n v="969"/>
    <n v="-152"/>
    <n v="-0.15686274509803921"/>
    <n v="2703"/>
    <n v="2261"/>
    <n v="-442"/>
    <n v="-0.19548872180451127"/>
    <n v="-18442786.800000001"/>
    <n v="-12628497.220000001"/>
    <n v="5814289.5800000001"/>
    <n v="-0.46041025141073749"/>
  </r>
  <r>
    <s v="248 Kg and above"/>
    <x v="2"/>
    <s v="Jabodetabek"/>
    <x v="6"/>
    <n v="2169766798.77"/>
    <n v="2232594090.2199998"/>
    <n v="62827291.449999809"/>
    <n v="2.8140937810960887E-2"/>
    <n v="2099"/>
    <n v="2001"/>
    <n v="-98"/>
    <n v="-4.8975512243878062E-2"/>
    <n v="6028"/>
    <n v="5553"/>
    <n v="-475"/>
    <n v="-8.5539348100126061E-2"/>
    <n v="-21065849.347600002"/>
    <n v="-13331636.7906"/>
    <n v="7734212.5570000019"/>
    <n v="-0.58013975916695504"/>
  </r>
  <r>
    <s v="24&lt;= 0.17"/>
    <x v="2"/>
    <s v="Jabodetabek"/>
    <x v="7"/>
    <n v="801276878.27999997"/>
    <n v="639619485.51999998"/>
    <n v="-161657392.75999999"/>
    <n v="-0.25273994370039432"/>
    <n v="15121"/>
    <n v="13478"/>
    <n v="-1643"/>
    <n v="-0.12190235940050452"/>
    <n v="15788"/>
    <n v="14080"/>
    <n v="-1708"/>
    <n v="-0.12130681818181818"/>
    <n v="-53069390.979999997"/>
    <n v="-35811985.789999999"/>
    <n v="17257405.189999998"/>
    <n v="-0.48188908850787293"/>
  </r>
  <r>
    <s v="301-2 Kg"/>
    <x v="3"/>
    <s v="Old paid district"/>
    <x v="0"/>
    <n v="1330075975.22"/>
    <n v="1504512027.1199999"/>
    <n v="174436051.89999986"/>
    <n v="0.11594194579747739"/>
    <n v="2207"/>
    <n v="2232"/>
    <n v="25"/>
    <n v="1.1200716845878136E-2"/>
    <n v="2364"/>
    <n v="2418"/>
    <n v="54"/>
    <n v="2.2332506203473945E-2"/>
    <n v="-8689994.2572000008"/>
    <n v="-9612561.3066000007"/>
    <n v="-922567.0493999999"/>
    <n v="9.5975153757049514E-2"/>
  </r>
  <r>
    <s v="303 Kg"/>
    <x v="3"/>
    <s v="Old paid district"/>
    <x v="1"/>
    <n v="87817989"/>
    <n v="140256798.41999999"/>
    <n v="52438809.419999987"/>
    <n v="0.37387713116744326"/>
    <n v="103"/>
    <n v="109"/>
    <n v="6"/>
    <n v="5.5045871559633031E-2"/>
    <n v="142"/>
    <n v="158"/>
    <n v="16"/>
    <n v="0.10126582278481013"/>
    <n v="-659457.07949999999"/>
    <n v="-960716.10140000004"/>
    <n v="-301259.02190000005"/>
    <n v="0.31357757141885251"/>
  </r>
  <r>
    <s v="304 Kg"/>
    <x v="3"/>
    <s v="Old paid district"/>
    <x v="2"/>
    <n v="23648300"/>
    <n v="80138794.180000007"/>
    <n v="56490494.180000007"/>
    <n v="0.70490821278289417"/>
    <n v="60"/>
    <n v="64"/>
    <n v="4"/>
    <n v="6.25E-2"/>
    <n v="108"/>
    <n v="129"/>
    <n v="21"/>
    <n v="0.16279069767441862"/>
    <n v="-414557.61320000002"/>
    <n v="-742755.522"/>
    <n v="-328197.90879999998"/>
    <n v="0.44186532321734795"/>
  </r>
  <r>
    <s v="305 Kg"/>
    <x v="3"/>
    <s v="Old paid district"/>
    <x v="3"/>
    <n v="17226170"/>
    <n v="20424279"/>
    <n v="3198109"/>
    <n v="0.15658369139982861"/>
    <n v="41"/>
    <n v="30"/>
    <n v="-11"/>
    <n v="-0.36666666666666664"/>
    <n v="49"/>
    <n v="43"/>
    <n v="-6"/>
    <n v="-0.13953488372093023"/>
    <n v="-384192.04519999999"/>
    <n v="-298348.56089999998"/>
    <n v="85843.484300000011"/>
    <n v="-0.28772883650266007"/>
  </r>
  <r>
    <s v="306 Kg"/>
    <x v="3"/>
    <s v="Old paid district"/>
    <x v="4"/>
    <n v="27414514"/>
    <n v="29171609.489999998"/>
    <n v="1757095.4899999984"/>
    <n v="6.0233066351801028E-2"/>
    <n v="10"/>
    <n v="20"/>
    <n v="10"/>
    <n v="0.5"/>
    <n v="34"/>
    <n v="58"/>
    <n v="24"/>
    <n v="0.41379310344827586"/>
    <n v="-111234.4213"/>
    <n v="-127206.2273"/>
    <n v="-15971.805999999997"/>
    <n v="0.12555836564771697"/>
  </r>
  <r>
    <s v="307 Kg"/>
    <x v="3"/>
    <s v="Old paid district"/>
    <x v="5"/>
    <n v="11141000"/>
    <n v="4575316"/>
    <n v="-6565684"/>
    <n v="-1.4350230672591795"/>
    <n v="5"/>
    <n v="5"/>
    <n v="0"/>
    <n v="0"/>
    <n v="11"/>
    <n v="10"/>
    <n v="-1"/>
    <n v="-0.1"/>
    <n v="-103661.1363"/>
    <n v="-18319.452499999999"/>
    <n v="85341.683799999999"/>
    <n v="-4.6585280755524767"/>
  </r>
  <r>
    <s v="308 Kg and above"/>
    <x v="3"/>
    <s v="Old paid district"/>
    <x v="6"/>
    <n v="13794100"/>
    <n v="30115985.600000001"/>
    <n v="16321885.600000001"/>
    <n v="0.54196750578868658"/>
    <n v="24"/>
    <n v="22"/>
    <n v="-2"/>
    <n v="-9.0909090909090912E-2"/>
    <n v="52"/>
    <n v="54"/>
    <n v="2"/>
    <n v="3.7037037037037035E-2"/>
    <n v="-576582.49979999999"/>
    <n v="-541360.40590000001"/>
    <n v="35222.093899999978"/>
    <n v="-6.5062190577909004E-2"/>
  </r>
  <r>
    <s v="30&lt;= 0.17"/>
    <x v="3"/>
    <s v="Old paid district"/>
    <x v="7"/>
    <n v="771650"/>
    <n v="16490800"/>
    <n v="15719150"/>
    <n v="0.9532072428263032"/>
    <n v="2"/>
    <n v="81"/>
    <n v="79"/>
    <n v="0.97530864197530864"/>
    <n v="2"/>
    <n v="84"/>
    <n v="82"/>
    <n v="0.97619047619047616"/>
    <n v="-81750"/>
    <n v="-2338200"/>
    <n v="-2256450"/>
    <n v="0.96503720810880167"/>
  </r>
  <r>
    <s v="311-2 Kg"/>
    <x v="3"/>
    <s v="New paid - full price"/>
    <x v="0"/>
    <n v="702210898.67999995"/>
    <n v="586385493.49000001"/>
    <n v="-115825405.18999994"/>
    <n v="-0.19752433591192717"/>
    <n v="970"/>
    <n v="836"/>
    <n v="-134"/>
    <n v="-0.16028708133971292"/>
    <n v="1031"/>
    <n v="884"/>
    <n v="-147"/>
    <n v="-0.16628959276018099"/>
    <n v="-3547398.1063999999"/>
    <n v="-2892754.3656000001"/>
    <n v="654643.7407999998"/>
    <n v="-0.22630464189593125"/>
  </r>
  <r>
    <s v="313 Kg"/>
    <x v="3"/>
    <s v="New paid - full price"/>
    <x v="1"/>
    <n v="36342220"/>
    <n v="28241348.48"/>
    <n v="-8100871.5199999996"/>
    <n v="-0.2868443596359036"/>
    <n v="31"/>
    <n v="34"/>
    <n v="3"/>
    <n v="8.8235294117647065E-2"/>
    <n v="54"/>
    <n v="45"/>
    <n v="-9"/>
    <n v="-0.2"/>
    <n v="-191980.2274"/>
    <n v="-156663.51699999999"/>
    <n v="35316.710400000011"/>
    <n v="-0.2254303431730057"/>
  </r>
  <r>
    <s v="314 Kg"/>
    <x v="3"/>
    <s v="New paid - full price"/>
    <x v="2"/>
    <n v="11837791"/>
    <n v="34915200"/>
    <n v="23077409"/>
    <n v="0.66095594468884611"/>
    <n v="31"/>
    <n v="21"/>
    <n v="-10"/>
    <n v="-0.47619047619047616"/>
    <n v="58"/>
    <n v="44"/>
    <n v="-14"/>
    <n v="-0.31818181818181818"/>
    <n v="-165481.5459"/>
    <n v="-173480.9093"/>
    <n v="-7999.363400000002"/>
    <n v="4.611091463768343E-2"/>
  </r>
  <r>
    <s v="315 Kg"/>
    <x v="3"/>
    <s v="New paid - full price"/>
    <x v="3"/>
    <n v="22361500"/>
    <n v="5709700"/>
    <n v="-16651800"/>
    <n v="-2.9164054153458152"/>
    <n v="12"/>
    <n v="12"/>
    <n v="0"/>
    <n v="0"/>
    <n v="24"/>
    <n v="14"/>
    <n v="-10"/>
    <n v="-0.7142857142857143"/>
    <n v="-136079.54550000001"/>
    <n v="-71442.954599999997"/>
    <n v="64636.59090000001"/>
    <n v="-0.90473009216782885"/>
  </r>
  <r>
    <s v="316 Kg"/>
    <x v="3"/>
    <s v="New paid - full price"/>
    <x v="4"/>
    <n v="3195000"/>
    <n v="682703.49"/>
    <n v="-2512296.5099999998"/>
    <n v="-3.6799233441739103"/>
    <n v="9"/>
    <n v="2"/>
    <n v="-7"/>
    <n v="-3.5"/>
    <n v="20"/>
    <n v="4"/>
    <n v="-16"/>
    <n v="-4"/>
    <n v="-56892.0455"/>
    <n v="-8765.3863999999994"/>
    <n v="48126.659100000004"/>
    <n v="-5.4905348040332838"/>
  </r>
  <r>
    <s v="317 Kg"/>
    <x v="3"/>
    <s v="New paid - full price"/>
    <x v="5"/>
    <n v="749000"/>
    <n v="1484530.1"/>
    <n v="735530.10000000009"/>
    <n v="0.49546324456472796"/>
    <n v="1"/>
    <n v="2"/>
    <n v="1"/>
    <n v="0.5"/>
    <n v="1"/>
    <n v="2"/>
    <n v="1"/>
    <n v="0.5"/>
    <n v="-12372.5"/>
    <n v="-28529.507099999999"/>
    <n v="-16157.007099999999"/>
    <n v="0.56632619145389995"/>
  </r>
  <r>
    <s v="318 Kg and above"/>
    <x v="3"/>
    <s v="New paid - full price"/>
    <x v="6"/>
    <n v="4484000"/>
    <n v="8030720"/>
    <n v="3546720"/>
    <n v="0.44164408670704497"/>
    <n v="5"/>
    <n v="5"/>
    <n v="0"/>
    <n v="0"/>
    <n v="5"/>
    <n v="5"/>
    <n v="0"/>
    <n v="0"/>
    <n v="-67054.545400000003"/>
    <n v="-98122.727299999999"/>
    <n v="-31068.181899999996"/>
    <n v="0.31662574772317803"/>
  </r>
  <r>
    <s v="31&lt;= 0.17"/>
    <x v="3"/>
    <s v="New paid - full price"/>
    <x v="7"/>
    <n v="0"/>
    <n v="3787000"/>
    <n v="3787000"/>
    <n v="1"/>
    <n v="0"/>
    <n v="19"/>
    <n v="19"/>
    <n v="1"/>
    <n v="0"/>
    <n v="20"/>
    <n v="20"/>
    <n v="1"/>
    <n v="0"/>
    <n v="-381000"/>
    <n v="-381000"/>
    <n v="1"/>
  </r>
  <r>
    <s v="321-2 Kg"/>
    <x v="3"/>
    <s v="New paid - half price"/>
    <x v="0"/>
    <n v="1888755100.4200001"/>
    <n v="1997499599.6500001"/>
    <n v="108744499.23000002"/>
    <n v="5.444031090121576E-2"/>
    <n v="5161"/>
    <n v="4325"/>
    <n v="-836"/>
    <n v="-0.19329479768786126"/>
    <n v="5570"/>
    <n v="4663"/>
    <n v="-907"/>
    <n v="-0.19450997212095217"/>
    <n v="-31830136.6688"/>
    <n v="-27617571.888"/>
    <n v="4212564.7807999998"/>
    <n v="-0.15253204727351083"/>
  </r>
  <r>
    <s v="323 Kg"/>
    <x v="3"/>
    <s v="New paid - half price"/>
    <x v="1"/>
    <n v="180515627.78"/>
    <n v="167301194.97999999"/>
    <n v="-13214432.800000012"/>
    <n v="-7.8985884121029318E-2"/>
    <n v="175"/>
    <n v="143"/>
    <n v="-32"/>
    <n v="-0.22377622377622378"/>
    <n v="280"/>
    <n v="236"/>
    <n v="-44"/>
    <n v="-0.1864406779661017"/>
    <n v="-1932471.2253"/>
    <n v="-1822175.9415"/>
    <n v="110295.28380000009"/>
    <n v="-6.0529436970398115E-2"/>
  </r>
  <r>
    <s v="324 Kg"/>
    <x v="3"/>
    <s v="New paid - half price"/>
    <x v="2"/>
    <n v="72988423"/>
    <n v="167051608.44"/>
    <n v="94063185.439999998"/>
    <n v="0.5630785977962296"/>
    <n v="261"/>
    <n v="171"/>
    <n v="-90"/>
    <n v="-0.52631578947368418"/>
    <n v="479"/>
    <n v="360"/>
    <n v="-119"/>
    <n v="-0.33055555555555555"/>
    <n v="-3664545.7080999999"/>
    <n v="-2769976.6924000001"/>
    <n v="894569.01569999987"/>
    <n v="-0.32295182055301536"/>
  </r>
  <r>
    <s v="325 Kg"/>
    <x v="3"/>
    <s v="New paid - half price"/>
    <x v="3"/>
    <n v="43732900"/>
    <n v="41402444.609999999"/>
    <n v="-2330455.3900000006"/>
    <n v="-5.6287869278064853E-2"/>
    <n v="85"/>
    <n v="59"/>
    <n v="-26"/>
    <n v="-0.44067796610169491"/>
    <n v="120"/>
    <n v="82"/>
    <n v="-38"/>
    <n v="-0.46341463414634149"/>
    <n v="-1450822.2056"/>
    <n v="-973436.65229999996"/>
    <n v="477385.55330000003"/>
    <n v="-0.49041255244709675"/>
  </r>
  <r>
    <s v="326 Kg"/>
    <x v="3"/>
    <s v="New paid - half price"/>
    <x v="4"/>
    <n v="41929160"/>
    <n v="42505403.469999999"/>
    <n v="576243.46999999881"/>
    <n v="1.355694624582748E-2"/>
    <n v="80"/>
    <n v="50"/>
    <n v="-30"/>
    <n v="-0.6"/>
    <n v="206"/>
    <n v="152"/>
    <n v="-54"/>
    <n v="-0.35526315789473684"/>
    <n v="-1800556.7492"/>
    <n v="-1127708.7544"/>
    <n v="672847.99479999999"/>
    <n v="-0.59665050233470107"/>
  </r>
  <r>
    <s v="327 Kg"/>
    <x v="3"/>
    <s v="New paid - half price"/>
    <x v="5"/>
    <n v="1900100"/>
    <n v="857200"/>
    <n v="-1042900"/>
    <n v="-1.2166355576294914"/>
    <n v="8"/>
    <n v="5"/>
    <n v="-3"/>
    <n v="-0.6"/>
    <n v="18"/>
    <n v="11"/>
    <n v="-7"/>
    <n v="-0.63636363636363635"/>
    <n v="-145752.63630000001"/>
    <n v="-123350.0001"/>
    <n v="22402.636200000008"/>
    <n v="-0.18161845303476418"/>
  </r>
  <r>
    <s v="328 Kg and above"/>
    <x v="3"/>
    <s v="New paid - half price"/>
    <x v="6"/>
    <n v="41364580"/>
    <n v="162629781.28"/>
    <n v="121265201.28"/>
    <n v="0.74565187461709415"/>
    <n v="52"/>
    <n v="43"/>
    <n v="-9"/>
    <n v="-0.20930232558139536"/>
    <n v="175"/>
    <n v="205"/>
    <n v="30"/>
    <n v="0.14634146341463414"/>
    <n v="-2017854.9768999999"/>
    <n v="-2075883.7863"/>
    <n v="-58028.809400000144"/>
    <n v="2.7953785169944002E-2"/>
  </r>
  <r>
    <s v="32&lt;= 0.17"/>
    <x v="3"/>
    <s v="New paid - half price"/>
    <x v="7"/>
    <n v="589000"/>
    <n v="31194722.43"/>
    <n v="30605722.43"/>
    <n v="0.9811186010286933"/>
    <n v="1"/>
    <n v="151"/>
    <n v="150"/>
    <n v="0.99337748344370858"/>
    <n v="1"/>
    <n v="159"/>
    <n v="158"/>
    <n v="0.99371069182389937"/>
    <n v="-8972.5"/>
    <n v="-2595797.5"/>
    <n v="-2586825"/>
    <n v="0.99654345148263679"/>
  </r>
  <r>
    <s v="331-2 Kg"/>
    <x v="3"/>
    <s v="Free district"/>
    <x v="0"/>
    <n v="9429042949.8600006"/>
    <n v="11736764825.809999"/>
    <n v="2307721875.9499989"/>
    <n v="0.19662333787886341"/>
    <n v="31329"/>
    <n v="29657"/>
    <n v="-1672"/>
    <n v="-5.6377920895572711E-2"/>
    <n v="36147"/>
    <n v="33822"/>
    <n v="-2325"/>
    <n v="-6.8742238779492634E-2"/>
    <n v="-579716316.87779999"/>
    <n v="-555441658.60679996"/>
    <n v="24274658.271000028"/>
    <n v="-4.3703344707502728E-2"/>
  </r>
  <r>
    <s v="333 Kg"/>
    <x v="3"/>
    <s v="Free district"/>
    <x v="1"/>
    <n v="622947430.51999998"/>
    <n v="487757113.52999997"/>
    <n v="-135190316.99000001"/>
    <n v="-0.27716728929199924"/>
    <n v="1361"/>
    <n v="1063"/>
    <n v="-298"/>
    <n v="-0.28033866415804326"/>
    <n v="2739"/>
    <n v="2030"/>
    <n v="-709"/>
    <n v="-0.34926108374384235"/>
    <n v="-36270996.446000002"/>
    <n v="-28324583.379299998"/>
    <n v="7946413.066700004"/>
    <n v="-0.28054827710219221"/>
  </r>
  <r>
    <s v="334 Kg"/>
    <x v="3"/>
    <s v="Free district"/>
    <x v="2"/>
    <n v="711258116.86000001"/>
    <n v="984681265.57000005"/>
    <n v="273423148.71000004"/>
    <n v="0.27767680595783878"/>
    <n v="3404"/>
    <n v="3829"/>
    <n v="425"/>
    <n v="0.11099503786889527"/>
    <n v="7117"/>
    <n v="7988"/>
    <n v="871"/>
    <n v="0.10903855783675513"/>
    <n v="-126548609.23800001"/>
    <n v="-150263611.2958"/>
    <n v="-23715002.057799995"/>
    <n v="0.15782265482170565"/>
  </r>
  <r>
    <s v="335 Kg"/>
    <x v="3"/>
    <s v="Free district"/>
    <x v="3"/>
    <n v="182352568.15000001"/>
    <n v="181204944.58000001"/>
    <n v="-1147623.5699999928"/>
    <n v="-6.3332905879581536E-3"/>
    <n v="432"/>
    <n v="288"/>
    <n v="-144"/>
    <n v="-0.5"/>
    <n v="1191"/>
    <n v="763"/>
    <n v="-428"/>
    <n v="-0.56094364351245085"/>
    <n v="-14701120.178400001"/>
    <n v="-8896364.1785000004"/>
    <n v="5804755.9999000002"/>
    <n v="-0.65248632850805011"/>
  </r>
  <r>
    <s v="336 Kg"/>
    <x v="3"/>
    <s v="Free district"/>
    <x v="4"/>
    <n v="343519436.47000003"/>
    <n v="375363317.18000001"/>
    <n v="31843880.709999979"/>
    <n v="8.4834823363226272E-2"/>
    <n v="1285"/>
    <n v="1594"/>
    <n v="309"/>
    <n v="0.19385194479297366"/>
    <n v="3978"/>
    <n v="4789"/>
    <n v="811"/>
    <n v="0.16934641887659219"/>
    <n v="-69465671.731600001"/>
    <n v="-91142508.641399994"/>
    <n v="-21676836.909799993"/>
    <n v="0.23783454321064895"/>
  </r>
  <r>
    <s v="337 Kg"/>
    <x v="3"/>
    <s v="Free district"/>
    <x v="5"/>
    <n v="48297808.340000004"/>
    <n v="24251807"/>
    <n v="-24046001.340000004"/>
    <n v="-0.99151380101284836"/>
    <n v="316"/>
    <n v="65"/>
    <n v="-251"/>
    <n v="-3.8615384615384616"/>
    <n v="1153"/>
    <n v="205"/>
    <n v="-948"/>
    <n v="-4.6243902439024387"/>
    <n v="-22998264.431299999"/>
    <n v="-2627838.6833000001"/>
    <n v="20370425.748"/>
    <n v="-7.7517793909705013"/>
  </r>
  <r>
    <s v="338 Kg and above"/>
    <x v="3"/>
    <s v="Free district"/>
    <x v="6"/>
    <n v="574749268.25999999"/>
    <n v="453105722.82999998"/>
    <n v="-121643545.43000001"/>
    <n v="-0.26846614222888388"/>
    <n v="804"/>
    <n v="828"/>
    <n v="24"/>
    <n v="2.8985507246376812E-2"/>
    <n v="3678"/>
    <n v="4409"/>
    <n v="731"/>
    <n v="0.16579723293263779"/>
    <n v="-60419514.9868"/>
    <n v="-83818452.369299993"/>
    <n v="-23398937.382499993"/>
    <n v="0.27916212625121523"/>
  </r>
  <r>
    <s v="33&lt;= 0.17"/>
    <x v="3"/>
    <s v="Free district"/>
    <x v="7"/>
    <n v="2711314"/>
    <n v="78019235.909999996"/>
    <n v="75307921.909999996"/>
    <n v="0.96524813440716506"/>
    <n v="5"/>
    <n v="350"/>
    <n v="345"/>
    <n v="0.98571428571428577"/>
    <n v="5"/>
    <n v="404"/>
    <n v="399"/>
    <n v="0.98762376237623761"/>
    <n v="-73617.035000000003"/>
    <n v="-4624513.3068000004"/>
    <n v="-4550896.2718000002"/>
    <n v="0.98408112808503512"/>
  </r>
  <r>
    <s v="341-2 Kg"/>
    <x v="3"/>
    <s v="Jabodetabek"/>
    <x v="0"/>
    <n v="49416545775.849998"/>
    <n v="58080898260.529999"/>
    <n v="8664352484.6800003"/>
    <n v="0.14917731550594887"/>
    <n v="72567"/>
    <n v="72005"/>
    <n v="-562"/>
    <n v="-7.8050135407263382E-3"/>
    <n v="88300"/>
    <n v="85191"/>
    <n v="-3109"/>
    <n v="-3.6494465377798123E-2"/>
    <n v="-846955321.99660003"/>
    <n v="-850122461.15880001"/>
    <n v="-3167139.1621999741"/>
    <n v="3.7255093317765699E-3"/>
  </r>
  <r>
    <s v="343 Kg"/>
    <x v="3"/>
    <s v="Jabodetabek"/>
    <x v="1"/>
    <n v="2770127410.7399998"/>
    <n v="4653048856.5900002"/>
    <n v="1882921445.8500004"/>
    <n v="0.40466401791231238"/>
    <n v="3648"/>
    <n v="3158"/>
    <n v="-490"/>
    <n v="-0.15516149461684611"/>
    <n v="7819"/>
    <n v="7193"/>
    <n v="-626"/>
    <n v="-8.7029056026692614E-2"/>
    <n v="-62879486.812200002"/>
    <n v="-62049022.936700001"/>
    <n v="830463.87550000101"/>
    <n v="-1.3383996011463516E-2"/>
  </r>
  <r>
    <s v="344 Kg"/>
    <x v="3"/>
    <s v="Jabodetabek"/>
    <x v="2"/>
    <n v="2731126100.8400002"/>
    <n v="3546618154.8600001"/>
    <n v="815492054.01999998"/>
    <n v="0.22993511520334245"/>
    <n v="7557"/>
    <n v="7617"/>
    <n v="60"/>
    <n v="7.8771169751870821E-3"/>
    <n v="16204"/>
    <n v="16616"/>
    <n v="412"/>
    <n v="2.4795377948964852E-2"/>
    <n v="-189394890.06099999"/>
    <n v="-207359907.89410001"/>
    <n v="-17965017.833100021"/>
    <n v="8.6636891458665516E-2"/>
  </r>
  <r>
    <s v="345 Kg"/>
    <x v="3"/>
    <s v="Jabodetabek"/>
    <x v="3"/>
    <n v="679932559.12"/>
    <n v="860894343.46000004"/>
    <n v="180961784.34000003"/>
    <n v="0.21020208311823821"/>
    <n v="1112"/>
    <n v="870"/>
    <n v="-242"/>
    <n v="-0.27816091954022987"/>
    <n v="3066"/>
    <n v="2295"/>
    <n v="-771"/>
    <n v="-0.33594771241830068"/>
    <n v="-21928799.186500002"/>
    <n v="-18170517.563000001"/>
    <n v="3758281.6235000007"/>
    <n v="-0.20683404369025019"/>
  </r>
  <r>
    <s v="346 Kg"/>
    <x v="3"/>
    <s v="Jabodetabek"/>
    <x v="4"/>
    <n v="837309339.5"/>
    <n v="2871193047.8200002"/>
    <n v="2033883708.3200002"/>
    <n v="0.70837581257876736"/>
    <n v="2681"/>
    <n v="3420"/>
    <n v="739"/>
    <n v="0.21608187134502924"/>
    <n v="8243"/>
    <n v="10773"/>
    <n v="2530"/>
    <n v="0.23484637519725238"/>
    <n v="-101232033.38699999"/>
    <n v="-133528879.7631"/>
    <n v="-32296846.376100004"/>
    <n v="0.24187161933358081"/>
  </r>
  <r>
    <s v="347 Kg"/>
    <x v="3"/>
    <s v="Jabodetabek"/>
    <x v="5"/>
    <n v="173690566.62"/>
    <n v="263820181.59999999"/>
    <n v="90129614.979999989"/>
    <n v="0.34163275316311126"/>
    <n v="595"/>
    <n v="234"/>
    <n v="-361"/>
    <n v="-1.5427350427350428"/>
    <n v="2014"/>
    <n v="656"/>
    <n v="-1358"/>
    <n v="-2.0701219512195124"/>
    <n v="-17210301.861900002"/>
    <n v="-5247537.7224000003"/>
    <n v="11962764.139500001"/>
    <n v="-2.2796909278869828"/>
  </r>
  <r>
    <s v="348 Kg and above"/>
    <x v="3"/>
    <s v="Jabodetabek"/>
    <x v="6"/>
    <n v="1902608336.5699999"/>
    <n v="4970388402.1099997"/>
    <n v="3067780065.54"/>
    <n v="0.61721133588628285"/>
    <n v="1714"/>
    <n v="1919"/>
    <n v="205"/>
    <n v="0.1068264721208963"/>
    <n v="7216"/>
    <n v="9221"/>
    <n v="2005"/>
    <n v="0.21743845569894804"/>
    <n v="-71580255.627700001"/>
    <n v="-114896876.0363"/>
    <n v="-43316620.408600003"/>
    <n v="0.3770043355653529"/>
  </r>
  <r>
    <s v="34&lt;= 0.17"/>
    <x v="3"/>
    <s v="Jabodetabek"/>
    <x v="7"/>
    <n v="15200670"/>
    <n v="194044748.40000001"/>
    <n v="178844078.40000001"/>
    <n v="0.92166410003188726"/>
    <n v="17"/>
    <n v="757"/>
    <n v="740"/>
    <n v="0.97754293262879788"/>
    <n v="17"/>
    <n v="806"/>
    <n v="789"/>
    <n v="0.97890818858560791"/>
    <n v="-131149.93179999999"/>
    <n v="-4819222.6595000001"/>
    <n v="-4688072.7276999997"/>
    <n v="0.97278608168446667"/>
  </r>
  <r>
    <s v="401-2 Kg"/>
    <x v="4"/>
    <s v="Old paid district"/>
    <x v="0"/>
    <n v="1205153079.73"/>
    <n v="1627649389.1500001"/>
    <n v="422496309.42000008"/>
    <n v="0.25957452030909334"/>
    <n v="6892"/>
    <n v="9724"/>
    <n v="2832"/>
    <n v="0.29123817359111476"/>
    <n v="7922"/>
    <n v="11342"/>
    <n v="3420"/>
    <n v="0.30153412096631987"/>
    <n v="35072527"/>
    <n v="46800767"/>
    <n v="11728240"/>
    <n v="0.25059931175914274"/>
  </r>
  <r>
    <s v="403 Kg"/>
    <x v="4"/>
    <s v="Old paid district"/>
    <x v="1"/>
    <n v="32359615"/>
    <n v="48512636"/>
    <n v="16153021"/>
    <n v="0.33296522992483857"/>
    <n v="183"/>
    <n v="235"/>
    <n v="52"/>
    <n v="0.22127659574468084"/>
    <n v="348"/>
    <n v="499"/>
    <n v="151"/>
    <n v="0.30260521042084171"/>
    <n v="2582142.5"/>
    <n v="4058253.5"/>
    <n v="1476111"/>
    <n v="0.36373060480327313"/>
  </r>
  <r>
    <s v="404 Kg"/>
    <x v="4"/>
    <s v="Old paid district"/>
    <x v="2"/>
    <n v="7395593.6699999999"/>
    <n v="12993732"/>
    <n v="5598138.3300000001"/>
    <n v="0.43083375353593562"/>
    <n v="41"/>
    <n v="64"/>
    <n v="23"/>
    <n v="0.359375"/>
    <n v="110"/>
    <n v="198"/>
    <n v="88"/>
    <n v="0.44444444444444442"/>
    <n v="710416"/>
    <n v="1239612"/>
    <n v="529196"/>
    <n v="0.42690454755197593"/>
  </r>
  <r>
    <s v="405 Kg"/>
    <x v="4"/>
    <s v="Old paid district"/>
    <x v="3"/>
    <n v="4271912"/>
    <n v="35869941"/>
    <n v="31598029"/>
    <n v="0.88090551919223958"/>
    <n v="29"/>
    <n v="30"/>
    <n v="1"/>
    <n v="3.3333333333333333E-2"/>
    <n v="88"/>
    <n v="107"/>
    <n v="19"/>
    <n v="0.17757009345794392"/>
    <n v="453115.5"/>
    <n v="517658.5"/>
    <n v="64543"/>
    <n v="0.12468258514058979"/>
  </r>
  <r>
    <s v="406 Kg"/>
    <x v="4"/>
    <s v="Old paid district"/>
    <x v="4"/>
    <n v="5823290"/>
    <n v="6924078"/>
    <n v="1100788"/>
    <n v="0.15897972264321691"/>
    <n v="10"/>
    <n v="16"/>
    <n v="6"/>
    <n v="0.375"/>
    <n v="24"/>
    <n v="47"/>
    <n v="23"/>
    <n v="0.48936170212765956"/>
    <n v="246133"/>
    <n v="697342"/>
    <n v="451209"/>
    <n v="0.6470411935606919"/>
  </r>
  <r>
    <s v="407 Kg"/>
    <x v="4"/>
    <s v="Old paid district"/>
    <x v="5"/>
    <n v="7029768.71"/>
    <n v="14179450"/>
    <n v="7149681.29"/>
    <n v="0.5042283932028393"/>
    <n v="8"/>
    <n v="15"/>
    <n v="7"/>
    <n v="0.46666666666666667"/>
    <n v="17"/>
    <n v="28"/>
    <n v="11"/>
    <n v="0.39285714285714285"/>
    <n v="118187.5"/>
    <n v="291448"/>
    <n v="173260.5"/>
    <n v="0.59448169141665064"/>
  </r>
  <r>
    <s v="408 Kg and above"/>
    <x v="4"/>
    <s v="Old paid district"/>
    <x v="6"/>
    <n v="3026250"/>
    <n v="11167740"/>
    <n v="8141490"/>
    <n v="0.72901858388536978"/>
    <n v="9"/>
    <n v="15"/>
    <n v="6"/>
    <n v="0.4"/>
    <n v="71"/>
    <n v="62"/>
    <n v="-9"/>
    <n v="-0.14516129032258066"/>
    <n v="459841.5"/>
    <n v="640358.5"/>
    <n v="180517"/>
    <n v="0.28189990450661623"/>
  </r>
  <r>
    <s v="40&lt;= 0.17"/>
    <x v="4"/>
    <s v="Old paid district"/>
    <x v="7"/>
    <n v="33724118.770000003"/>
    <n v="44921779.009999998"/>
    <n v="11197660.239999995"/>
    <n v="0.24927018668399784"/>
    <n v="255"/>
    <n v="747"/>
    <n v="492"/>
    <n v="0.65863453815261042"/>
    <n v="256"/>
    <n v="769"/>
    <n v="513"/>
    <n v="0.6671001300390117"/>
    <n v="-6246988"/>
    <n v="-18027158.5"/>
    <n v="-11780170.5"/>
    <n v="0.65346796057737"/>
  </r>
  <r>
    <s v="411-2 Kg"/>
    <x v="4"/>
    <s v="New paid - full price"/>
    <x v="0"/>
    <n v="444372265.07999998"/>
    <n v="544393349.54999995"/>
    <n v="100021084.46999997"/>
    <n v="0.18372943856253612"/>
    <n v="2640"/>
    <n v="3328"/>
    <n v="688"/>
    <n v="0.20673076923076922"/>
    <n v="3014"/>
    <n v="3766"/>
    <n v="752"/>
    <n v="0.19968135953266064"/>
    <n v="11533407"/>
    <n v="15291337"/>
    <n v="3757930"/>
    <n v="0.24575548887582557"/>
  </r>
  <r>
    <s v="413 Kg"/>
    <x v="4"/>
    <s v="New paid - full price"/>
    <x v="1"/>
    <n v="10721340"/>
    <n v="10872344"/>
    <n v="151004"/>
    <n v="1.3888817351621693E-2"/>
    <n v="72"/>
    <n v="71"/>
    <n v="-1"/>
    <n v="-1.4084507042253521E-2"/>
    <n v="142"/>
    <n v="144"/>
    <n v="2"/>
    <n v="1.3888888888888888E-2"/>
    <n v="918554"/>
    <n v="1103742.5"/>
    <n v="185188.5"/>
    <n v="0.16778234053685528"/>
  </r>
  <r>
    <s v="414 Kg"/>
    <x v="4"/>
    <s v="New paid - full price"/>
    <x v="2"/>
    <n v="2229049.4500000002"/>
    <n v="2698786"/>
    <n v="469736.54999999981"/>
    <n v="0.17405476017735375"/>
    <n v="15"/>
    <n v="19"/>
    <n v="4"/>
    <n v="0.21052631578947367"/>
    <n v="49"/>
    <n v="56"/>
    <n v="7"/>
    <n v="0.125"/>
    <n v="315570"/>
    <n v="413480"/>
    <n v="97910"/>
    <n v="0.23679500822288865"/>
  </r>
  <r>
    <s v="415 Kg"/>
    <x v="4"/>
    <s v="New paid - full price"/>
    <x v="3"/>
    <n v="1097395"/>
    <n v="4691266"/>
    <n v="3593871"/>
    <n v="0.76607700352101116"/>
    <n v="9"/>
    <n v="15"/>
    <n v="6"/>
    <n v="0.4"/>
    <n v="36"/>
    <n v="52"/>
    <n v="16"/>
    <n v="0.30769230769230771"/>
    <n v="173175"/>
    <n v="179962.5"/>
    <n v="6787.5"/>
    <n v="3.7716190873098562E-2"/>
  </r>
  <r>
    <s v="416 Kg"/>
    <x v="4"/>
    <s v="New paid - full price"/>
    <x v="4"/>
    <n v="1246545.5"/>
    <n v="1027100"/>
    <n v="-219445.5"/>
    <n v="-0.21365543763995717"/>
    <n v="5"/>
    <n v="7"/>
    <n v="2"/>
    <n v="0.2857142857142857"/>
    <n v="15"/>
    <n v="23"/>
    <n v="8"/>
    <n v="0.34782608695652173"/>
    <n v="148645"/>
    <n v="204575"/>
    <n v="55930"/>
    <n v="0.27339606501283148"/>
  </r>
  <r>
    <s v="417 Kg"/>
    <x v="4"/>
    <s v="New paid - full price"/>
    <x v="5"/>
    <n v="5409161.5"/>
    <n v="1250000"/>
    <n v="-4159161.5"/>
    <n v="-3.3273291999999999"/>
    <n v="7"/>
    <n v="1"/>
    <n v="-6"/>
    <n v="-6"/>
    <n v="19"/>
    <n v="1"/>
    <n v="-18"/>
    <n v="-18"/>
    <n v="332532.5"/>
    <n v="3740"/>
    <n v="-328792.5"/>
    <n v="-87.912433155080208"/>
  </r>
  <r>
    <s v="418 Kg and above"/>
    <x v="4"/>
    <s v="New paid - full price"/>
    <x v="6"/>
    <n v="5171700"/>
    <n v="1105245"/>
    <n v="-4066455"/>
    <n v="-3.6792340159874053"/>
    <n v="7"/>
    <n v="5"/>
    <n v="-2"/>
    <n v="-0.4"/>
    <n v="39"/>
    <n v="17"/>
    <n v="-22"/>
    <n v="-1.2941176470588236"/>
    <n v="439520"/>
    <n v="124968"/>
    <n v="-314552"/>
    <n v="-2.5170603674540684"/>
  </r>
  <r>
    <s v="41&lt;= 0.17"/>
    <x v="4"/>
    <s v="New paid - full price"/>
    <x v="7"/>
    <n v="9205674.0999999996"/>
    <n v="12314745"/>
    <n v="3109070.9000000004"/>
    <n v="0.25246733895017726"/>
    <n v="79"/>
    <n v="251"/>
    <n v="172"/>
    <n v="0.68525896414342624"/>
    <n v="80"/>
    <n v="258"/>
    <n v="178"/>
    <n v="0.68992248062015504"/>
    <n v="-1323354"/>
    <n v="-4479338.5"/>
    <n v="-3155984.5"/>
    <n v="0.70456485929786283"/>
  </r>
  <r>
    <s v="421-2 Kg"/>
    <x v="4"/>
    <s v="New paid - half price"/>
    <x v="0"/>
    <n v="1449359494.21"/>
    <n v="1803548256.79"/>
    <n v="354188762.57999992"/>
    <n v="0.19638441125517422"/>
    <n v="14828"/>
    <n v="18200"/>
    <n v="3372"/>
    <n v="0.18527472527472527"/>
    <n v="17175"/>
    <n v="20855"/>
    <n v="3680"/>
    <n v="0.17645648525533444"/>
    <n v="14219475.5"/>
    <n v="16419486"/>
    <n v="2200010.5"/>
    <n v="0.13398778134711403"/>
  </r>
  <r>
    <s v="423 Kg"/>
    <x v="4"/>
    <s v="New paid - half price"/>
    <x v="1"/>
    <n v="54586134.229999997"/>
    <n v="62466732.649999999"/>
    <n v="7880598.4200000018"/>
    <n v="0.12615672511887016"/>
    <n v="370"/>
    <n v="446"/>
    <n v="76"/>
    <n v="0.17040358744394618"/>
    <n v="760"/>
    <n v="904"/>
    <n v="144"/>
    <n v="0.15929203539823009"/>
    <n v="555974.5"/>
    <n v="1699812"/>
    <n v="1143837.5"/>
    <n v="0.67292000527117113"/>
  </r>
  <r>
    <s v="424 Kg"/>
    <x v="4"/>
    <s v="New paid - half price"/>
    <x v="2"/>
    <n v="19383233.5"/>
    <n v="24297975"/>
    <n v="4914741.5"/>
    <n v="0.20226959242488315"/>
    <n v="110"/>
    <n v="140"/>
    <n v="30"/>
    <n v="0.21428571428571427"/>
    <n v="280"/>
    <n v="396"/>
    <n v="116"/>
    <n v="0.29292929292929293"/>
    <n v="-249568"/>
    <n v="309010"/>
    <n v="558578"/>
    <n v="1.8076372932914793"/>
  </r>
  <r>
    <s v="425 Kg"/>
    <x v="4"/>
    <s v="New paid - half price"/>
    <x v="3"/>
    <n v="13858428.699999999"/>
    <n v="20135742"/>
    <n v="6277313.3000000007"/>
    <n v="0.31174978801377179"/>
    <n v="72"/>
    <n v="70"/>
    <n v="-2"/>
    <n v="-2.8571428571428571E-2"/>
    <n v="270"/>
    <n v="244"/>
    <n v="-26"/>
    <n v="-0.10655737704918032"/>
    <n v="-81811.5"/>
    <n v="-150125.5"/>
    <n v="-68314"/>
    <n v="0.45504594489277306"/>
  </r>
  <r>
    <s v="426 Kg"/>
    <x v="4"/>
    <s v="New paid - half price"/>
    <x v="4"/>
    <n v="3253618"/>
    <n v="11235007"/>
    <n v="7981389"/>
    <n v="0.7104035627214117"/>
    <n v="19"/>
    <n v="38"/>
    <n v="19"/>
    <n v="0.5"/>
    <n v="59"/>
    <n v="138"/>
    <n v="79"/>
    <n v="0.57246376811594202"/>
    <n v="94538"/>
    <n v="228989"/>
    <n v="134451"/>
    <n v="0.58715047447693991"/>
  </r>
  <r>
    <s v="427 Kg"/>
    <x v="4"/>
    <s v="New paid - half price"/>
    <x v="5"/>
    <n v="16071711"/>
    <n v="7828941"/>
    <n v="-8242770"/>
    <n v="-1.0528588732499069"/>
    <n v="13"/>
    <n v="14"/>
    <n v="1"/>
    <n v="7.1428571428571425E-2"/>
    <n v="32"/>
    <n v="42"/>
    <n v="10"/>
    <n v="0.23809523809523808"/>
    <n v="-68112.5"/>
    <n v="-103604"/>
    <n v="-35491.5"/>
    <n v="0.34256881973668968"/>
  </r>
  <r>
    <s v="428 Kg and above"/>
    <x v="4"/>
    <s v="New paid - half price"/>
    <x v="6"/>
    <n v="22958597.43"/>
    <n v="17006967"/>
    <n v="-5951630.4299999997"/>
    <n v="-0.3499524888829384"/>
    <n v="34"/>
    <n v="31"/>
    <n v="-3"/>
    <n v="-9.6774193548387094E-2"/>
    <n v="167"/>
    <n v="195"/>
    <n v="28"/>
    <n v="0.14358974358974358"/>
    <n v="2408.5"/>
    <n v="29096"/>
    <n v="26687.5"/>
    <n v="0.9172222985977454"/>
  </r>
  <r>
    <s v="42&lt;= 0.17"/>
    <x v="4"/>
    <s v="New paid - half price"/>
    <x v="7"/>
    <n v="30942453.289999999"/>
    <n v="57265764.549999997"/>
    <n v="26323311.259999998"/>
    <n v="0.4596692538177245"/>
    <n v="418"/>
    <n v="1338"/>
    <n v="920"/>
    <n v="0.68759342301943194"/>
    <n v="426"/>
    <n v="1402"/>
    <n v="976"/>
    <n v="0.69614835948644793"/>
    <n v="-5720149"/>
    <n v="-18896895"/>
    <n v="-13176746"/>
    <n v="0.69729688395897849"/>
  </r>
  <r>
    <s v="431-2 Kg"/>
    <x v="4"/>
    <s v="Free district"/>
    <x v="0"/>
    <n v="6520827305.3599997"/>
    <n v="7802091533.0100002"/>
    <n v="1281264227.6500006"/>
    <n v="0.16422060959283524"/>
    <n v="68875"/>
    <n v="79018"/>
    <n v="10143"/>
    <n v="0.12836315776152268"/>
    <n v="85629"/>
    <n v="99154"/>
    <n v="13525"/>
    <n v="0.13640397765092685"/>
    <n v="-769050583.80999994"/>
    <n v="-760681111.38"/>
    <n v="8369472.4299999475"/>
    <n v="-1.1002603199672403E-2"/>
  </r>
  <r>
    <s v="433 Kg"/>
    <x v="4"/>
    <s v="Free district"/>
    <x v="1"/>
    <n v="328056182.82999998"/>
    <n v="370870819.37"/>
    <n v="42814636.540000021"/>
    <n v="0.11544352994050447"/>
    <n v="2737"/>
    <n v="2993"/>
    <n v="256"/>
    <n v="8.5532910123621783E-2"/>
    <n v="6328"/>
    <n v="7073"/>
    <n v="745"/>
    <n v="0.10533012865827796"/>
    <n v="-71498862.5"/>
    <n v="-72887685.120000005"/>
    <n v="-1388822.6200000048"/>
    <n v="1.9054283555767899E-2"/>
  </r>
  <r>
    <s v="434 Kg"/>
    <x v="4"/>
    <s v="Free district"/>
    <x v="2"/>
    <n v="124713255.73"/>
    <n v="130671413.36"/>
    <n v="5958157.6299999952"/>
    <n v="4.5596488756000975E-2"/>
    <n v="881"/>
    <n v="930"/>
    <n v="49"/>
    <n v="5.2688172043010753E-2"/>
    <n v="2747"/>
    <n v="3001"/>
    <n v="254"/>
    <n v="8.4638453848717099E-2"/>
    <n v="-32568613.370000001"/>
    <n v="-33542972.149999999"/>
    <n v="-974358.77999999747"/>
    <n v="2.9048075276179648E-2"/>
  </r>
  <r>
    <s v="435 Kg"/>
    <x v="4"/>
    <s v="Free district"/>
    <x v="3"/>
    <n v="99360980.129999995"/>
    <n v="88789666.790000007"/>
    <n v="-10571313.339999989"/>
    <n v="-0.11906017583107531"/>
    <n v="564"/>
    <n v="508"/>
    <n v="-56"/>
    <n v="-0.11023622047244094"/>
    <n v="2343"/>
    <n v="2049"/>
    <n v="-294"/>
    <n v="-0.14348462664714495"/>
    <n v="-27872742.5"/>
    <n v="-23073628.84"/>
    <n v="4799113.66"/>
    <n v="-0.20799128274440945"/>
  </r>
  <r>
    <s v="436 Kg"/>
    <x v="4"/>
    <s v="Free district"/>
    <x v="4"/>
    <n v="45548830.899999999"/>
    <n v="40083068.600000001"/>
    <n v="-5465762.299999997"/>
    <n v="-0.13636087482583598"/>
    <n v="215"/>
    <n v="203"/>
    <n v="-12"/>
    <n v="-5.9113300492610835E-2"/>
    <n v="884"/>
    <n v="824"/>
    <n v="-60"/>
    <n v="-7.281553398058252E-2"/>
    <n v="-10784756"/>
    <n v="-10598355"/>
    <n v="186401"/>
    <n v="-1.7587729416499071E-2"/>
  </r>
  <r>
    <s v="437 Kg"/>
    <x v="4"/>
    <s v="Free district"/>
    <x v="5"/>
    <n v="46258753.280000001"/>
    <n v="35132751.899999999"/>
    <n v="-11126001.380000003"/>
    <n v="-0.31668459708674296"/>
    <n v="104"/>
    <n v="93"/>
    <n v="-11"/>
    <n v="-0.11827956989247312"/>
    <n v="477"/>
    <n v="420"/>
    <n v="-57"/>
    <n v="-0.1357142857142857"/>
    <n v="-6593601.5"/>
    <n v="-5051373.5"/>
    <n v="1542228"/>
    <n v="-0.30530864526252116"/>
  </r>
  <r>
    <s v="438 Kg and above"/>
    <x v="4"/>
    <s v="Free district"/>
    <x v="6"/>
    <n v="60708089.200000003"/>
    <n v="67013446.850000001"/>
    <n v="6305357.6499999985"/>
    <n v="9.4090931691868315E-2"/>
    <n v="137"/>
    <n v="135"/>
    <n v="-2"/>
    <n v="-1.4814814814814815E-2"/>
    <n v="852"/>
    <n v="834"/>
    <n v="-18"/>
    <n v="-2.1582733812949641E-2"/>
    <n v="-11398870"/>
    <n v="-10008694"/>
    <n v="1390176"/>
    <n v="-0.13889684308462222"/>
  </r>
  <r>
    <s v="43&lt;= 0.17"/>
    <x v="4"/>
    <s v="Free district"/>
    <x v="7"/>
    <n v="104640162.34999999"/>
    <n v="146360806.37"/>
    <n v="41720644.020000011"/>
    <n v="0.28505339000750141"/>
    <n v="1648"/>
    <n v="3291"/>
    <n v="1643"/>
    <n v="0.49924035247645093"/>
    <n v="1671"/>
    <n v="3456"/>
    <n v="1785"/>
    <n v="0.51649305555555558"/>
    <n v="-13913920"/>
    <n v="-23877697.390000001"/>
    <n v="-9963777.3900000006"/>
    <n v="0.41728384555928072"/>
  </r>
  <r>
    <s v="441-2 Kg"/>
    <x v="4"/>
    <s v="Jabodetabek"/>
    <x v="0"/>
    <n v="10263755617.870001"/>
    <n v="12129819620.66"/>
    <n v="1866064002.789999"/>
    <n v="0.15384103483382747"/>
    <n v="105656"/>
    <n v="131642"/>
    <n v="25986"/>
    <n v="0.19739900639613497"/>
    <n v="124105"/>
    <n v="155135"/>
    <n v="31030"/>
    <n v="0.20001933799593902"/>
    <n v="-447051180.20999998"/>
    <n v="-424793141.17000002"/>
    <n v="22258039.039999962"/>
    <n v="-5.2397359756551271E-2"/>
  </r>
  <r>
    <s v="443 Kg"/>
    <x v="4"/>
    <s v="Jabodetabek"/>
    <x v="1"/>
    <n v="461579699.13999999"/>
    <n v="608278239.77999997"/>
    <n v="146698540.63999999"/>
    <n v="0.24117012749470937"/>
    <n v="3648"/>
    <n v="4476"/>
    <n v="828"/>
    <n v="0.18498659517426275"/>
    <n v="7354"/>
    <n v="8877"/>
    <n v="1523"/>
    <n v="0.17156697082347641"/>
    <n v="-41483418.68"/>
    <n v="-46364005.899999999"/>
    <n v="-4880587.2199999988"/>
    <n v="0.10526672847308906"/>
  </r>
  <r>
    <s v="444 Kg"/>
    <x v="4"/>
    <s v="Jabodetabek"/>
    <x v="2"/>
    <n v="194790538.38999999"/>
    <n v="215141009.24000001"/>
    <n v="20350470.850000024"/>
    <n v="9.4591314421594574E-2"/>
    <n v="1248"/>
    <n v="1245"/>
    <n v="-3"/>
    <n v="-2.4096385542168677E-3"/>
    <n v="3190"/>
    <n v="3284"/>
    <n v="94"/>
    <n v="2.8623629719853837E-2"/>
    <n v="-20827203.309999999"/>
    <n v="-20738055.66"/>
    <n v="89147.64999999851"/>
    <n v="-4.2987467803912004E-3"/>
  </r>
  <r>
    <s v="445 Kg"/>
    <x v="4"/>
    <s v="Jabodetabek"/>
    <x v="3"/>
    <n v="90410532.310000002"/>
    <n v="195243478.19"/>
    <n v="104832945.88"/>
    <n v="0.53693443105936911"/>
    <n v="567"/>
    <n v="631"/>
    <n v="64"/>
    <n v="0.10142630744849446"/>
    <n v="2080"/>
    <n v="2123"/>
    <n v="43"/>
    <n v="2.025435704192181E-2"/>
    <n v="-11896467.460000001"/>
    <n v="-13566786.810000001"/>
    <n v="-1670319.3499999996"/>
    <n v="0.12311827210027483"/>
  </r>
  <r>
    <s v="446 Kg"/>
    <x v="4"/>
    <s v="Jabodetabek"/>
    <x v="4"/>
    <n v="86911889.769999996"/>
    <n v="69250755.099999994"/>
    <n v="-17661134.670000002"/>
    <n v="-0.25503165481007156"/>
    <n v="300"/>
    <n v="261"/>
    <n v="-39"/>
    <n v="-0.14942528735632185"/>
    <n v="836"/>
    <n v="830"/>
    <n v="-6"/>
    <n v="-7.2289156626506026E-3"/>
    <n v="-4777704.01"/>
    <n v="-5264423"/>
    <n v="-486718.99000000022"/>
    <n v="9.2454384839516165E-2"/>
  </r>
  <r>
    <s v="447 Kg"/>
    <x v="4"/>
    <s v="Jabodetabek"/>
    <x v="5"/>
    <n v="73017206.510000005"/>
    <n v="74151321.829999998"/>
    <n v="1134115.3199999928"/>
    <n v="1.529460692015816E-2"/>
    <n v="217"/>
    <n v="182"/>
    <n v="-35"/>
    <n v="-0.19230769230769232"/>
    <n v="446"/>
    <n v="568"/>
    <n v="122"/>
    <n v="0.21478873239436619"/>
    <n v="-980558.84"/>
    <n v="-2574918"/>
    <n v="-1594359.1600000001"/>
    <n v="0.61918832366700616"/>
  </r>
  <r>
    <s v="448 Kg and above"/>
    <x v="4"/>
    <s v="Jabodetabek"/>
    <x v="6"/>
    <n v="75088226.420000002"/>
    <n v="147615974.5"/>
    <n v="72527748.079999998"/>
    <n v="0.49132723152533875"/>
    <n v="198"/>
    <n v="196"/>
    <n v="-2"/>
    <n v="-1.020408163265306E-2"/>
    <n v="824"/>
    <n v="1074"/>
    <n v="250"/>
    <n v="0.23277467411545624"/>
    <n v="-3987927.37"/>
    <n v="-6056293.5"/>
    <n v="-2068366.13"/>
    <n v="0.34152343013098685"/>
  </r>
  <r>
    <s v="44&lt;= 0.17"/>
    <x v="4"/>
    <s v="Jabodetabek"/>
    <x v="7"/>
    <n v="135496863.38999999"/>
    <n v="223011206.06999999"/>
    <n v="87514342.680000007"/>
    <n v="0.39242127883264538"/>
    <n v="2957"/>
    <n v="6100"/>
    <n v="3143"/>
    <n v="0.51524590163934425"/>
    <n v="3001"/>
    <n v="6315"/>
    <n v="3314"/>
    <n v="0.52478226444972287"/>
    <n v="-7966895.5999999996"/>
    <n v="-9415996.4000000004"/>
    <n v="-1449100.8000000007"/>
    <n v="0.15389776487170287"/>
  </r>
  <r>
    <s v="501-2 Kg"/>
    <x v="5"/>
    <s v="Old paid district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503 Kg"/>
    <x v="5"/>
    <s v="Old paid district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504 Kg"/>
    <x v="5"/>
    <s v="Old paid district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505 Kg"/>
    <x v="5"/>
    <s v="Old paid district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506 Kg"/>
    <x v="5"/>
    <s v="Old paid district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507 Kg"/>
    <x v="5"/>
    <s v="Old paid district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508 Kg and above"/>
    <x v="5"/>
    <s v="Old paid district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50&lt;= 0.17"/>
    <x v="5"/>
    <s v="Old paid district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511-2 Kg"/>
    <x v="5"/>
    <s v="New paid - full price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513 Kg"/>
    <x v="5"/>
    <s v="New paid - full price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514 Kg"/>
    <x v="5"/>
    <s v="New paid - full price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515 Kg"/>
    <x v="5"/>
    <s v="New paid - full price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516 Kg"/>
    <x v="5"/>
    <s v="New paid - full price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517 Kg"/>
    <x v="5"/>
    <s v="New paid - full price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518 Kg and above"/>
    <x v="5"/>
    <s v="New paid - full price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51&lt;= 0.17"/>
    <x v="5"/>
    <s v="New paid - full price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521-2 Kg"/>
    <x v="5"/>
    <s v="New paid - half price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523 Kg"/>
    <x v="5"/>
    <s v="New paid - half price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524 Kg"/>
    <x v="5"/>
    <s v="New paid - half price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525 Kg"/>
    <x v="5"/>
    <s v="New paid - half price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526 Kg"/>
    <x v="5"/>
    <s v="New paid - half price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527 Kg"/>
    <x v="5"/>
    <s v="New paid - half price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528 Kg and above"/>
    <x v="5"/>
    <s v="New paid - half price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52&lt;= 0.17"/>
    <x v="5"/>
    <s v="New paid - half price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531-2 Kg"/>
    <x v="5"/>
    <s v="Free district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533 Kg"/>
    <x v="5"/>
    <s v="Free district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534 Kg"/>
    <x v="5"/>
    <s v="Free district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535 Kg"/>
    <x v="5"/>
    <s v="Free district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536 Kg"/>
    <x v="5"/>
    <s v="Free district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537 Kg"/>
    <x v="5"/>
    <s v="Free district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538 Kg and above"/>
    <x v="5"/>
    <s v="Free district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53&lt;= 0.17"/>
    <x v="5"/>
    <s v="Free district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541-2 Kg"/>
    <x v="5"/>
    <s v="Jabodetabek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543 Kg"/>
    <x v="5"/>
    <s v="Jabodetabek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544 Kg"/>
    <x v="5"/>
    <s v="Jabodetabek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545 Kg"/>
    <x v="5"/>
    <s v="Jabodetabek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546 Kg"/>
    <x v="5"/>
    <s v="Jabodetabek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547 Kg"/>
    <x v="5"/>
    <s v="Jabodetabek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548 Kg and above"/>
    <x v="5"/>
    <s v="Jabodetabek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54&lt;= 0.17"/>
    <x v="5"/>
    <s v="Jabodetabek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601-2 Kg"/>
    <x v="6"/>
    <s v="Old paid district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603 Kg"/>
    <x v="6"/>
    <s v="Old paid district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604 Kg"/>
    <x v="6"/>
    <s v="Old paid district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605 Kg"/>
    <x v="6"/>
    <s v="Old paid district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606 Kg"/>
    <x v="6"/>
    <s v="Old paid district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607 Kg"/>
    <x v="6"/>
    <s v="Old paid district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608 Kg and above"/>
    <x v="6"/>
    <s v="Old paid district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60&lt;= 0.17"/>
    <x v="6"/>
    <s v="Old paid district"/>
    <x v="7"/>
    <n v="0"/>
    <n v="0"/>
    <n v="0"/>
    <n v="0"/>
    <n v="0"/>
    <n v="0"/>
    <n v="0"/>
    <n v="0"/>
    <n v="0"/>
    <n v="0"/>
    <n v="0"/>
    <n v="0"/>
    <n v="0"/>
    <n v="0"/>
    <n v="0"/>
    <n v="0"/>
  </r>
  <r>
    <s v="611-2 Kg"/>
    <x v="6"/>
    <s v="New paid - full price"/>
    <x v="0"/>
    <n v="0"/>
    <n v="0"/>
    <n v="0"/>
    <n v="0"/>
    <n v="0"/>
    <n v="0"/>
    <n v="0"/>
    <n v="0"/>
    <n v="0"/>
    <n v="0"/>
    <n v="0"/>
    <n v="0"/>
    <n v="0"/>
    <n v="0"/>
    <n v="0"/>
    <n v="0"/>
  </r>
  <r>
    <s v="613 Kg"/>
    <x v="6"/>
    <s v="New paid - full price"/>
    <x v="1"/>
    <n v="0"/>
    <n v="0"/>
    <n v="0"/>
    <n v="0"/>
    <n v="0"/>
    <n v="0"/>
    <n v="0"/>
    <n v="0"/>
    <n v="0"/>
    <n v="0"/>
    <n v="0"/>
    <n v="0"/>
    <n v="0"/>
    <n v="0"/>
    <n v="0"/>
    <n v="0"/>
  </r>
  <r>
    <s v="614 Kg"/>
    <x v="6"/>
    <s v="New paid - full price"/>
    <x v="2"/>
    <n v="0"/>
    <n v="0"/>
    <n v="0"/>
    <n v="0"/>
    <n v="0"/>
    <n v="0"/>
    <n v="0"/>
    <n v="0"/>
    <n v="0"/>
    <n v="0"/>
    <n v="0"/>
    <n v="0"/>
    <n v="0"/>
    <n v="0"/>
    <n v="0"/>
    <n v="0"/>
  </r>
  <r>
    <s v="615 Kg"/>
    <x v="6"/>
    <s v="New paid - full price"/>
    <x v="3"/>
    <n v="0"/>
    <n v="0"/>
    <n v="0"/>
    <n v="0"/>
    <n v="0"/>
    <n v="0"/>
    <n v="0"/>
    <n v="0"/>
    <n v="0"/>
    <n v="0"/>
    <n v="0"/>
    <n v="0"/>
    <n v="0"/>
    <n v="0"/>
    <n v="0"/>
    <n v="0"/>
  </r>
  <r>
    <s v="616 Kg"/>
    <x v="6"/>
    <s v="New paid - full price"/>
    <x v="4"/>
    <n v="0"/>
    <n v="0"/>
    <n v="0"/>
    <n v="0"/>
    <n v="0"/>
    <n v="0"/>
    <n v="0"/>
    <n v="0"/>
    <n v="0"/>
    <n v="0"/>
    <n v="0"/>
    <n v="0"/>
    <n v="0"/>
    <n v="0"/>
    <n v="0"/>
    <n v="0"/>
  </r>
  <r>
    <s v="617 Kg"/>
    <x v="6"/>
    <s v="New paid - full price"/>
    <x v="5"/>
    <n v="0"/>
    <n v="0"/>
    <n v="0"/>
    <n v="0"/>
    <n v="0"/>
    <n v="0"/>
    <n v="0"/>
    <n v="0"/>
    <n v="0"/>
    <n v="0"/>
    <n v="0"/>
    <n v="0"/>
    <n v="0"/>
    <n v="0"/>
    <n v="0"/>
    <n v="0"/>
  </r>
  <r>
    <s v="618 Kg and above"/>
    <x v="6"/>
    <s v="New paid - full price"/>
    <x v="6"/>
    <n v="0"/>
    <n v="0"/>
    <n v="0"/>
    <n v="0"/>
    <n v="0"/>
    <n v="0"/>
    <n v="0"/>
    <n v="0"/>
    <n v="0"/>
    <n v="0"/>
    <n v="0"/>
    <n v="0"/>
    <n v="0"/>
    <n v="0"/>
    <n v="0"/>
    <n v="0"/>
  </r>
  <r>
    <s v="61&lt;= 0.17"/>
    <x v="6"/>
    <s v="New paid - full price"/>
    <x v="7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3:J10" firstHeaderRow="0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1"/>
        <item x="4"/>
        <item m="1" x="7"/>
        <item x="2"/>
        <item x="0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4"/>
    </i>
    <i>
      <x v="5"/>
    </i>
    <i>
      <x v="6"/>
    </i>
    <i>
      <x v="7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before" fld="4" baseField="0" baseItem="0"/>
    <dataField name="Sum of after" fld="5" baseField="0" baseItem="0"/>
    <dataField name="Sum of before2" fld="8" baseField="0" baseItem="0"/>
    <dataField name="Sum of after2" fld="9" baseField="0" baseItem="0"/>
    <dataField name="Sum of before3" fld="12" baseField="0" baseItem="0"/>
    <dataField name="Sum of after3" fld="13" baseField="0" baseItem="0"/>
    <dataField name="Sum of before4" fld="16" baseField="0" baseItem="0"/>
    <dataField name="Sum of after4" fld="17" baseField="0" baseItem="0"/>
  </dataFields>
  <formats count="10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" type="button" dataOnly="0" labelOnly="1" outline="0" axis="axisRow" fieldPosition="0"/>
    </format>
    <format dxfId="82">
      <pivotArea dataOnly="0" labelOnly="1" outline="0" fieldPosition="0">
        <references count="1">
          <reference field="1" count="0"/>
        </references>
      </pivotArea>
    </format>
    <format dxfId="8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" type="button" dataOnly="0" labelOnly="1" outline="0" axis="axisRow" fieldPosition="0"/>
    </format>
    <format dxfId="77">
      <pivotArea dataOnly="0" labelOnly="1" outline="0" fieldPosition="0">
        <references count="1">
          <reference field="1" count="0"/>
        </references>
      </pivotArea>
    </format>
    <format dxfId="7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4:J70" firstHeaderRow="0" firstDataRow="1" firstDataCol="2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1"/>
        <item x="4"/>
        <item m="1" x="7"/>
        <item x="2"/>
        <item x="0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before" fld="4" baseField="0" baseItem="0"/>
    <dataField name="Sum of after" fld="5" baseField="0" baseItem="0"/>
    <dataField name="Sum of before2" fld="8" baseField="0" baseItem="0"/>
    <dataField name="Sum of after2" fld="9" baseField="0" baseItem="0"/>
    <dataField name="Sum of before3" fld="12" baseField="0" baseItem="0"/>
    <dataField name="Sum of after3" fld="13" baseField="0" baseItem="0"/>
    <dataField name="Sum of before4" fld="16" baseField="0" baseItem="0"/>
    <dataField name="Sum of after4" fld="17" baseField="0" baseItem="0"/>
  </dataFields>
  <formats count="28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" type="button" dataOnly="0" labelOnly="1" outline="0" axis="axisRow" fieldPosition="0"/>
    </format>
    <format dxfId="110">
      <pivotArea field="3" type="button" dataOnly="0" labelOnly="1" outline="0" axis="axisRow" fieldPosition="1"/>
    </format>
    <format dxfId="109">
      <pivotArea dataOnly="0" labelOnly="1" outline="0" fieldPosition="0">
        <references count="1">
          <reference field="1" count="0"/>
        </references>
      </pivotArea>
    </format>
    <format dxfId="108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107">
      <pivotArea dataOnly="0" labelOnly="1" outline="0" fieldPosition="0">
        <references count="2">
          <reference field="1" count="1" selected="0">
            <x v="1"/>
          </reference>
          <reference field="3" count="0"/>
        </references>
      </pivotArea>
    </format>
    <format dxfId="106">
      <pivotArea dataOnly="0" labelOnly="1" outline="0" fieldPosition="0">
        <references count="2">
          <reference field="1" count="1" selected="0">
            <x v="2"/>
          </reference>
          <reference field="3" count="0"/>
        </references>
      </pivotArea>
    </format>
    <format dxfId="105">
      <pivotArea dataOnly="0" labelOnly="1" outline="0" fieldPosition="0">
        <references count="2">
          <reference field="1" count="1" selected="0">
            <x v="3"/>
          </reference>
          <reference field="3" count="0"/>
        </references>
      </pivotArea>
    </format>
    <format dxfId="104">
      <pivotArea dataOnly="0" labelOnly="1" outline="0" fieldPosition="0">
        <references count="2">
          <reference field="1" count="1" selected="0">
            <x v="4"/>
          </reference>
          <reference field="3" count="0"/>
        </references>
      </pivotArea>
    </format>
    <format dxfId="103">
      <pivotArea dataOnly="0" labelOnly="1" outline="0" fieldPosition="0">
        <references count="2">
          <reference field="1" count="1" selected="0">
            <x v="5"/>
          </reference>
          <reference field="3" count="0"/>
        </references>
      </pivotArea>
    </format>
    <format dxfId="102">
      <pivotArea dataOnly="0" labelOnly="1" outline="0" fieldPosition="0">
        <references count="2">
          <reference field="1" count="1" selected="0">
            <x v="6"/>
          </reference>
          <reference field="3" count="0"/>
        </references>
      </pivotArea>
    </format>
    <format dxfId="101">
      <pivotArea dataOnly="0" labelOnly="1" outline="0" fieldPosition="0">
        <references count="2">
          <reference field="1" count="1" selected="0">
            <x v="7"/>
          </reference>
          <reference field="3" count="0"/>
        </references>
      </pivotArea>
    </format>
    <format dxfId="10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" type="button" dataOnly="0" labelOnly="1" outline="0" axis="axisRow" fieldPosition="0"/>
    </format>
    <format dxfId="96">
      <pivotArea field="3" type="button" dataOnly="0" labelOnly="1" outline="0" axis="axisRow" fieldPosition="1"/>
    </format>
    <format dxfId="95">
      <pivotArea dataOnly="0" labelOnly="1" outline="0" fieldPosition="0">
        <references count="1">
          <reference field="1" count="0"/>
        </references>
      </pivotArea>
    </format>
    <format dxfId="94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93">
      <pivotArea dataOnly="0" labelOnly="1" outline="0" fieldPosition="0">
        <references count="2">
          <reference field="1" count="1" selected="0">
            <x v="1"/>
          </reference>
          <reference field="3" count="0"/>
        </references>
      </pivotArea>
    </format>
    <format dxfId="92">
      <pivotArea dataOnly="0" labelOnly="1" outline="0" fieldPosition="0">
        <references count="2">
          <reference field="1" count="1" selected="0">
            <x v="2"/>
          </reference>
          <reference field="3" count="0"/>
        </references>
      </pivotArea>
    </format>
    <format dxfId="91">
      <pivotArea dataOnly="0" labelOnly="1" outline="0" fieldPosition="0">
        <references count="2">
          <reference field="1" count="1" selected="0">
            <x v="3"/>
          </reference>
          <reference field="3" count="0"/>
        </references>
      </pivotArea>
    </format>
    <format dxfId="90">
      <pivotArea dataOnly="0" labelOnly="1" outline="0" fieldPosition="0">
        <references count="2">
          <reference field="1" count="1" selected="0">
            <x v="4"/>
          </reference>
          <reference field="3" count="0"/>
        </references>
      </pivotArea>
    </format>
    <format dxfId="89">
      <pivotArea dataOnly="0" labelOnly="1" outline="0" fieldPosition="0">
        <references count="2">
          <reference field="1" count="1" selected="0">
            <x v="5"/>
          </reference>
          <reference field="3" count="0"/>
        </references>
      </pivotArea>
    </format>
    <format dxfId="88">
      <pivotArea dataOnly="0" labelOnly="1" outline="0" fieldPosition="0">
        <references count="2">
          <reference field="1" count="1" selected="0">
            <x v="6"/>
          </reference>
          <reference field="3" count="0"/>
        </references>
      </pivotArea>
    </format>
    <format dxfId="87">
      <pivotArea dataOnly="0" labelOnly="1" outline="0" fieldPosition="0">
        <references count="2">
          <reference field="1" count="1" selected="0">
            <x v="7"/>
          </reference>
          <reference field="3" count="0"/>
        </references>
      </pivotArea>
    </format>
    <format dxfId="8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zoomScale="85" zoomScaleNormal="85" workbookViewId="0">
      <selection activeCell="B3" sqref="B3"/>
    </sheetView>
  </sheetViews>
  <sheetFormatPr defaultRowHeight="14.25" x14ac:dyDescent="0.25"/>
  <cols>
    <col min="1" max="1" width="16.85546875" style="1" bestFit="1" customWidth="1"/>
    <col min="2" max="3" width="18.7109375" style="1" bestFit="1" customWidth="1"/>
    <col min="4" max="4" width="18.28515625" style="1" bestFit="1" customWidth="1"/>
    <col min="5" max="5" width="7.7109375" style="1" bestFit="1" customWidth="1"/>
    <col min="6" max="7" width="13" style="1" bestFit="1" customWidth="1"/>
    <col min="8" max="8" width="12.140625" style="1" bestFit="1" customWidth="1"/>
    <col min="9" max="9" width="7.7109375" style="1" bestFit="1" customWidth="1"/>
    <col min="10" max="11" width="13" style="1" bestFit="1" customWidth="1"/>
    <col min="12" max="12" width="12.140625" style="1" bestFit="1" customWidth="1"/>
    <col min="13" max="13" width="7.7109375" style="1" bestFit="1" customWidth="1"/>
    <col min="14" max="14" width="18.28515625" style="1" bestFit="1" customWidth="1"/>
    <col min="15" max="15" width="17.140625" style="1" bestFit="1" customWidth="1"/>
    <col min="16" max="16" width="16.5703125" style="1" bestFit="1" customWidth="1"/>
    <col min="17" max="17" width="7.7109375" style="1" bestFit="1" customWidth="1"/>
    <col min="18" max="16384" width="9.140625" style="1"/>
  </cols>
  <sheetData>
    <row r="1" spans="1:18" x14ac:dyDescent="0.25">
      <c r="A1" s="9" t="s">
        <v>310</v>
      </c>
      <c r="B1" s="9" t="s">
        <v>385</v>
      </c>
    </row>
    <row r="2" spans="1:18" x14ac:dyDescent="0.25">
      <c r="A2" s="9" t="s">
        <v>311</v>
      </c>
      <c r="B2" s="9" t="s">
        <v>386</v>
      </c>
    </row>
    <row r="5" spans="1:18" x14ac:dyDescent="0.25">
      <c r="A5" s="9" t="s">
        <v>306</v>
      </c>
      <c r="B5" s="2"/>
      <c r="C5" s="2"/>
      <c r="D5" s="2"/>
      <c r="E5" s="3"/>
      <c r="F5" s="2"/>
      <c r="G5" s="2"/>
      <c r="H5" s="2"/>
      <c r="I5" s="3"/>
      <c r="J5" s="2"/>
      <c r="K5" s="2"/>
      <c r="L5" s="2"/>
      <c r="M5" s="3"/>
      <c r="N5" s="2"/>
      <c r="O5" s="2"/>
      <c r="P5" s="2"/>
      <c r="Q5" s="3"/>
    </row>
    <row r="6" spans="1:18" x14ac:dyDescent="0.25">
      <c r="A6" s="19" t="s">
        <v>307</v>
      </c>
      <c r="B6" s="20" t="s">
        <v>292</v>
      </c>
      <c r="C6" s="20"/>
      <c r="D6" s="20"/>
      <c r="E6" s="20"/>
      <c r="F6" s="20" t="s">
        <v>291</v>
      </c>
      <c r="G6" s="20"/>
      <c r="H6" s="20"/>
      <c r="I6" s="20"/>
      <c r="J6" s="20" t="s">
        <v>290</v>
      </c>
      <c r="K6" s="20"/>
      <c r="L6" s="20"/>
      <c r="M6" s="20"/>
      <c r="N6" s="20" t="s">
        <v>308</v>
      </c>
      <c r="O6" s="20"/>
      <c r="P6" s="20"/>
      <c r="Q6" s="20"/>
    </row>
    <row r="7" spans="1:18" x14ac:dyDescent="0.25">
      <c r="A7" s="19"/>
      <c r="B7" s="21">
        <f>SUBTOTAL(9,B9:B12)</f>
        <v>301355592390.48999</v>
      </c>
      <c r="C7" s="21">
        <f>SUBTOTAL(9,C9:C12)</f>
        <v>311860157746.81006</v>
      </c>
      <c r="D7" s="21">
        <f>C7-B7</f>
        <v>10504565356.320068</v>
      </c>
      <c r="E7" s="22">
        <f>D7/B7</f>
        <v>3.4857708373662706E-2</v>
      </c>
      <c r="F7" s="21">
        <f>SUBTOTAL(9,F9:F12)</f>
        <v>1645789</v>
      </c>
      <c r="G7" s="21">
        <f>SUBTOTAL(9,G9:G12)</f>
        <v>1521515</v>
      </c>
      <c r="H7" s="21">
        <f>G7-F7</f>
        <v>-124274</v>
      </c>
      <c r="I7" s="22">
        <f>H7/F7</f>
        <v>-7.5510287163178272E-2</v>
      </c>
      <c r="J7" s="21">
        <f>SUBTOTAL(9,J9:J12)</f>
        <v>2181138</v>
      </c>
      <c r="K7" s="21">
        <f>SUBTOTAL(9,K9:K12)</f>
        <v>2013915</v>
      </c>
      <c r="L7" s="21">
        <f>K7-J7</f>
        <v>-167223</v>
      </c>
      <c r="M7" s="22">
        <f>L7/J7</f>
        <v>-7.6667776179223879E-2</v>
      </c>
      <c r="N7" s="21">
        <f>SUBTOTAL(9,N9:N12)</f>
        <v>-15193899970.7854</v>
      </c>
      <c r="O7" s="21">
        <f>SUBTOTAL(9,O9:O12)</f>
        <v>-12176088613.0513</v>
      </c>
      <c r="P7" s="21">
        <f>O7-N7</f>
        <v>3017811357.7341003</v>
      </c>
      <c r="Q7" s="22">
        <f>P7/N7</f>
        <v>-0.19861993059956312</v>
      </c>
      <c r="R7" s="10"/>
    </row>
    <row r="8" spans="1:18" x14ac:dyDescent="0.25">
      <c r="A8" s="23" t="s">
        <v>309</v>
      </c>
      <c r="B8" s="24" t="s">
        <v>280</v>
      </c>
      <c r="C8" s="24" t="s">
        <v>285</v>
      </c>
      <c r="D8" s="24" t="s">
        <v>287</v>
      </c>
      <c r="E8" s="25" t="s">
        <v>288</v>
      </c>
      <c r="F8" s="24" t="s">
        <v>280</v>
      </c>
      <c r="G8" s="24" t="s">
        <v>285</v>
      </c>
      <c r="H8" s="24" t="s">
        <v>287</v>
      </c>
      <c r="I8" s="25" t="s">
        <v>288</v>
      </c>
      <c r="J8" s="24" t="s">
        <v>280</v>
      </c>
      <c r="K8" s="24" t="s">
        <v>285</v>
      </c>
      <c r="L8" s="24" t="s">
        <v>287</v>
      </c>
      <c r="M8" s="25" t="s">
        <v>288</v>
      </c>
      <c r="N8" s="24" t="s">
        <v>280</v>
      </c>
      <c r="O8" s="24" t="s">
        <v>285</v>
      </c>
      <c r="P8" s="24" t="s">
        <v>287</v>
      </c>
      <c r="Q8" s="25" t="s">
        <v>288</v>
      </c>
    </row>
    <row r="9" spans="1:18" x14ac:dyDescent="0.25">
      <c r="A9" s="9" t="s">
        <v>50</v>
      </c>
      <c r="B9" s="2">
        <f>GETPIVOTDATA("Sum of before",'BU Pivot'!$B$3,"shipment_scheme",$A9)</f>
        <v>69260070405.660004</v>
      </c>
      <c r="C9" s="2">
        <f>GETPIVOTDATA("Sum of after",'BU Pivot'!$B$3,"shipment_scheme",$A9)</f>
        <v>66339922067.26001</v>
      </c>
      <c r="D9" s="2">
        <f>C9-B9</f>
        <v>-2920148338.3999939</v>
      </c>
      <c r="E9" s="3">
        <f>D9/B9</f>
        <v>-4.2162075800624026E-2</v>
      </c>
      <c r="F9" s="2">
        <f>GETPIVOTDATA("Sum of before2",'BU Pivot'!$B$3,"shipment_scheme",$A9)</f>
        <v>233471</v>
      </c>
      <c r="G9" s="2">
        <f>GETPIVOTDATA("Sum of after2",'BU Pivot'!$B$3,"shipment_scheme",$A9)</f>
        <v>211548</v>
      </c>
      <c r="H9" s="2">
        <f t="shared" ref="H9:H12" si="0">G9-F9</f>
        <v>-21923</v>
      </c>
      <c r="I9" s="3">
        <f t="shared" ref="I9:I12" si="1">H9/F9</f>
        <v>-9.3900313100984706E-2</v>
      </c>
      <c r="J9" s="2">
        <f>GETPIVOTDATA("Sum of before3",'BU Pivot'!$B$3,"shipment_scheme",$A9)</f>
        <v>301017</v>
      </c>
      <c r="K9" s="2">
        <f>GETPIVOTDATA("Sum of after3",'BU Pivot'!$B$3,"shipment_scheme",$A9)</f>
        <v>279683</v>
      </c>
      <c r="L9" s="2">
        <f t="shared" ref="L9:L12" si="2">K9-J9</f>
        <v>-21334</v>
      </c>
      <c r="M9" s="3">
        <f t="shared" ref="M9:M12" si="3">L9/J9</f>
        <v>-7.0873073613782617E-2</v>
      </c>
      <c r="N9" s="2">
        <f>GETPIVOTDATA("Sum of before4",'BU Pivot'!$B$3,"shipment_scheme",$A9)</f>
        <v>-2312416326.2999997</v>
      </c>
      <c r="O9" s="2">
        <f>GETPIVOTDATA("Sum of after4",'BU Pivot'!$B$3,"shipment_scheme",$A9)</f>
        <v>-2447790112.21</v>
      </c>
      <c r="P9" s="2">
        <f t="shared" ref="P9:P12" si="4">O9-N9</f>
        <v>-135373785.91000032</v>
      </c>
      <c r="Q9" s="3">
        <f t="shared" ref="Q9:Q12" si="5">P9/N9</f>
        <v>5.8542133771649262E-2</v>
      </c>
    </row>
    <row r="10" spans="1:18" x14ac:dyDescent="0.25">
      <c r="A10" s="9" t="s">
        <v>149</v>
      </c>
      <c r="B10" s="2">
        <f>GETPIVOTDATA("Sum of before",'BU Pivot'!$B$3,"shipment_scheme",$A10)</f>
        <v>22099814562.449997</v>
      </c>
      <c r="C10" s="2">
        <f>GETPIVOTDATA("Sum of after",'BU Pivot'!$B$3,"shipment_scheme",$A10)</f>
        <v>26727882078.32</v>
      </c>
      <c r="D10" s="2">
        <f t="shared" ref="D10:D12" si="6">C10-B10</f>
        <v>4628067515.8700027</v>
      </c>
      <c r="E10" s="3">
        <f t="shared" ref="E10:E12" si="7">D10/B10</f>
        <v>0.20941657690348206</v>
      </c>
      <c r="F10" s="2">
        <f>GETPIVOTDATA("Sum of before2",'BU Pivot'!$B$3,"shipment_scheme",$A10)</f>
        <v>216077</v>
      </c>
      <c r="G10" s="2">
        <f>GETPIVOTDATA("Sum of after2",'BU Pivot'!$B$3,"shipment_scheme",$A10)</f>
        <v>266724</v>
      </c>
      <c r="H10" s="2">
        <f t="shared" si="0"/>
        <v>50647</v>
      </c>
      <c r="I10" s="3">
        <f t="shared" si="1"/>
        <v>0.23439329498280706</v>
      </c>
      <c r="J10" s="2">
        <f>GETPIVOTDATA("Sum of before3",'BU Pivot'!$B$3,"shipment_scheme",$A10)</f>
        <v>274166</v>
      </c>
      <c r="K10" s="2">
        <f>GETPIVOTDATA("Sum of after3",'BU Pivot'!$B$3,"shipment_scheme",$A10)</f>
        <v>336562</v>
      </c>
      <c r="L10" s="2">
        <f t="shared" si="2"/>
        <v>62396</v>
      </c>
      <c r="M10" s="3">
        <f t="shared" si="3"/>
        <v>0.22758474792643874</v>
      </c>
      <c r="N10" s="2">
        <f>GETPIVOTDATA("Sum of before4",'BU Pivot'!$B$3,"shipment_scheme",$A10)</f>
        <v>-1427967125.1599996</v>
      </c>
      <c r="O10" s="2">
        <f>GETPIVOTDATA("Sum of after4",'BU Pivot'!$B$3,"shipment_scheme",$A10)</f>
        <v>-1419898621.8200002</v>
      </c>
      <c r="P10" s="2">
        <f t="shared" si="4"/>
        <v>8068503.3399994373</v>
      </c>
      <c r="Q10" s="3">
        <f t="shared" si="5"/>
        <v>-5.650342502874767E-3</v>
      </c>
    </row>
    <row r="11" spans="1:18" x14ac:dyDescent="0.25">
      <c r="A11" s="9" t="s">
        <v>83</v>
      </c>
      <c r="B11" s="2">
        <f>GETPIVOTDATA("Sum of before",'BU Pivot'!$B$3,"shipment_scheme",$A11)</f>
        <v>134989442771.58</v>
      </c>
      <c r="C11" s="2">
        <f>GETPIVOTDATA("Sum of after",'BU Pivot'!$B$3,"shipment_scheme",$A11)</f>
        <v>123924935113.22</v>
      </c>
      <c r="D11" s="2">
        <f t="shared" si="6"/>
        <v>-11064507658.360001</v>
      </c>
      <c r="E11" s="3">
        <f t="shared" si="7"/>
        <v>-8.1965725846299048E-2</v>
      </c>
      <c r="F11" s="2">
        <f>GETPIVOTDATA("Sum of before2",'BU Pivot'!$B$3,"shipment_scheme",$A11)</f>
        <v>1058080</v>
      </c>
      <c r="G11" s="2">
        <f>GETPIVOTDATA("Sum of after2",'BU Pivot'!$B$3,"shipment_scheme",$A11)</f>
        <v>907148</v>
      </c>
      <c r="H11" s="2">
        <f t="shared" si="0"/>
        <v>-150932</v>
      </c>
      <c r="I11" s="3">
        <f t="shared" si="1"/>
        <v>-0.1426470588235294</v>
      </c>
      <c r="J11" s="2">
        <f>GETPIVOTDATA("Sum of before3",'BU Pivot'!$B$3,"shipment_scheme",$A11)</f>
        <v>1406264</v>
      </c>
      <c r="K11" s="2">
        <f>GETPIVOTDATA("Sum of after3",'BU Pivot'!$B$3,"shipment_scheme",$A11)</f>
        <v>1200669</v>
      </c>
      <c r="L11" s="2">
        <f t="shared" si="2"/>
        <v>-205595</v>
      </c>
      <c r="M11" s="3">
        <f t="shared" si="3"/>
        <v>-0.14619943339230757</v>
      </c>
      <c r="N11" s="2">
        <f>GETPIVOTDATA("Sum of before4",'BU Pivot'!$B$3,"shipment_scheme",$A11)</f>
        <v>-9173960369.2970009</v>
      </c>
      <c r="O11" s="2">
        <f>GETPIVOTDATA("Sum of after4",'BU Pivot'!$B$3,"shipment_scheme",$A11)</f>
        <v>-5929509794.6673002</v>
      </c>
      <c r="P11" s="2">
        <f t="shared" si="4"/>
        <v>3244450574.6297007</v>
      </c>
      <c r="Q11" s="3">
        <f t="shared" si="5"/>
        <v>-0.3536586647450628</v>
      </c>
    </row>
    <row r="12" spans="1:18" x14ac:dyDescent="0.25">
      <c r="A12" s="9" t="s">
        <v>116</v>
      </c>
      <c r="B12" s="2">
        <f>GETPIVOTDATA("Sum of before",'BU Pivot'!$B$3,"shipment_scheme",$A12)</f>
        <v>75006264650.800003</v>
      </c>
      <c r="C12" s="2">
        <f>GETPIVOTDATA("Sum of after",'BU Pivot'!$B$3,"shipment_scheme",$A12)</f>
        <v>94867418488.01001</v>
      </c>
      <c r="D12" s="2">
        <f t="shared" si="6"/>
        <v>19861153837.210007</v>
      </c>
      <c r="E12" s="3">
        <f t="shared" si="7"/>
        <v>0.26479326666480213</v>
      </c>
      <c r="F12" s="2">
        <f>GETPIVOTDATA("Sum of before2",'BU Pivot'!$B$3,"shipment_scheme",$A12)</f>
        <v>138161</v>
      </c>
      <c r="G12" s="2">
        <f>GETPIVOTDATA("Sum of after2",'BU Pivot'!$B$3,"shipment_scheme",$A12)</f>
        <v>136095</v>
      </c>
      <c r="H12" s="2">
        <f t="shared" si="0"/>
        <v>-2066</v>
      </c>
      <c r="I12" s="3">
        <f t="shared" si="1"/>
        <v>-1.4953568662647201E-2</v>
      </c>
      <c r="J12" s="2">
        <f>GETPIVOTDATA("Sum of before3",'BU Pivot'!$B$3,"shipment_scheme",$A12)</f>
        <v>199691</v>
      </c>
      <c r="K12" s="2">
        <f>GETPIVOTDATA("Sum of after3",'BU Pivot'!$B$3,"shipment_scheme",$A12)</f>
        <v>197001</v>
      </c>
      <c r="L12" s="2">
        <f t="shared" si="2"/>
        <v>-2690</v>
      </c>
      <c r="M12" s="3">
        <f t="shared" si="3"/>
        <v>-1.3470812405165981E-2</v>
      </c>
      <c r="N12" s="2">
        <f>GETPIVOTDATA("Sum of before4",'BU Pivot'!$B$3,"shipment_scheme",$A12)</f>
        <v>-2279556150.0283999</v>
      </c>
      <c r="O12" s="2">
        <f>GETPIVOTDATA("Sum of after4",'BU Pivot'!$B$3,"shipment_scheme",$A12)</f>
        <v>-2378890084.3540006</v>
      </c>
      <c r="P12" s="2">
        <f t="shared" si="4"/>
        <v>-99333934.325600624</v>
      </c>
      <c r="Q12" s="3">
        <f t="shared" si="5"/>
        <v>4.3575998039953115E-2</v>
      </c>
    </row>
    <row r="13" spans="1:18" x14ac:dyDescent="0.25">
      <c r="A13" s="9"/>
      <c r="B13" s="2"/>
      <c r="C13" s="2"/>
      <c r="D13" s="2"/>
      <c r="E13" s="3"/>
      <c r="F13" s="2"/>
      <c r="G13" s="2"/>
      <c r="H13" s="2"/>
      <c r="I13" s="3"/>
      <c r="J13" s="2"/>
      <c r="K13" s="2"/>
      <c r="L13" s="2"/>
      <c r="M13" s="3"/>
      <c r="N13" s="2"/>
      <c r="O13" s="2"/>
      <c r="P13" s="2"/>
      <c r="Q13" s="3"/>
    </row>
    <row r="14" spans="1:18" x14ac:dyDescent="0.25">
      <c r="A14" s="9" t="s">
        <v>50</v>
      </c>
      <c r="B14" s="2"/>
      <c r="C14" s="2"/>
      <c r="D14" s="2"/>
      <c r="E14" s="3"/>
      <c r="F14" s="2"/>
      <c r="G14" s="2"/>
      <c r="H14" s="2"/>
      <c r="I14" s="3"/>
      <c r="J14" s="2"/>
      <c r="K14" s="2"/>
      <c r="L14" s="2"/>
      <c r="M14" s="3"/>
      <c r="N14" s="2"/>
      <c r="O14" s="2"/>
      <c r="P14" s="2"/>
      <c r="Q14" s="3"/>
    </row>
    <row r="15" spans="1:18" x14ac:dyDescent="0.25">
      <c r="A15" s="19" t="s">
        <v>296</v>
      </c>
      <c r="B15" s="20" t="s">
        <v>292</v>
      </c>
      <c r="C15" s="20"/>
      <c r="D15" s="20"/>
      <c r="E15" s="20"/>
      <c r="F15" s="20" t="s">
        <v>291</v>
      </c>
      <c r="G15" s="20"/>
      <c r="H15" s="20"/>
      <c r="I15" s="20"/>
      <c r="J15" s="20" t="s">
        <v>290</v>
      </c>
      <c r="K15" s="20"/>
      <c r="L15" s="20"/>
      <c r="M15" s="20"/>
      <c r="N15" s="20" t="s">
        <v>308</v>
      </c>
      <c r="O15" s="20"/>
      <c r="P15" s="20"/>
      <c r="Q15" s="20"/>
    </row>
    <row r="16" spans="1:18" x14ac:dyDescent="0.25">
      <c r="A16" s="19"/>
      <c r="B16" s="21">
        <f>SUBTOTAL(9,B18:B25)</f>
        <v>69260070405.659988</v>
      </c>
      <c r="C16" s="21">
        <f>SUBTOTAL(9,C18:C25)</f>
        <v>66339922067.259995</v>
      </c>
      <c r="D16" s="21">
        <f>C16-B16</f>
        <v>-2920148338.3999939</v>
      </c>
      <c r="E16" s="22">
        <f>D16/B16</f>
        <v>-4.2162075800624033E-2</v>
      </c>
      <c r="F16" s="21">
        <f>SUBTOTAL(9,F18:F25)</f>
        <v>233471</v>
      </c>
      <c r="G16" s="21">
        <f>SUBTOTAL(9,G18:G25)</f>
        <v>211548</v>
      </c>
      <c r="H16" s="21">
        <f>G16-F16</f>
        <v>-21923</v>
      </c>
      <c r="I16" s="22">
        <f>H16/F16</f>
        <v>-9.3900313100984706E-2</v>
      </c>
      <c r="J16" s="21">
        <f>SUBTOTAL(9,J18:J25)</f>
        <v>301017</v>
      </c>
      <c r="K16" s="21">
        <f>SUBTOTAL(9,K18:K25)</f>
        <v>279683</v>
      </c>
      <c r="L16" s="21">
        <f>K16-J16</f>
        <v>-21334</v>
      </c>
      <c r="M16" s="22">
        <f>L16/J16</f>
        <v>-7.0873073613782617E-2</v>
      </c>
      <c r="N16" s="21">
        <f>SUBTOTAL(9,N18:N25)</f>
        <v>-2312416326.2999997</v>
      </c>
      <c r="O16" s="21">
        <f>SUBTOTAL(9,O18:O25)</f>
        <v>-2447790112.21</v>
      </c>
      <c r="P16" s="21">
        <f>O16-N16</f>
        <v>-135373785.91000032</v>
      </c>
      <c r="Q16" s="22">
        <f>P16/N16</f>
        <v>5.8542133771649262E-2</v>
      </c>
      <c r="R16" s="10"/>
    </row>
    <row r="17" spans="1:17" x14ac:dyDescent="0.25">
      <c r="A17" s="23" t="s">
        <v>3</v>
      </c>
      <c r="B17" s="24" t="s">
        <v>280</v>
      </c>
      <c r="C17" s="24" t="s">
        <v>285</v>
      </c>
      <c r="D17" s="24" t="s">
        <v>287</v>
      </c>
      <c r="E17" s="25" t="s">
        <v>288</v>
      </c>
      <c r="F17" s="24" t="s">
        <v>280</v>
      </c>
      <c r="G17" s="24" t="s">
        <v>285</v>
      </c>
      <c r="H17" s="24" t="s">
        <v>287</v>
      </c>
      <c r="I17" s="25" t="s">
        <v>288</v>
      </c>
      <c r="J17" s="24" t="s">
        <v>280</v>
      </c>
      <c r="K17" s="24" t="s">
        <v>285</v>
      </c>
      <c r="L17" s="24" t="s">
        <v>287</v>
      </c>
      <c r="M17" s="25" t="s">
        <v>288</v>
      </c>
      <c r="N17" s="24" t="s">
        <v>280</v>
      </c>
      <c r="O17" s="24" t="s">
        <v>285</v>
      </c>
      <c r="P17" s="24" t="s">
        <v>287</v>
      </c>
      <c r="Q17" s="25" t="s">
        <v>288</v>
      </c>
    </row>
    <row r="18" spans="1:17" x14ac:dyDescent="0.25">
      <c r="A18" s="9" t="s">
        <v>21</v>
      </c>
      <c r="B18" s="2">
        <f>GETPIVOTDATA("Sum of before",'BU Pivot'!$A$14,"shipment_scheme","Direct Billing","weight_bucket",$A18)</f>
        <v>1861479577.4499998</v>
      </c>
      <c r="C18" s="2">
        <f>GETPIVOTDATA("Sum of after",'BU Pivot'!$A$14,"shipment_scheme","Direct Billing","weight_bucket",$A18)</f>
        <v>2054168985</v>
      </c>
      <c r="D18" s="2">
        <f t="shared" ref="D18:D25" si="8">C18-B18</f>
        <v>192689407.55000019</v>
      </c>
      <c r="E18" s="3">
        <f t="shared" ref="E18:E25" si="9">D18/B18</f>
        <v>0.10351411311960844</v>
      </c>
      <c r="F18" s="2">
        <f>GETPIVOTDATA("Sum of before2",'BU Pivot'!$A$14,"shipment_scheme","Direct Billing","weight_bucket",$A18)</f>
        <v>5040</v>
      </c>
      <c r="G18" s="2">
        <f>GETPIVOTDATA("Sum of after2",'BU Pivot'!$A$14,"shipment_scheme","Direct Billing","weight_bucket",$A18)</f>
        <v>5175</v>
      </c>
      <c r="H18" s="2">
        <f t="shared" ref="H18:H25" si="10">G18-F18</f>
        <v>135</v>
      </c>
      <c r="I18" s="3">
        <f t="shared" ref="I18:I25" si="11">H18/F18</f>
        <v>2.6785714285714284E-2</v>
      </c>
      <c r="J18" s="2">
        <f>GETPIVOTDATA("Sum of before3",'BU Pivot'!$A$14,"shipment_scheme","Direct Billing","weight_bucket",$A18)</f>
        <v>6310</v>
      </c>
      <c r="K18" s="2">
        <f>GETPIVOTDATA("Sum of after3",'BU Pivot'!$A$14,"shipment_scheme","Direct Billing","weight_bucket",$A18)</f>
        <v>6646</v>
      </c>
      <c r="L18" s="2">
        <f t="shared" ref="L18:L25" si="12">K18-J18</f>
        <v>336</v>
      </c>
      <c r="M18" s="3">
        <f t="shared" ref="M18:M25" si="13">L18/J18</f>
        <v>5.324881141045959E-2</v>
      </c>
      <c r="N18" s="2">
        <f>GETPIVOTDATA("Sum of before4",'BU Pivot'!$A$14,"shipment_scheme","Direct Billing","weight_bucket",$A18)</f>
        <v>1172500.05</v>
      </c>
      <c r="O18" s="2">
        <f>GETPIVOTDATA("Sum of after4",'BU Pivot'!$A$14,"shipment_scheme","Direct Billing","weight_bucket",$A18)</f>
        <v>3198333.36</v>
      </c>
      <c r="P18" s="2">
        <f t="shared" ref="P18:P25" si="14">O18-N18</f>
        <v>2025833.3099999998</v>
      </c>
      <c r="Q18" s="3">
        <f t="shared" ref="Q18:Q25" si="15">P18/N18</f>
        <v>1.7277895297317896</v>
      </c>
    </row>
    <row r="19" spans="1:17" x14ac:dyDescent="0.25">
      <c r="A19" s="9" t="s">
        <v>7</v>
      </c>
      <c r="B19" s="2">
        <f>GETPIVOTDATA("Sum of before",'BU Pivot'!$A$14,"shipment_scheme","Direct Billing","weight_bucket",$A19)</f>
        <v>48967325381.639999</v>
      </c>
      <c r="C19" s="2">
        <f>GETPIVOTDATA("Sum of after",'BU Pivot'!$A$14,"shipment_scheme","Direct Billing","weight_bucket",$A19)</f>
        <v>44152094561.709999</v>
      </c>
      <c r="D19" s="2">
        <f t="shared" si="8"/>
        <v>-4815230819.9300003</v>
      </c>
      <c r="E19" s="3">
        <f t="shared" si="9"/>
        <v>-9.8335589750945265E-2</v>
      </c>
      <c r="F19" s="2">
        <f>GETPIVOTDATA("Sum of before2",'BU Pivot'!$A$14,"shipment_scheme","Direct Billing","weight_bucket",$A19)</f>
        <v>207656</v>
      </c>
      <c r="G19" s="2">
        <f>GETPIVOTDATA("Sum of after2",'BU Pivot'!$A$14,"shipment_scheme","Direct Billing","weight_bucket",$A19)</f>
        <v>184190</v>
      </c>
      <c r="H19" s="2">
        <f t="shared" si="10"/>
        <v>-23466</v>
      </c>
      <c r="I19" s="3">
        <f t="shared" si="11"/>
        <v>-0.11300419925261009</v>
      </c>
      <c r="J19" s="2">
        <f>GETPIVOTDATA("Sum of before3",'BU Pivot'!$A$14,"shipment_scheme","Direct Billing","weight_bucket",$A19)</f>
        <v>251081</v>
      </c>
      <c r="K19" s="2">
        <f>GETPIVOTDATA("Sum of after3",'BU Pivot'!$A$14,"shipment_scheme","Direct Billing","weight_bucket",$A19)</f>
        <v>221229</v>
      </c>
      <c r="L19" s="2">
        <f t="shared" si="12"/>
        <v>-29852</v>
      </c>
      <c r="M19" s="3">
        <f t="shared" si="13"/>
        <v>-0.11889390276444653</v>
      </c>
      <c r="N19" s="2">
        <f>GETPIVOTDATA("Sum of before4",'BU Pivot'!$A$14,"shipment_scheme","Direct Billing","weight_bucket",$A19)</f>
        <v>-1543934953.0599999</v>
      </c>
      <c r="O19" s="2">
        <f>GETPIVOTDATA("Sum of after4",'BU Pivot'!$A$14,"shipment_scheme","Direct Billing","weight_bucket",$A19)</f>
        <v>-1312248294.4200001</v>
      </c>
      <c r="P19" s="2">
        <f t="shared" si="14"/>
        <v>231686658.63999987</v>
      </c>
      <c r="Q19" s="3">
        <f t="shared" si="15"/>
        <v>-0.15006244802011171</v>
      </c>
    </row>
    <row r="20" spans="1:17" x14ac:dyDescent="0.25">
      <c r="A20" s="9" t="s">
        <v>9</v>
      </c>
      <c r="B20" s="2">
        <f>GETPIVOTDATA("Sum of before",'BU Pivot'!$A$14,"shipment_scheme","Direct Billing","weight_bucket",$A20)</f>
        <v>3152716811.6999998</v>
      </c>
      <c r="C20" s="2">
        <f>GETPIVOTDATA("Sum of after",'BU Pivot'!$A$14,"shipment_scheme","Direct Billing","weight_bucket",$A20)</f>
        <v>3053444644.6599998</v>
      </c>
      <c r="D20" s="2">
        <f t="shared" si="8"/>
        <v>-99272167.039999962</v>
      </c>
      <c r="E20" s="3">
        <f t="shared" si="9"/>
        <v>-3.1487816054899864E-2</v>
      </c>
      <c r="F20" s="2">
        <f>GETPIVOTDATA("Sum of before2",'BU Pivot'!$A$14,"shipment_scheme","Direct Billing","weight_bucket",$A20)</f>
        <v>7872</v>
      </c>
      <c r="G20" s="2">
        <f>GETPIVOTDATA("Sum of after2",'BU Pivot'!$A$14,"shipment_scheme","Direct Billing","weight_bucket",$A20)</f>
        <v>7788</v>
      </c>
      <c r="H20" s="2">
        <f t="shared" si="10"/>
        <v>-84</v>
      </c>
      <c r="I20" s="3">
        <f t="shared" si="11"/>
        <v>-1.0670731707317074E-2</v>
      </c>
      <c r="J20" s="2">
        <f>GETPIVOTDATA("Sum of before3",'BU Pivot'!$A$14,"shipment_scheme","Direct Billing","weight_bucket",$A20)</f>
        <v>13621</v>
      </c>
      <c r="K20" s="2">
        <f>GETPIVOTDATA("Sum of after3",'BU Pivot'!$A$14,"shipment_scheme","Direct Billing","weight_bucket",$A20)</f>
        <v>13521</v>
      </c>
      <c r="L20" s="2">
        <f t="shared" si="12"/>
        <v>-100</v>
      </c>
      <c r="M20" s="3">
        <f t="shared" si="13"/>
        <v>-7.3416048748256371E-3</v>
      </c>
      <c r="N20" s="2">
        <f>GETPIVOTDATA("Sum of before4",'BU Pivot'!$A$14,"shipment_scheme","Direct Billing","weight_bucket",$A20)</f>
        <v>-136224810.13</v>
      </c>
      <c r="O20" s="2">
        <f>GETPIVOTDATA("Sum of after4",'BU Pivot'!$A$14,"shipment_scheme","Direct Billing","weight_bucket",$A20)</f>
        <v>-128433003.29000001</v>
      </c>
      <c r="P20" s="2">
        <f t="shared" si="14"/>
        <v>7791806.8399999887</v>
      </c>
      <c r="Q20" s="3">
        <f t="shared" si="15"/>
        <v>-5.7198147918607702E-2</v>
      </c>
    </row>
    <row r="21" spans="1:17" x14ac:dyDescent="0.25">
      <c r="A21" s="9" t="s">
        <v>11</v>
      </c>
      <c r="B21" s="2">
        <f>GETPIVOTDATA("Sum of before",'BU Pivot'!$A$14,"shipment_scheme","Direct Billing","weight_bucket",$A21)</f>
        <v>2369730647.3400002</v>
      </c>
      <c r="C21" s="2">
        <f>GETPIVOTDATA("Sum of after",'BU Pivot'!$A$14,"shipment_scheme","Direct Billing","weight_bucket",$A21)</f>
        <v>2404287044.6199999</v>
      </c>
      <c r="D21" s="2">
        <f t="shared" si="8"/>
        <v>34556397.279999733</v>
      </c>
      <c r="E21" s="3">
        <f t="shared" si="9"/>
        <v>1.4582415650820467E-2</v>
      </c>
      <c r="F21" s="2">
        <f>GETPIVOTDATA("Sum of before2",'BU Pivot'!$A$14,"shipment_scheme","Direct Billing","weight_bucket",$A21)</f>
        <v>4768</v>
      </c>
      <c r="G21" s="2">
        <f>GETPIVOTDATA("Sum of after2",'BU Pivot'!$A$14,"shipment_scheme","Direct Billing","weight_bucket",$A21)</f>
        <v>5120</v>
      </c>
      <c r="H21" s="2">
        <f t="shared" si="10"/>
        <v>352</v>
      </c>
      <c r="I21" s="3">
        <f t="shared" si="11"/>
        <v>7.3825503355704702E-2</v>
      </c>
      <c r="J21" s="2">
        <f>GETPIVOTDATA("Sum of before3",'BU Pivot'!$A$14,"shipment_scheme","Direct Billing","weight_bucket",$A21)</f>
        <v>9299</v>
      </c>
      <c r="K21" s="2">
        <f>GETPIVOTDATA("Sum of after3",'BU Pivot'!$A$14,"shipment_scheme","Direct Billing","weight_bucket",$A21)</f>
        <v>10143</v>
      </c>
      <c r="L21" s="2">
        <f t="shared" si="12"/>
        <v>844</v>
      </c>
      <c r="M21" s="3">
        <f t="shared" si="13"/>
        <v>9.0762447575008065E-2</v>
      </c>
      <c r="N21" s="2">
        <f>GETPIVOTDATA("Sum of before4",'BU Pivot'!$A$14,"shipment_scheme","Direct Billing","weight_bucket",$A21)</f>
        <v>-163942172.72</v>
      </c>
      <c r="O21" s="2">
        <f>GETPIVOTDATA("Sum of after4",'BU Pivot'!$A$14,"shipment_scheme","Direct Billing","weight_bucket",$A21)</f>
        <v>-200112968.44999999</v>
      </c>
      <c r="P21" s="2">
        <f t="shared" si="14"/>
        <v>-36170795.729999989</v>
      </c>
      <c r="Q21" s="3">
        <f t="shared" si="15"/>
        <v>0.22063142832550348</v>
      </c>
    </row>
    <row r="22" spans="1:17" x14ac:dyDescent="0.25">
      <c r="A22" s="9" t="s">
        <v>13</v>
      </c>
      <c r="B22" s="2">
        <f>GETPIVOTDATA("Sum of before",'BU Pivot'!$A$14,"shipment_scheme","Direct Billing","weight_bucket",$A22)</f>
        <v>2003644310.3300002</v>
      </c>
      <c r="C22" s="2">
        <f>GETPIVOTDATA("Sum of after",'BU Pivot'!$A$14,"shipment_scheme","Direct Billing","weight_bucket",$A22)</f>
        <v>2557978878.5299997</v>
      </c>
      <c r="D22" s="2">
        <f t="shared" si="8"/>
        <v>554334568.19999957</v>
      </c>
      <c r="E22" s="3">
        <f t="shared" si="9"/>
        <v>0.27666316089241444</v>
      </c>
      <c r="F22" s="2">
        <f>GETPIVOTDATA("Sum of before2",'BU Pivot'!$A$14,"shipment_scheme","Direct Billing","weight_bucket",$A22)</f>
        <v>2569</v>
      </c>
      <c r="G22" s="2">
        <f>GETPIVOTDATA("Sum of after2",'BU Pivot'!$A$14,"shipment_scheme","Direct Billing","weight_bucket",$A22)</f>
        <v>2637</v>
      </c>
      <c r="H22" s="2">
        <f t="shared" si="10"/>
        <v>68</v>
      </c>
      <c r="I22" s="3">
        <f t="shared" si="11"/>
        <v>2.6469443363176332E-2</v>
      </c>
      <c r="J22" s="2">
        <f>GETPIVOTDATA("Sum of before3",'BU Pivot'!$A$14,"shipment_scheme","Direct Billing","weight_bucket",$A22)</f>
        <v>6597</v>
      </c>
      <c r="K22" s="2">
        <f>GETPIVOTDATA("Sum of after3",'BU Pivot'!$A$14,"shipment_scheme","Direct Billing","weight_bucket",$A22)</f>
        <v>6509</v>
      </c>
      <c r="L22" s="2">
        <f t="shared" si="12"/>
        <v>-88</v>
      </c>
      <c r="M22" s="3">
        <f t="shared" si="13"/>
        <v>-1.3339396695467636E-2</v>
      </c>
      <c r="N22" s="2">
        <f>GETPIVOTDATA("Sum of before4",'BU Pivot'!$A$14,"shipment_scheme","Direct Billing","weight_bucket",$A22)</f>
        <v>-76198333.310000002</v>
      </c>
      <c r="O22" s="2">
        <f>GETPIVOTDATA("Sum of after4",'BU Pivot'!$A$14,"shipment_scheme","Direct Billing","weight_bucket",$A22)</f>
        <v>-74303033.329999998</v>
      </c>
      <c r="P22" s="2">
        <f t="shared" si="14"/>
        <v>1895299.9800000042</v>
      </c>
      <c r="Q22" s="3">
        <f t="shared" si="15"/>
        <v>-2.4873247191500861E-2</v>
      </c>
    </row>
    <row r="23" spans="1:17" x14ac:dyDescent="0.25">
      <c r="A23" s="9" t="s">
        <v>15</v>
      </c>
      <c r="B23" s="2">
        <f>GETPIVOTDATA("Sum of before",'BU Pivot'!$A$14,"shipment_scheme","Direct Billing","weight_bucket",$A23)</f>
        <v>1423249101.8299999</v>
      </c>
      <c r="C23" s="2">
        <f>GETPIVOTDATA("Sum of after",'BU Pivot'!$A$14,"shipment_scheme","Direct Billing","weight_bucket",$A23)</f>
        <v>1465590435.97</v>
      </c>
      <c r="D23" s="2">
        <f t="shared" si="8"/>
        <v>42341334.140000105</v>
      </c>
      <c r="E23" s="3">
        <f t="shared" si="9"/>
        <v>2.9749770497348657E-2</v>
      </c>
      <c r="F23" s="2">
        <f>GETPIVOTDATA("Sum of before2",'BU Pivot'!$A$14,"shipment_scheme","Direct Billing","weight_bucket",$A23)</f>
        <v>1211</v>
      </c>
      <c r="G23" s="2">
        <f>GETPIVOTDATA("Sum of after2",'BU Pivot'!$A$14,"shipment_scheme","Direct Billing","weight_bucket",$A23)</f>
        <v>2014</v>
      </c>
      <c r="H23" s="2">
        <f t="shared" si="10"/>
        <v>803</v>
      </c>
      <c r="I23" s="3">
        <f t="shared" si="11"/>
        <v>0.66308835672997524</v>
      </c>
      <c r="J23" s="2">
        <f>GETPIVOTDATA("Sum of before3",'BU Pivot'!$A$14,"shipment_scheme","Direct Billing","weight_bucket",$A23)</f>
        <v>2561</v>
      </c>
      <c r="K23" s="2">
        <f>GETPIVOTDATA("Sum of after3",'BU Pivot'!$A$14,"shipment_scheme","Direct Billing","weight_bucket",$A23)</f>
        <v>5112</v>
      </c>
      <c r="L23" s="2">
        <f t="shared" si="12"/>
        <v>2551</v>
      </c>
      <c r="M23" s="3">
        <f t="shared" si="13"/>
        <v>0.9960952752830925</v>
      </c>
      <c r="N23" s="2">
        <f>GETPIVOTDATA("Sum of before4",'BU Pivot'!$A$14,"shipment_scheme","Direct Billing","weight_bucket",$A23)</f>
        <v>-42873177.600000001</v>
      </c>
      <c r="O23" s="2">
        <f>GETPIVOTDATA("Sum of after4",'BU Pivot'!$A$14,"shipment_scheme","Direct Billing","weight_bucket",$A23)</f>
        <v>-178829366.63999999</v>
      </c>
      <c r="P23" s="2">
        <f t="shared" si="14"/>
        <v>-135956189.03999999</v>
      </c>
      <c r="Q23" s="3">
        <f t="shared" si="15"/>
        <v>3.1711246203500436</v>
      </c>
    </row>
    <row r="24" spans="1:17" x14ac:dyDescent="0.25">
      <c r="A24" s="9" t="s">
        <v>17</v>
      </c>
      <c r="B24" s="2">
        <f>GETPIVOTDATA("Sum of before",'BU Pivot'!$A$14,"shipment_scheme","Direct Billing","weight_bucket",$A24)</f>
        <v>2058561427.0900002</v>
      </c>
      <c r="C24" s="2">
        <f>GETPIVOTDATA("Sum of after",'BU Pivot'!$A$14,"shipment_scheme","Direct Billing","weight_bucket",$A24)</f>
        <v>1892268191.53</v>
      </c>
      <c r="D24" s="2">
        <f t="shared" si="8"/>
        <v>-166293235.56000018</v>
      </c>
      <c r="E24" s="3">
        <f t="shared" si="9"/>
        <v>-8.0781284139319426E-2</v>
      </c>
      <c r="F24" s="2">
        <f>GETPIVOTDATA("Sum of before2",'BU Pivot'!$A$14,"shipment_scheme","Direct Billing","weight_bucket",$A24)</f>
        <v>836</v>
      </c>
      <c r="G24" s="2">
        <f>GETPIVOTDATA("Sum of after2",'BU Pivot'!$A$14,"shipment_scheme","Direct Billing","weight_bucket",$A24)</f>
        <v>881</v>
      </c>
      <c r="H24" s="2">
        <f t="shared" si="10"/>
        <v>45</v>
      </c>
      <c r="I24" s="3">
        <f t="shared" si="11"/>
        <v>5.3827751196172252E-2</v>
      </c>
      <c r="J24" s="2">
        <f>GETPIVOTDATA("Sum of before3",'BU Pivot'!$A$14,"shipment_scheme","Direct Billing","weight_bucket",$A24)</f>
        <v>1394</v>
      </c>
      <c r="K24" s="2">
        <f>GETPIVOTDATA("Sum of after3",'BU Pivot'!$A$14,"shipment_scheme","Direct Billing","weight_bucket",$A24)</f>
        <v>1630</v>
      </c>
      <c r="L24" s="2">
        <f t="shared" si="12"/>
        <v>236</v>
      </c>
      <c r="M24" s="3">
        <f t="shared" si="13"/>
        <v>0.16929698708751795</v>
      </c>
      <c r="N24" s="2">
        <f>GETPIVOTDATA("Sum of before4",'BU Pivot'!$A$14,"shipment_scheme","Direct Billing","weight_bucket",$A24)</f>
        <v>-16957350</v>
      </c>
      <c r="O24" s="2">
        <f>GETPIVOTDATA("Sum of after4",'BU Pivot'!$A$14,"shipment_scheme","Direct Billing","weight_bucket",$A24)</f>
        <v>-19022900</v>
      </c>
      <c r="P24" s="2">
        <f t="shared" si="14"/>
        <v>-2065550</v>
      </c>
      <c r="Q24" s="3">
        <f t="shared" si="15"/>
        <v>0.1218085373009344</v>
      </c>
    </row>
    <row r="25" spans="1:17" x14ac:dyDescent="0.25">
      <c r="A25" s="9" t="s">
        <v>19</v>
      </c>
      <c r="B25" s="2">
        <f>GETPIVOTDATA("Sum of before",'BU Pivot'!$A$14,"shipment_scheme","Direct Billing","weight_bucket",$A25)</f>
        <v>7423363148.2799997</v>
      </c>
      <c r="C25" s="2">
        <f>GETPIVOTDATA("Sum of after",'BU Pivot'!$A$14,"shipment_scheme","Direct Billing","weight_bucket",$A25)</f>
        <v>8760089325.2399998</v>
      </c>
      <c r="D25" s="2">
        <f t="shared" si="8"/>
        <v>1336726176.96</v>
      </c>
      <c r="E25" s="3">
        <f t="shared" si="9"/>
        <v>0.1800701582637407</v>
      </c>
      <c r="F25" s="2">
        <f>GETPIVOTDATA("Sum of before2",'BU Pivot'!$A$14,"shipment_scheme","Direct Billing","weight_bucket",$A25)</f>
        <v>3519</v>
      </c>
      <c r="G25" s="2">
        <f>GETPIVOTDATA("Sum of after2",'BU Pivot'!$A$14,"shipment_scheme","Direct Billing","weight_bucket",$A25)</f>
        <v>3743</v>
      </c>
      <c r="H25" s="2">
        <f t="shared" si="10"/>
        <v>224</v>
      </c>
      <c r="I25" s="3">
        <f t="shared" si="11"/>
        <v>6.3654447286160848E-2</v>
      </c>
      <c r="J25" s="2">
        <f>GETPIVOTDATA("Sum of before3",'BU Pivot'!$A$14,"shipment_scheme","Direct Billing","weight_bucket",$A25)</f>
        <v>10154</v>
      </c>
      <c r="K25" s="2">
        <f>GETPIVOTDATA("Sum of after3",'BU Pivot'!$A$14,"shipment_scheme","Direct Billing","weight_bucket",$A25)</f>
        <v>14893</v>
      </c>
      <c r="L25" s="2">
        <f t="shared" si="12"/>
        <v>4739</v>
      </c>
      <c r="M25" s="3">
        <f t="shared" si="13"/>
        <v>0.46671262556627929</v>
      </c>
      <c r="N25" s="2">
        <f>GETPIVOTDATA("Sum of before4",'BU Pivot'!$A$14,"shipment_scheme","Direct Billing","weight_bucket",$A25)</f>
        <v>-333458029.52999997</v>
      </c>
      <c r="O25" s="2">
        <f>GETPIVOTDATA("Sum of after4",'BU Pivot'!$A$14,"shipment_scheme","Direct Billing","weight_bucket",$A25)</f>
        <v>-538038879.44000006</v>
      </c>
      <c r="P25" s="2">
        <f t="shared" si="14"/>
        <v>-204580849.91000009</v>
      </c>
      <c r="Q25" s="3">
        <f t="shared" si="15"/>
        <v>0.61351304150135844</v>
      </c>
    </row>
    <row r="26" spans="1:17" x14ac:dyDescent="0.25">
      <c r="A26" s="9"/>
      <c r="B26" s="2"/>
      <c r="C26" s="2"/>
      <c r="D26" s="2"/>
      <c r="E26" s="3"/>
      <c r="F26" s="2"/>
      <c r="G26" s="2"/>
      <c r="H26" s="2"/>
      <c r="I26" s="3"/>
      <c r="J26" s="2"/>
      <c r="K26" s="2"/>
      <c r="L26" s="2"/>
      <c r="M26" s="3"/>
      <c r="N26" s="2"/>
      <c r="O26" s="2"/>
      <c r="P26" s="2"/>
      <c r="Q26" s="3"/>
    </row>
    <row r="27" spans="1:17" x14ac:dyDescent="0.25">
      <c r="A27" s="9" t="s">
        <v>149</v>
      </c>
      <c r="B27" s="2"/>
      <c r="C27" s="2"/>
      <c r="D27" s="2"/>
      <c r="E27" s="3"/>
      <c r="F27" s="2"/>
      <c r="G27" s="2"/>
      <c r="H27" s="2"/>
      <c r="I27" s="3"/>
      <c r="J27" s="2"/>
      <c r="K27" s="2"/>
      <c r="L27" s="2"/>
      <c r="M27" s="3"/>
      <c r="N27" s="2"/>
      <c r="O27" s="2"/>
      <c r="P27" s="2"/>
      <c r="Q27" s="3"/>
    </row>
    <row r="28" spans="1:17" x14ac:dyDescent="0.25">
      <c r="A28" s="19" t="s">
        <v>296</v>
      </c>
      <c r="B28" s="20" t="s">
        <v>292</v>
      </c>
      <c r="C28" s="20"/>
      <c r="D28" s="20"/>
      <c r="E28" s="20"/>
      <c r="F28" s="20" t="s">
        <v>291</v>
      </c>
      <c r="G28" s="20"/>
      <c r="H28" s="20"/>
      <c r="I28" s="20"/>
      <c r="J28" s="20" t="s">
        <v>290</v>
      </c>
      <c r="K28" s="20"/>
      <c r="L28" s="20"/>
      <c r="M28" s="20"/>
      <c r="N28" s="20" t="s">
        <v>308</v>
      </c>
      <c r="O28" s="20"/>
      <c r="P28" s="20"/>
      <c r="Q28" s="20"/>
    </row>
    <row r="29" spans="1:17" x14ac:dyDescent="0.25">
      <c r="A29" s="19"/>
      <c r="B29" s="21">
        <f>SUBTOTAL(9,B31:B38)</f>
        <v>22099814562.450001</v>
      </c>
      <c r="C29" s="21">
        <f>SUBTOTAL(9,C31:C38)</f>
        <v>26727882078.319996</v>
      </c>
      <c r="D29" s="21">
        <f>C29-B29</f>
        <v>4628067515.8699951</v>
      </c>
      <c r="E29" s="22">
        <f>D29/B29</f>
        <v>0.2094165769034817</v>
      </c>
      <c r="F29" s="21">
        <f>SUBTOTAL(9,F31:F38)</f>
        <v>216077</v>
      </c>
      <c r="G29" s="21">
        <f>SUBTOTAL(9,G31:G38)</f>
        <v>266724</v>
      </c>
      <c r="H29" s="21">
        <f>G29-F29</f>
        <v>50647</v>
      </c>
      <c r="I29" s="22">
        <f>H29/F29</f>
        <v>0.23439329498280706</v>
      </c>
      <c r="J29" s="21">
        <f>SUBTOTAL(9,J31:J38)</f>
        <v>274166</v>
      </c>
      <c r="K29" s="21">
        <f>SUBTOTAL(9,K31:K38)</f>
        <v>336562</v>
      </c>
      <c r="L29" s="21">
        <f>K29-J29</f>
        <v>62396</v>
      </c>
      <c r="M29" s="22">
        <f>L29/J29</f>
        <v>0.22758474792643874</v>
      </c>
      <c r="N29" s="21">
        <f>SUBTOTAL(9,N31:N38)</f>
        <v>-1427967125.1599998</v>
      </c>
      <c r="O29" s="21">
        <f>SUBTOTAL(9,O31:O38)</f>
        <v>-1419898621.8199999</v>
      </c>
      <c r="P29" s="21">
        <f>O29-N29</f>
        <v>8068503.3399999142</v>
      </c>
      <c r="Q29" s="22">
        <f>P29/N29</f>
        <v>-5.6503425028750992E-3</v>
      </c>
    </row>
    <row r="30" spans="1:17" x14ac:dyDescent="0.25">
      <c r="A30" s="23" t="s">
        <v>3</v>
      </c>
      <c r="B30" s="24" t="s">
        <v>280</v>
      </c>
      <c r="C30" s="24" t="s">
        <v>285</v>
      </c>
      <c r="D30" s="24" t="s">
        <v>287</v>
      </c>
      <c r="E30" s="25" t="s">
        <v>288</v>
      </c>
      <c r="F30" s="24" t="s">
        <v>280</v>
      </c>
      <c r="G30" s="24" t="s">
        <v>285</v>
      </c>
      <c r="H30" s="24" t="s">
        <v>287</v>
      </c>
      <c r="I30" s="25" t="s">
        <v>288</v>
      </c>
      <c r="J30" s="24" t="s">
        <v>280</v>
      </c>
      <c r="K30" s="24" t="s">
        <v>285</v>
      </c>
      <c r="L30" s="24" t="s">
        <v>287</v>
      </c>
      <c r="M30" s="25" t="s">
        <v>288</v>
      </c>
      <c r="N30" s="24" t="s">
        <v>280</v>
      </c>
      <c r="O30" s="24" t="s">
        <v>285</v>
      </c>
      <c r="P30" s="24" t="s">
        <v>287</v>
      </c>
      <c r="Q30" s="25" t="s">
        <v>288</v>
      </c>
    </row>
    <row r="31" spans="1:17" x14ac:dyDescent="0.25">
      <c r="A31" s="9" t="s">
        <v>21</v>
      </c>
      <c r="B31" s="2">
        <f>GETPIVOTDATA("Sum of before",'BU Pivot'!$A$14,"shipment_scheme","FBL","weight_bucket",$A31)</f>
        <v>314009271.89999998</v>
      </c>
      <c r="C31" s="2">
        <f>GETPIVOTDATA("Sum of after",'BU Pivot'!$A$14,"shipment_scheme","FBL","weight_bucket",$A31)</f>
        <v>483874301</v>
      </c>
      <c r="D31" s="2">
        <f t="shared" ref="D31:D38" si="16">C31-B31</f>
        <v>169865029.10000002</v>
      </c>
      <c r="E31" s="3">
        <f t="shared" ref="E31:E38" si="17">D31/B31</f>
        <v>0.54095545673598955</v>
      </c>
      <c r="F31" s="2">
        <f>GETPIVOTDATA("Sum of before2",'BU Pivot'!$A$14,"shipment_scheme","FBL","weight_bucket",$A31)</f>
        <v>5357</v>
      </c>
      <c r="G31" s="2">
        <f>GETPIVOTDATA("Sum of after2",'BU Pivot'!$A$14,"shipment_scheme","FBL","weight_bucket",$A31)</f>
        <v>11727</v>
      </c>
      <c r="H31" s="2">
        <f t="shared" ref="H31:H38" si="18">G31-F31</f>
        <v>6370</v>
      </c>
      <c r="I31" s="3">
        <f t="shared" ref="I31:I38" si="19">H31/F31</f>
        <v>1.1890983759566922</v>
      </c>
      <c r="J31" s="2">
        <f>GETPIVOTDATA("Sum of before3",'BU Pivot'!$A$14,"shipment_scheme","FBL","weight_bucket",$A31)</f>
        <v>5434</v>
      </c>
      <c r="K31" s="2">
        <f>GETPIVOTDATA("Sum of after3",'BU Pivot'!$A$14,"shipment_scheme","FBL","weight_bucket",$A31)</f>
        <v>12200</v>
      </c>
      <c r="L31" s="2">
        <f t="shared" ref="L31:L38" si="20">K31-J31</f>
        <v>6766</v>
      </c>
      <c r="M31" s="3">
        <f t="shared" ref="M31:M38" si="21">L31/J31</f>
        <v>1.2451232977548767</v>
      </c>
      <c r="N31" s="2">
        <f>GETPIVOTDATA("Sum of before4",'BU Pivot'!$A$14,"shipment_scheme","FBL","weight_bucket",$A31)</f>
        <v>-35171306.600000001</v>
      </c>
      <c r="O31" s="2">
        <f>GETPIVOTDATA("Sum of after4",'BU Pivot'!$A$14,"shipment_scheme","FBL","weight_bucket",$A31)</f>
        <v>-74697085.790000007</v>
      </c>
      <c r="P31" s="2">
        <f t="shared" ref="P31:P38" si="22">O31-N31</f>
        <v>-39525779.190000005</v>
      </c>
      <c r="Q31" s="3">
        <f t="shared" ref="Q31:Q38" si="23">P31/N31</f>
        <v>1.1238075298004426</v>
      </c>
    </row>
    <row r="32" spans="1:17" x14ac:dyDescent="0.25">
      <c r="A32" s="9" t="s">
        <v>7</v>
      </c>
      <c r="B32" s="2">
        <f>GETPIVOTDATA("Sum of before",'BU Pivot'!$A$14,"shipment_scheme","FBL","weight_bucket",$A32)</f>
        <v>19883467762.25</v>
      </c>
      <c r="C32" s="2">
        <f>GETPIVOTDATA("Sum of after",'BU Pivot'!$A$14,"shipment_scheme","FBL","weight_bucket",$A32)</f>
        <v>23907502149.16</v>
      </c>
      <c r="D32" s="2">
        <f t="shared" si="16"/>
        <v>4024034386.9099998</v>
      </c>
      <c r="E32" s="3">
        <f t="shared" si="17"/>
        <v>0.20238091438707081</v>
      </c>
      <c r="F32" s="2">
        <f>GETPIVOTDATA("Sum of before2",'BU Pivot'!$A$14,"shipment_scheme","FBL","weight_bucket",$A32)</f>
        <v>198891</v>
      </c>
      <c r="G32" s="2">
        <f>GETPIVOTDATA("Sum of after2",'BU Pivot'!$A$14,"shipment_scheme","FBL","weight_bucket",$A32)</f>
        <v>241912</v>
      </c>
      <c r="H32" s="2">
        <f t="shared" si="18"/>
        <v>43021</v>
      </c>
      <c r="I32" s="3">
        <f t="shared" si="19"/>
        <v>0.21630440794203862</v>
      </c>
      <c r="J32" s="2">
        <f>GETPIVOTDATA("Sum of before3",'BU Pivot'!$A$14,"shipment_scheme","FBL","weight_bucket",$A32)</f>
        <v>237845</v>
      </c>
      <c r="K32" s="2">
        <f>GETPIVOTDATA("Sum of after3",'BU Pivot'!$A$14,"shipment_scheme","FBL","weight_bucket",$A32)</f>
        <v>290252</v>
      </c>
      <c r="L32" s="2">
        <f t="shared" si="20"/>
        <v>52407</v>
      </c>
      <c r="M32" s="3">
        <f t="shared" si="21"/>
        <v>0.22034097836826505</v>
      </c>
      <c r="N32" s="2">
        <f>GETPIVOTDATA("Sum of before4",'BU Pivot'!$A$14,"shipment_scheme","FBL","weight_bucket",$A32)</f>
        <v>-1155276354.52</v>
      </c>
      <c r="O32" s="2">
        <f>GETPIVOTDATA("Sum of after4",'BU Pivot'!$A$14,"shipment_scheme","FBL","weight_bucket",$A32)</f>
        <v>-1106962662.55</v>
      </c>
      <c r="P32" s="2">
        <f t="shared" si="22"/>
        <v>48313691.970000029</v>
      </c>
      <c r="Q32" s="3">
        <f t="shared" si="23"/>
        <v>-4.1820030143414164E-2</v>
      </c>
    </row>
    <row r="33" spans="1:17" x14ac:dyDescent="0.25">
      <c r="A33" s="9" t="s">
        <v>9</v>
      </c>
      <c r="B33" s="2">
        <f>GETPIVOTDATA("Sum of before",'BU Pivot'!$A$14,"shipment_scheme","FBL","weight_bucket",$A33)</f>
        <v>887302971.19999993</v>
      </c>
      <c r="C33" s="2">
        <f>GETPIVOTDATA("Sum of after",'BU Pivot'!$A$14,"shipment_scheme","FBL","weight_bucket",$A33)</f>
        <v>1101000771.8</v>
      </c>
      <c r="D33" s="2">
        <f t="shared" si="16"/>
        <v>213697800.60000002</v>
      </c>
      <c r="E33" s="3">
        <f t="shared" si="17"/>
        <v>0.24083972164658976</v>
      </c>
      <c r="F33" s="2">
        <f>GETPIVOTDATA("Sum of before2",'BU Pivot'!$A$14,"shipment_scheme","FBL","weight_bucket",$A33)</f>
        <v>7010</v>
      </c>
      <c r="G33" s="2">
        <f>GETPIVOTDATA("Sum of after2",'BU Pivot'!$A$14,"shipment_scheme","FBL","weight_bucket",$A33)</f>
        <v>8221</v>
      </c>
      <c r="H33" s="2">
        <f t="shared" si="18"/>
        <v>1211</v>
      </c>
      <c r="I33" s="3">
        <f t="shared" si="19"/>
        <v>0.17275320970042796</v>
      </c>
      <c r="J33" s="2">
        <f>GETPIVOTDATA("Sum of before3",'BU Pivot'!$A$14,"shipment_scheme","FBL","weight_bucket",$A33)</f>
        <v>14932</v>
      </c>
      <c r="K33" s="2">
        <f>GETPIVOTDATA("Sum of after3",'BU Pivot'!$A$14,"shipment_scheme","FBL","weight_bucket",$A33)</f>
        <v>17497</v>
      </c>
      <c r="L33" s="2">
        <f t="shared" si="20"/>
        <v>2565</v>
      </c>
      <c r="M33" s="3">
        <f t="shared" si="21"/>
        <v>0.17177873024377177</v>
      </c>
      <c r="N33" s="2">
        <f>GETPIVOTDATA("Sum of before4",'BU Pivot'!$A$14,"shipment_scheme","FBL","weight_bucket",$A33)</f>
        <v>-108925610.18000001</v>
      </c>
      <c r="O33" s="2">
        <f>GETPIVOTDATA("Sum of after4",'BU Pivot'!$A$14,"shipment_scheme","FBL","weight_bucket",$A33)</f>
        <v>-112389883.02000001</v>
      </c>
      <c r="P33" s="2">
        <f t="shared" si="22"/>
        <v>-3464272.8400000036</v>
      </c>
      <c r="Q33" s="3">
        <f t="shared" si="23"/>
        <v>3.1804025098186542E-2</v>
      </c>
    </row>
    <row r="34" spans="1:17" x14ac:dyDescent="0.25">
      <c r="A34" s="9" t="s">
        <v>11</v>
      </c>
      <c r="B34" s="2">
        <f>GETPIVOTDATA("Sum of before",'BU Pivot'!$A$14,"shipment_scheme","FBL","weight_bucket",$A34)</f>
        <v>348511670.74000001</v>
      </c>
      <c r="C34" s="2">
        <f>GETPIVOTDATA("Sum of after",'BU Pivot'!$A$14,"shipment_scheme","FBL","weight_bucket",$A34)</f>
        <v>385802915.60000002</v>
      </c>
      <c r="D34" s="2">
        <f t="shared" si="16"/>
        <v>37291244.860000014</v>
      </c>
      <c r="E34" s="3">
        <f t="shared" si="17"/>
        <v>0.10700142345540097</v>
      </c>
      <c r="F34" s="2">
        <f>GETPIVOTDATA("Sum of before2",'BU Pivot'!$A$14,"shipment_scheme","FBL","weight_bucket",$A34)</f>
        <v>2295</v>
      </c>
      <c r="G34" s="2">
        <f>GETPIVOTDATA("Sum of after2",'BU Pivot'!$A$14,"shipment_scheme","FBL","weight_bucket",$A34)</f>
        <v>2398</v>
      </c>
      <c r="H34" s="2">
        <f t="shared" si="18"/>
        <v>103</v>
      </c>
      <c r="I34" s="3">
        <f t="shared" si="19"/>
        <v>4.4880174291938996E-2</v>
      </c>
      <c r="J34" s="2">
        <f>GETPIVOTDATA("Sum of before3",'BU Pivot'!$A$14,"shipment_scheme","FBL","weight_bucket",$A34)</f>
        <v>6376</v>
      </c>
      <c r="K34" s="2">
        <f>GETPIVOTDATA("Sum of after3",'BU Pivot'!$A$14,"shipment_scheme","FBL","weight_bucket",$A34)</f>
        <v>6935</v>
      </c>
      <c r="L34" s="2">
        <f t="shared" si="20"/>
        <v>559</v>
      </c>
      <c r="M34" s="3">
        <f t="shared" si="21"/>
        <v>8.767252195734003E-2</v>
      </c>
      <c r="N34" s="2">
        <f>GETPIVOTDATA("Sum of before4",'BU Pivot'!$A$14,"shipment_scheme","FBL","weight_bucket",$A34)</f>
        <v>-52619398.68</v>
      </c>
      <c r="O34" s="2">
        <f>GETPIVOTDATA("Sum of after4",'BU Pivot'!$A$14,"shipment_scheme","FBL","weight_bucket",$A34)</f>
        <v>-52318925.810000002</v>
      </c>
      <c r="P34" s="2">
        <f t="shared" si="22"/>
        <v>300472.86999999732</v>
      </c>
      <c r="Q34" s="3">
        <f t="shared" si="23"/>
        <v>-5.7103060380316248E-3</v>
      </c>
    </row>
    <row r="35" spans="1:17" x14ac:dyDescent="0.25">
      <c r="A35" s="9" t="s">
        <v>13</v>
      </c>
      <c r="B35" s="2">
        <f>GETPIVOTDATA("Sum of before",'BU Pivot'!$A$14,"shipment_scheme","FBL","weight_bucket",$A35)</f>
        <v>208999248.13999999</v>
      </c>
      <c r="C35" s="2">
        <f>GETPIVOTDATA("Sum of after",'BU Pivot'!$A$14,"shipment_scheme","FBL","weight_bucket",$A35)</f>
        <v>344730093.98000002</v>
      </c>
      <c r="D35" s="2">
        <f t="shared" si="16"/>
        <v>135730845.84000003</v>
      </c>
      <c r="E35" s="3">
        <f t="shared" si="17"/>
        <v>0.64943222067994966</v>
      </c>
      <c r="F35" s="2">
        <f>GETPIVOTDATA("Sum of before2",'BU Pivot'!$A$14,"shipment_scheme","FBL","weight_bucket",$A35)</f>
        <v>1241</v>
      </c>
      <c r="G35" s="2">
        <f>GETPIVOTDATA("Sum of after2",'BU Pivot'!$A$14,"shipment_scheme","FBL","weight_bucket",$A35)</f>
        <v>1254</v>
      </c>
      <c r="H35" s="2">
        <f t="shared" si="18"/>
        <v>13</v>
      </c>
      <c r="I35" s="3">
        <f t="shared" si="19"/>
        <v>1.0475423045930701E-2</v>
      </c>
      <c r="J35" s="2">
        <f>GETPIVOTDATA("Sum of before3",'BU Pivot'!$A$14,"shipment_scheme","FBL","weight_bucket",$A35)</f>
        <v>4817</v>
      </c>
      <c r="K35" s="2">
        <f>GETPIVOTDATA("Sum of after3",'BU Pivot'!$A$14,"shipment_scheme","FBL","weight_bucket",$A35)</f>
        <v>4575</v>
      </c>
      <c r="L35" s="2">
        <f t="shared" si="20"/>
        <v>-242</v>
      </c>
      <c r="M35" s="3">
        <f t="shared" si="21"/>
        <v>-5.023873780361221E-2</v>
      </c>
      <c r="N35" s="2">
        <f>GETPIVOTDATA("Sum of before4",'BU Pivot'!$A$14,"shipment_scheme","FBL","weight_bucket",$A35)</f>
        <v>-39224730.960000001</v>
      </c>
      <c r="O35" s="2">
        <f>GETPIVOTDATA("Sum of after4",'BU Pivot'!$A$14,"shipment_scheme","FBL","weight_bucket",$A35)</f>
        <v>-36092920.149999999</v>
      </c>
      <c r="P35" s="2">
        <f t="shared" si="22"/>
        <v>3131810.8100000024</v>
      </c>
      <c r="Q35" s="3">
        <f t="shared" si="23"/>
        <v>-7.9842760762176113E-2</v>
      </c>
    </row>
    <row r="36" spans="1:17" x14ac:dyDescent="0.25">
      <c r="A36" s="9" t="s">
        <v>15</v>
      </c>
      <c r="B36" s="2">
        <f>GETPIVOTDATA("Sum of before",'BU Pivot'!$A$14,"shipment_scheme","FBL","weight_bucket",$A36)</f>
        <v>142784174.16999999</v>
      </c>
      <c r="C36" s="2">
        <f>GETPIVOTDATA("Sum of after",'BU Pivot'!$A$14,"shipment_scheme","FBL","weight_bucket",$A36)</f>
        <v>128520008.69999999</v>
      </c>
      <c r="D36" s="2">
        <f t="shared" si="16"/>
        <v>-14264165.469999999</v>
      </c>
      <c r="E36" s="3">
        <f t="shared" si="17"/>
        <v>-9.9900185387611432E-2</v>
      </c>
      <c r="F36" s="2">
        <f>GETPIVOTDATA("Sum of before2",'BU Pivot'!$A$14,"shipment_scheme","FBL","weight_bucket",$A36)</f>
        <v>549</v>
      </c>
      <c r="G36" s="2">
        <f>GETPIVOTDATA("Sum of after2",'BU Pivot'!$A$14,"shipment_scheme","FBL","weight_bucket",$A36)</f>
        <v>525</v>
      </c>
      <c r="H36" s="2">
        <f t="shared" si="18"/>
        <v>-24</v>
      </c>
      <c r="I36" s="3">
        <f t="shared" si="19"/>
        <v>-4.3715846994535519E-2</v>
      </c>
      <c r="J36" s="2">
        <f>GETPIVOTDATA("Sum of before3",'BU Pivot'!$A$14,"shipment_scheme","FBL","weight_bucket",$A36)</f>
        <v>1818</v>
      </c>
      <c r="K36" s="2">
        <f>GETPIVOTDATA("Sum of after3",'BU Pivot'!$A$14,"shipment_scheme","FBL","weight_bucket",$A36)</f>
        <v>1862</v>
      </c>
      <c r="L36" s="2">
        <f t="shared" si="20"/>
        <v>44</v>
      </c>
      <c r="M36" s="3">
        <f t="shared" si="21"/>
        <v>2.4202420242024202E-2</v>
      </c>
      <c r="N36" s="2">
        <f>GETPIVOTDATA("Sum of before4",'BU Pivot'!$A$14,"shipment_scheme","FBL","weight_bucket",$A36)</f>
        <v>-15073144.01</v>
      </c>
      <c r="O36" s="2">
        <f>GETPIVOTDATA("Sum of after4",'BU Pivot'!$A$14,"shipment_scheme","FBL","weight_bucket",$A36)</f>
        <v>-14731872</v>
      </c>
      <c r="P36" s="2">
        <f t="shared" si="22"/>
        <v>341272.00999999978</v>
      </c>
      <c r="Q36" s="3">
        <f t="shared" si="23"/>
        <v>-2.2641063455214726E-2</v>
      </c>
    </row>
    <row r="37" spans="1:17" x14ac:dyDescent="0.25">
      <c r="A37" s="9" t="s">
        <v>17</v>
      </c>
      <c r="B37" s="2">
        <f>GETPIVOTDATA("Sum of before",'BU Pivot'!$A$14,"shipment_scheme","FBL","weight_bucket",$A37)</f>
        <v>147786601</v>
      </c>
      <c r="C37" s="2">
        <f>GETPIVOTDATA("Sum of after",'BU Pivot'!$A$14,"shipment_scheme","FBL","weight_bucket",$A37)</f>
        <v>132542464.72999999</v>
      </c>
      <c r="D37" s="2">
        <f t="shared" si="16"/>
        <v>-15244136.270000011</v>
      </c>
      <c r="E37" s="3">
        <f t="shared" si="17"/>
        <v>-0.10314965069126944</v>
      </c>
      <c r="F37" s="2">
        <f>GETPIVOTDATA("Sum of before2",'BU Pivot'!$A$14,"shipment_scheme","FBL","weight_bucket",$A37)</f>
        <v>349</v>
      </c>
      <c r="G37" s="2">
        <f>GETPIVOTDATA("Sum of after2",'BU Pivot'!$A$14,"shipment_scheme","FBL","weight_bucket",$A37)</f>
        <v>305</v>
      </c>
      <c r="H37" s="2">
        <f t="shared" si="18"/>
        <v>-44</v>
      </c>
      <c r="I37" s="3">
        <f t="shared" si="19"/>
        <v>-0.12607449856733524</v>
      </c>
      <c r="J37" s="2">
        <f>GETPIVOTDATA("Sum of before3",'BU Pivot'!$A$14,"shipment_scheme","FBL","weight_bucket",$A37)</f>
        <v>991</v>
      </c>
      <c r="K37" s="2">
        <f>GETPIVOTDATA("Sum of after3",'BU Pivot'!$A$14,"shipment_scheme","FBL","weight_bucket",$A37)</f>
        <v>1059</v>
      </c>
      <c r="L37" s="2">
        <f t="shared" si="20"/>
        <v>68</v>
      </c>
      <c r="M37" s="3">
        <f t="shared" si="21"/>
        <v>6.8617558022199793E-2</v>
      </c>
      <c r="N37" s="2">
        <f>GETPIVOTDATA("Sum of before4",'BU Pivot'!$A$14,"shipment_scheme","FBL","weight_bucket",$A37)</f>
        <v>-7191552.8399999999</v>
      </c>
      <c r="O37" s="2">
        <f>GETPIVOTDATA("Sum of after4",'BU Pivot'!$A$14,"shipment_scheme","FBL","weight_bucket",$A37)</f>
        <v>-7434707.5</v>
      </c>
      <c r="P37" s="2">
        <f t="shared" si="22"/>
        <v>-243154.66000000015</v>
      </c>
      <c r="Q37" s="3">
        <f t="shared" si="23"/>
        <v>3.3811148358328706E-2</v>
      </c>
    </row>
    <row r="38" spans="1:17" x14ac:dyDescent="0.25">
      <c r="A38" s="9" t="s">
        <v>19</v>
      </c>
      <c r="B38" s="2">
        <f>GETPIVOTDATA("Sum of before",'BU Pivot'!$A$14,"shipment_scheme","FBL","weight_bucket",$A38)</f>
        <v>166952863.05000001</v>
      </c>
      <c r="C38" s="2">
        <f>GETPIVOTDATA("Sum of after",'BU Pivot'!$A$14,"shipment_scheme","FBL","weight_bucket",$A38)</f>
        <v>243909373.34999999</v>
      </c>
      <c r="D38" s="2">
        <f t="shared" si="16"/>
        <v>76956510.299999982</v>
      </c>
      <c r="E38" s="3">
        <f t="shared" si="17"/>
        <v>0.46094753269940991</v>
      </c>
      <c r="F38" s="2">
        <f>GETPIVOTDATA("Sum of before2",'BU Pivot'!$A$14,"shipment_scheme","FBL","weight_bucket",$A38)</f>
        <v>385</v>
      </c>
      <c r="G38" s="2">
        <f>GETPIVOTDATA("Sum of after2",'BU Pivot'!$A$14,"shipment_scheme","FBL","weight_bucket",$A38)</f>
        <v>382</v>
      </c>
      <c r="H38" s="2">
        <f t="shared" si="18"/>
        <v>-3</v>
      </c>
      <c r="I38" s="3">
        <f t="shared" si="19"/>
        <v>-7.7922077922077922E-3</v>
      </c>
      <c r="J38" s="2">
        <f>GETPIVOTDATA("Sum of before3",'BU Pivot'!$A$14,"shipment_scheme","FBL","weight_bucket",$A38)</f>
        <v>1953</v>
      </c>
      <c r="K38" s="2">
        <f>GETPIVOTDATA("Sum of after3",'BU Pivot'!$A$14,"shipment_scheme","FBL","weight_bucket",$A38)</f>
        <v>2182</v>
      </c>
      <c r="L38" s="2">
        <f t="shared" si="20"/>
        <v>229</v>
      </c>
      <c r="M38" s="3">
        <f t="shared" si="21"/>
        <v>0.11725550435227855</v>
      </c>
      <c r="N38" s="2">
        <f>GETPIVOTDATA("Sum of before4",'BU Pivot'!$A$14,"shipment_scheme","FBL","weight_bucket",$A38)</f>
        <v>-14485027.370000001</v>
      </c>
      <c r="O38" s="2">
        <f>GETPIVOTDATA("Sum of after4",'BU Pivot'!$A$14,"shipment_scheme","FBL","weight_bucket",$A38)</f>
        <v>-15270565</v>
      </c>
      <c r="P38" s="2">
        <f t="shared" si="22"/>
        <v>-785537.62999999896</v>
      </c>
      <c r="Q38" s="3">
        <f t="shared" si="23"/>
        <v>5.4231007642203642E-2</v>
      </c>
    </row>
    <row r="39" spans="1:17" x14ac:dyDescent="0.25">
      <c r="A39" s="9"/>
      <c r="B39" s="2"/>
      <c r="C39" s="2"/>
      <c r="D39" s="2"/>
      <c r="E39" s="3"/>
      <c r="F39" s="2"/>
      <c r="G39" s="2"/>
      <c r="H39" s="2"/>
      <c r="I39" s="3"/>
      <c r="J39" s="2"/>
      <c r="K39" s="2"/>
      <c r="L39" s="2"/>
      <c r="M39" s="3"/>
      <c r="N39" s="2"/>
      <c r="O39" s="2"/>
      <c r="P39" s="2"/>
      <c r="Q39" s="3"/>
    </row>
    <row r="40" spans="1:17" x14ac:dyDescent="0.25">
      <c r="A40" s="9" t="s">
        <v>83</v>
      </c>
      <c r="B40" s="2"/>
      <c r="C40" s="2"/>
      <c r="D40" s="2"/>
      <c r="E40" s="3"/>
      <c r="F40" s="2"/>
      <c r="G40" s="2"/>
      <c r="H40" s="2"/>
      <c r="I40" s="3"/>
      <c r="J40" s="2"/>
      <c r="K40" s="2"/>
      <c r="L40" s="2"/>
      <c r="M40" s="3"/>
      <c r="N40" s="2"/>
      <c r="O40" s="2"/>
      <c r="P40" s="2"/>
      <c r="Q40" s="3"/>
    </row>
    <row r="41" spans="1:17" x14ac:dyDescent="0.25">
      <c r="A41" s="19" t="s">
        <v>296</v>
      </c>
      <c r="B41" s="20" t="s">
        <v>292</v>
      </c>
      <c r="C41" s="20"/>
      <c r="D41" s="20"/>
      <c r="E41" s="20"/>
      <c r="F41" s="20" t="s">
        <v>291</v>
      </c>
      <c r="G41" s="20"/>
      <c r="H41" s="20"/>
      <c r="I41" s="20"/>
      <c r="J41" s="20" t="s">
        <v>290</v>
      </c>
      <c r="K41" s="20"/>
      <c r="L41" s="20"/>
      <c r="M41" s="20"/>
      <c r="N41" s="20" t="s">
        <v>308</v>
      </c>
      <c r="O41" s="20"/>
      <c r="P41" s="20"/>
      <c r="Q41" s="20"/>
    </row>
    <row r="42" spans="1:17" x14ac:dyDescent="0.25">
      <c r="A42" s="19"/>
      <c r="B42" s="21">
        <f>SUBTOTAL(9,B44:B51)</f>
        <v>134989442771.58</v>
      </c>
      <c r="C42" s="21">
        <f>SUBTOTAL(9,C44:C51)</f>
        <v>123924935113.22</v>
      </c>
      <c r="D42" s="21">
        <f>C42-B42</f>
        <v>-11064507658.360001</v>
      </c>
      <c r="E42" s="22">
        <f>D42/B42</f>
        <v>-8.1965725846299048E-2</v>
      </c>
      <c r="F42" s="21">
        <f>SUBTOTAL(9,F44:F51)</f>
        <v>1058080</v>
      </c>
      <c r="G42" s="21">
        <f>SUBTOTAL(9,G44:G51)</f>
        <v>907148</v>
      </c>
      <c r="H42" s="21">
        <f>G42-F42</f>
        <v>-150932</v>
      </c>
      <c r="I42" s="22">
        <f>H42/F42</f>
        <v>-0.1426470588235294</v>
      </c>
      <c r="J42" s="21">
        <f>SUBTOTAL(9,J44:J51)</f>
        <v>1406264</v>
      </c>
      <c r="K42" s="21">
        <f>SUBTOTAL(9,K44:K51)</f>
        <v>1200669</v>
      </c>
      <c r="L42" s="21">
        <f>K42-J42</f>
        <v>-205595</v>
      </c>
      <c r="M42" s="22">
        <f>L42/J42</f>
        <v>-0.14619943339230757</v>
      </c>
      <c r="N42" s="21">
        <f>SUBTOTAL(9,N44:N51)</f>
        <v>-9173960369.2970009</v>
      </c>
      <c r="O42" s="21">
        <f>SUBTOTAL(9,O44:O51)</f>
        <v>-5929509794.6672993</v>
      </c>
      <c r="P42" s="21">
        <f>O42-N42</f>
        <v>3244450574.6297016</v>
      </c>
      <c r="Q42" s="22">
        <f>P42/N42</f>
        <v>-0.35365866474506291</v>
      </c>
    </row>
    <row r="43" spans="1:17" x14ac:dyDescent="0.25">
      <c r="A43" s="23" t="s">
        <v>3</v>
      </c>
      <c r="B43" s="24" t="s">
        <v>280</v>
      </c>
      <c r="C43" s="24" t="s">
        <v>285</v>
      </c>
      <c r="D43" s="24" t="s">
        <v>287</v>
      </c>
      <c r="E43" s="25" t="s">
        <v>288</v>
      </c>
      <c r="F43" s="24" t="s">
        <v>280</v>
      </c>
      <c r="G43" s="24" t="s">
        <v>285</v>
      </c>
      <c r="H43" s="24" t="s">
        <v>287</v>
      </c>
      <c r="I43" s="25" t="s">
        <v>288</v>
      </c>
      <c r="J43" s="24" t="s">
        <v>280</v>
      </c>
      <c r="K43" s="24" t="s">
        <v>285</v>
      </c>
      <c r="L43" s="24" t="s">
        <v>287</v>
      </c>
      <c r="M43" s="25" t="s">
        <v>288</v>
      </c>
      <c r="N43" s="24" t="s">
        <v>280</v>
      </c>
      <c r="O43" s="24" t="s">
        <v>285</v>
      </c>
      <c r="P43" s="24" t="s">
        <v>287</v>
      </c>
      <c r="Q43" s="25" t="s">
        <v>288</v>
      </c>
    </row>
    <row r="44" spans="1:17" x14ac:dyDescent="0.25">
      <c r="A44" s="9" t="s">
        <v>21</v>
      </c>
      <c r="B44" s="2">
        <f>GETPIVOTDATA("Sum of before",'BU Pivot'!$A$14,"shipment_scheme","Master Account","weight_bucket",$A44)</f>
        <v>1388799184.28</v>
      </c>
      <c r="C44" s="2">
        <f>GETPIVOTDATA("Sum of after",'BU Pivot'!$A$14,"shipment_scheme","Master Account","weight_bucket",$A44)</f>
        <v>1161644263.27</v>
      </c>
      <c r="D44" s="2">
        <f t="shared" ref="D44:D51" si="24">C44-B44</f>
        <v>-227154921.00999999</v>
      </c>
      <c r="E44" s="3">
        <f t="shared" ref="E44:E51" si="25">D44/B44</f>
        <v>-0.16356210716509365</v>
      </c>
      <c r="F44" s="2">
        <f>GETPIVOTDATA("Sum of before2",'BU Pivot'!$A$14,"shipment_scheme","Master Account","weight_bucket",$A44)</f>
        <v>26817</v>
      </c>
      <c r="G44" s="2">
        <f>GETPIVOTDATA("Sum of after2",'BU Pivot'!$A$14,"shipment_scheme","Master Account","weight_bucket",$A44)</f>
        <v>24118</v>
      </c>
      <c r="H44" s="2">
        <f t="shared" ref="H44:H51" si="26">G44-F44</f>
        <v>-2699</v>
      </c>
      <c r="I44" s="3">
        <f t="shared" ref="I44:I51" si="27">H44/F44</f>
        <v>-0.10064511317447887</v>
      </c>
      <c r="J44" s="2">
        <f>GETPIVOTDATA("Sum of before3",'BU Pivot'!$A$14,"shipment_scheme","Master Account","weight_bucket",$A44)</f>
        <v>27988</v>
      </c>
      <c r="K44" s="2">
        <f>GETPIVOTDATA("Sum of after3",'BU Pivot'!$A$14,"shipment_scheme","Master Account","weight_bucket",$A44)</f>
        <v>25220</v>
      </c>
      <c r="L44" s="2">
        <f t="shared" ref="L44:L51" si="28">K44-J44</f>
        <v>-2768</v>
      </c>
      <c r="M44" s="3">
        <f t="shared" ref="M44:M51" si="29">L44/J44</f>
        <v>-9.8899528369301132E-2</v>
      </c>
      <c r="N44" s="2">
        <f>GETPIVOTDATA("Sum of before4",'BU Pivot'!$A$14,"shipment_scheme","Master Account","weight_bucket",$A44)</f>
        <v>-204210007.17999998</v>
      </c>
      <c r="O44" s="2">
        <f>GETPIVOTDATA("Sum of after4",'BU Pivot'!$A$14,"shipment_scheme","Master Account","weight_bucket",$A44)</f>
        <v>-163716460.84</v>
      </c>
      <c r="P44" s="2">
        <f t="shared" ref="P44:P51" si="30">O44-N44</f>
        <v>40493546.339999974</v>
      </c>
      <c r="Q44" s="3">
        <f t="shared" ref="Q44:Q51" si="31">P44/N44</f>
        <v>-0.19829364338794192</v>
      </c>
    </row>
    <row r="45" spans="1:17" x14ac:dyDescent="0.25">
      <c r="A45" s="9" t="s">
        <v>7</v>
      </c>
      <c r="B45" s="2">
        <f>GETPIVOTDATA("Sum of before",'BU Pivot'!$A$14,"shipment_scheme","Master Account","weight_bucket",$A45)</f>
        <v>112974149379.89999</v>
      </c>
      <c r="C45" s="2">
        <f>GETPIVOTDATA("Sum of after",'BU Pivot'!$A$14,"shipment_scheme","Master Account","weight_bucket",$A45)</f>
        <v>103835667675.59</v>
      </c>
      <c r="D45" s="2">
        <f t="shared" si="24"/>
        <v>-9138481704.3099976</v>
      </c>
      <c r="E45" s="3">
        <f t="shared" si="25"/>
        <v>-8.0890024438952643E-2</v>
      </c>
      <c r="F45" s="2">
        <f>GETPIVOTDATA("Sum of before2",'BU Pivot'!$A$14,"shipment_scheme","Master Account","weight_bucket",$A45)</f>
        <v>964359</v>
      </c>
      <c r="G45" s="2">
        <f>GETPIVOTDATA("Sum of after2",'BU Pivot'!$A$14,"shipment_scheme","Master Account","weight_bucket",$A45)</f>
        <v>826212</v>
      </c>
      <c r="H45" s="2">
        <f t="shared" si="26"/>
        <v>-138147</v>
      </c>
      <c r="I45" s="3">
        <f t="shared" si="27"/>
        <v>-0.14325266835276074</v>
      </c>
      <c r="J45" s="2">
        <f>GETPIVOTDATA("Sum of before3",'BU Pivot'!$A$14,"shipment_scheme","Master Account","weight_bucket",$A45)</f>
        <v>1224887</v>
      </c>
      <c r="K45" s="2">
        <f>GETPIVOTDATA("Sum of after3",'BU Pivot'!$A$14,"shipment_scheme","Master Account","weight_bucket",$A45)</f>
        <v>1046287</v>
      </c>
      <c r="L45" s="2">
        <f t="shared" si="28"/>
        <v>-178600</v>
      </c>
      <c r="M45" s="3">
        <f t="shared" si="29"/>
        <v>-0.14580936853766918</v>
      </c>
      <c r="N45" s="2">
        <f>GETPIVOTDATA("Sum of before4",'BU Pivot'!$A$14,"shipment_scheme","Master Account","weight_bucket",$A45)</f>
        <v>-7621596081.1568012</v>
      </c>
      <c r="O45" s="2">
        <f>GETPIVOTDATA("Sum of after4",'BU Pivot'!$A$14,"shipment_scheme","Master Account","weight_bucket",$A45)</f>
        <v>-4755312302.9365005</v>
      </c>
      <c r="P45" s="2">
        <f t="shared" si="30"/>
        <v>2866283778.2203007</v>
      </c>
      <c r="Q45" s="3">
        <f t="shared" si="31"/>
        <v>-0.37607395454959058</v>
      </c>
    </row>
    <row r="46" spans="1:17" x14ac:dyDescent="0.25">
      <c r="A46" s="9" t="s">
        <v>9</v>
      </c>
      <c r="B46" s="2">
        <f>GETPIVOTDATA("Sum of before",'BU Pivot'!$A$14,"shipment_scheme","Master Account","weight_bucket",$A46)</f>
        <v>7192037147.0200005</v>
      </c>
      <c r="C46" s="2">
        <f>GETPIVOTDATA("Sum of after",'BU Pivot'!$A$14,"shipment_scheme","Master Account","weight_bucket",$A46)</f>
        <v>6509501714.6299992</v>
      </c>
      <c r="D46" s="2">
        <f t="shared" si="24"/>
        <v>-682535432.3900013</v>
      </c>
      <c r="E46" s="3">
        <f t="shared" si="25"/>
        <v>-9.4901544366022619E-2</v>
      </c>
      <c r="F46" s="2">
        <f>GETPIVOTDATA("Sum of before2",'BU Pivot'!$A$14,"shipment_scheme","Master Account","weight_bucket",$A46)</f>
        <v>36534</v>
      </c>
      <c r="G46" s="2">
        <f>GETPIVOTDATA("Sum of after2",'BU Pivot'!$A$14,"shipment_scheme","Master Account","weight_bucket",$A46)</f>
        <v>30761</v>
      </c>
      <c r="H46" s="2">
        <f t="shared" si="26"/>
        <v>-5773</v>
      </c>
      <c r="I46" s="3">
        <f t="shared" si="27"/>
        <v>-0.1580171894673455</v>
      </c>
      <c r="J46" s="2">
        <f>GETPIVOTDATA("Sum of before3",'BU Pivot'!$A$14,"shipment_scheme","Master Account","weight_bucket",$A46)</f>
        <v>71454</v>
      </c>
      <c r="K46" s="2">
        <f>GETPIVOTDATA("Sum of after3",'BU Pivot'!$A$14,"shipment_scheme","Master Account","weight_bucket",$A46)</f>
        <v>59524</v>
      </c>
      <c r="L46" s="2">
        <f t="shared" si="28"/>
        <v>-11930</v>
      </c>
      <c r="M46" s="3">
        <f t="shared" si="29"/>
        <v>-0.1669605620399138</v>
      </c>
      <c r="N46" s="2">
        <f>GETPIVOTDATA("Sum of before4",'BU Pivot'!$A$14,"shipment_scheme","Master Account","weight_bucket",$A46)</f>
        <v>-621704561.89750004</v>
      </c>
      <c r="O46" s="2">
        <f>GETPIVOTDATA("Sum of after4",'BU Pivot'!$A$14,"shipment_scheme","Master Account","weight_bucket",$A46)</f>
        <v>-448741455.73950005</v>
      </c>
      <c r="P46" s="2">
        <f t="shared" si="30"/>
        <v>172963106.15799999</v>
      </c>
      <c r="Q46" s="3">
        <f t="shared" si="31"/>
        <v>-0.27820787679295861</v>
      </c>
    </row>
    <row r="47" spans="1:17" x14ac:dyDescent="0.25">
      <c r="A47" s="9" t="s">
        <v>11</v>
      </c>
      <c r="B47" s="2">
        <f>GETPIVOTDATA("Sum of before",'BU Pivot'!$A$14,"shipment_scheme","Master Account","weight_bucket",$A47)</f>
        <v>4619275231.3899994</v>
      </c>
      <c r="C47" s="2">
        <f>GETPIVOTDATA("Sum of after",'BU Pivot'!$A$14,"shipment_scheme","Master Account","weight_bucket",$A47)</f>
        <v>3963394942.6900001</v>
      </c>
      <c r="D47" s="2">
        <f t="shared" si="24"/>
        <v>-655880288.69999933</v>
      </c>
      <c r="E47" s="3">
        <f t="shared" si="25"/>
        <v>-0.14198770496354177</v>
      </c>
      <c r="F47" s="2">
        <f>GETPIVOTDATA("Sum of before2",'BU Pivot'!$A$14,"shipment_scheme","Master Account","weight_bucket",$A47)</f>
        <v>12793</v>
      </c>
      <c r="G47" s="2">
        <f>GETPIVOTDATA("Sum of after2",'BU Pivot'!$A$14,"shipment_scheme","Master Account","weight_bucket",$A47)</f>
        <v>10925</v>
      </c>
      <c r="H47" s="2">
        <f t="shared" si="26"/>
        <v>-1868</v>
      </c>
      <c r="I47" s="3">
        <f t="shared" si="27"/>
        <v>-0.14601735324005316</v>
      </c>
      <c r="J47" s="2">
        <f>GETPIVOTDATA("Sum of before3",'BU Pivot'!$A$14,"shipment_scheme","Master Account","weight_bucket",$A47)</f>
        <v>31720</v>
      </c>
      <c r="K47" s="2">
        <f>GETPIVOTDATA("Sum of after3",'BU Pivot'!$A$14,"shipment_scheme","Master Account","weight_bucket",$A47)</f>
        <v>27142</v>
      </c>
      <c r="L47" s="2">
        <f t="shared" si="28"/>
        <v>-4578</v>
      </c>
      <c r="M47" s="3">
        <f t="shared" si="29"/>
        <v>-0.14432534678436318</v>
      </c>
      <c r="N47" s="2">
        <f>GETPIVOTDATA("Sum of before4",'BU Pivot'!$A$14,"shipment_scheme","Master Account","weight_bucket",$A47)</f>
        <v>-294176917.70379996</v>
      </c>
      <c r="O47" s="2">
        <f>GETPIVOTDATA("Sum of after4",'BU Pivot'!$A$14,"shipment_scheme","Master Account","weight_bucket",$A47)</f>
        <v>-240102902.39230001</v>
      </c>
      <c r="P47" s="2">
        <f t="shared" si="30"/>
        <v>54074015.311499953</v>
      </c>
      <c r="Q47" s="3">
        <f t="shared" si="31"/>
        <v>-0.18381460970349089</v>
      </c>
    </row>
    <row r="48" spans="1:17" x14ac:dyDescent="0.25">
      <c r="A48" s="9" t="s">
        <v>13</v>
      </c>
      <c r="B48" s="2">
        <f>GETPIVOTDATA("Sum of before",'BU Pivot'!$A$14,"shipment_scheme","Master Account","weight_bucket",$A48)</f>
        <v>2812941735.25</v>
      </c>
      <c r="C48" s="2">
        <f>GETPIVOTDATA("Sum of after",'BU Pivot'!$A$14,"shipment_scheme","Master Account","weight_bucket",$A48)</f>
        <v>2534036713.6800003</v>
      </c>
      <c r="D48" s="2">
        <f t="shared" si="24"/>
        <v>-278905021.56999969</v>
      </c>
      <c r="E48" s="3">
        <f t="shared" si="25"/>
        <v>-9.9150657148329463E-2</v>
      </c>
      <c r="F48" s="2">
        <f>GETPIVOTDATA("Sum of before2",'BU Pivot'!$A$14,"shipment_scheme","Master Account","weight_bucket",$A48)</f>
        <v>8725</v>
      </c>
      <c r="G48" s="2">
        <f>GETPIVOTDATA("Sum of after2",'BU Pivot'!$A$14,"shipment_scheme","Master Account","weight_bucket",$A48)</f>
        <v>7324</v>
      </c>
      <c r="H48" s="2">
        <f t="shared" si="26"/>
        <v>-1401</v>
      </c>
      <c r="I48" s="3">
        <f t="shared" si="27"/>
        <v>-0.1605730659025788</v>
      </c>
      <c r="J48" s="2">
        <f>GETPIVOTDATA("Sum of before3",'BU Pivot'!$A$14,"shipment_scheme","Master Account","weight_bucket",$A48)</f>
        <v>25087</v>
      </c>
      <c r="K48" s="2">
        <f>GETPIVOTDATA("Sum of after3",'BU Pivot'!$A$14,"shipment_scheme","Master Account","weight_bucket",$A48)</f>
        <v>20880</v>
      </c>
      <c r="L48" s="2">
        <f t="shared" si="28"/>
        <v>-4207</v>
      </c>
      <c r="M48" s="3">
        <f t="shared" si="29"/>
        <v>-0.16769641647068204</v>
      </c>
      <c r="N48" s="2">
        <f>GETPIVOTDATA("Sum of before4",'BU Pivot'!$A$14,"shipment_scheme","Master Account","weight_bucket",$A48)</f>
        <v>-221842584.745</v>
      </c>
      <c r="O48" s="2">
        <f>GETPIVOTDATA("Sum of after4",'BU Pivot'!$A$14,"shipment_scheme","Master Account","weight_bucket",$A48)</f>
        <v>-166688613.5201</v>
      </c>
      <c r="P48" s="2">
        <f t="shared" si="30"/>
        <v>55153971.224900007</v>
      </c>
      <c r="Q48" s="3">
        <f t="shared" si="31"/>
        <v>-0.24861760102686098</v>
      </c>
    </row>
    <row r="49" spans="1:17" x14ac:dyDescent="0.25">
      <c r="A49" s="9" t="s">
        <v>15</v>
      </c>
      <c r="B49" s="2">
        <f>GETPIVOTDATA("Sum of before",'BU Pivot'!$A$14,"shipment_scheme","Master Account","weight_bucket",$A49)</f>
        <v>1277222312.52</v>
      </c>
      <c r="C49" s="2">
        <f>GETPIVOTDATA("Sum of after",'BU Pivot'!$A$14,"shipment_scheme","Master Account","weight_bucket",$A49)</f>
        <v>1249017866.54</v>
      </c>
      <c r="D49" s="2">
        <f t="shared" si="24"/>
        <v>-28204445.980000019</v>
      </c>
      <c r="E49" s="3">
        <f t="shared" si="25"/>
        <v>-2.2082644269149791E-2</v>
      </c>
      <c r="F49" s="2">
        <f>GETPIVOTDATA("Sum of before2",'BU Pivot'!$A$14,"shipment_scheme","Master Account","weight_bucket",$A49)</f>
        <v>3423</v>
      </c>
      <c r="G49" s="2">
        <f>GETPIVOTDATA("Sum of after2",'BU Pivot'!$A$14,"shipment_scheme","Master Account","weight_bucket",$A49)</f>
        <v>2910</v>
      </c>
      <c r="H49" s="2">
        <f t="shared" si="26"/>
        <v>-513</v>
      </c>
      <c r="I49" s="3">
        <f t="shared" si="27"/>
        <v>-0.14986853637160386</v>
      </c>
      <c r="J49" s="2">
        <f>GETPIVOTDATA("Sum of before3",'BU Pivot'!$A$14,"shipment_scheme","Master Account","weight_bucket",$A49)</f>
        <v>8398</v>
      </c>
      <c r="K49" s="2">
        <f>GETPIVOTDATA("Sum of after3",'BU Pivot'!$A$14,"shipment_scheme","Master Account","weight_bucket",$A49)</f>
        <v>6685</v>
      </c>
      <c r="L49" s="2">
        <f t="shared" si="28"/>
        <v>-1713</v>
      </c>
      <c r="M49" s="3">
        <f t="shared" si="29"/>
        <v>-0.20397713741366993</v>
      </c>
      <c r="N49" s="2">
        <f>GETPIVOTDATA("Sum of before4",'BU Pivot'!$A$14,"shipment_scheme","Master Account","weight_bucket",$A49)</f>
        <v>-82208889.265000001</v>
      </c>
      <c r="O49" s="2">
        <f>GETPIVOTDATA("Sum of after4",'BU Pivot'!$A$14,"shipment_scheme","Master Account","weight_bucket",$A49)</f>
        <v>-57615271.093999997</v>
      </c>
      <c r="P49" s="2">
        <f t="shared" si="30"/>
        <v>24593618.171000004</v>
      </c>
      <c r="Q49" s="3">
        <f t="shared" si="31"/>
        <v>-0.299160083427506</v>
      </c>
    </row>
    <row r="50" spans="1:17" x14ac:dyDescent="0.25">
      <c r="A50" s="9" t="s">
        <v>17</v>
      </c>
      <c r="B50" s="2">
        <f>GETPIVOTDATA("Sum of before",'BU Pivot'!$A$14,"shipment_scheme","Master Account","weight_bucket",$A50)</f>
        <v>875324561.27999997</v>
      </c>
      <c r="C50" s="2">
        <f>GETPIVOTDATA("Sum of after",'BU Pivot'!$A$14,"shipment_scheme","Master Account","weight_bucket",$A50)</f>
        <v>861628826.73000002</v>
      </c>
      <c r="D50" s="2">
        <f t="shared" si="24"/>
        <v>-13695734.549999952</v>
      </c>
      <c r="E50" s="3">
        <f t="shared" si="25"/>
        <v>-1.5646464358286118E-2</v>
      </c>
      <c r="F50" s="2">
        <f>GETPIVOTDATA("Sum of before2",'BU Pivot'!$A$14,"shipment_scheme","Master Account","weight_bucket",$A50)</f>
        <v>1810</v>
      </c>
      <c r="G50" s="2">
        <f>GETPIVOTDATA("Sum of after2",'BU Pivot'!$A$14,"shipment_scheme","Master Account","weight_bucket",$A50)</f>
        <v>1567</v>
      </c>
      <c r="H50" s="2">
        <f t="shared" si="26"/>
        <v>-243</v>
      </c>
      <c r="I50" s="3">
        <f t="shared" si="27"/>
        <v>-0.13425414364640884</v>
      </c>
      <c r="J50" s="2">
        <f>GETPIVOTDATA("Sum of before3",'BU Pivot'!$A$14,"shipment_scheme","Master Account","weight_bucket",$A50)</f>
        <v>5026</v>
      </c>
      <c r="K50" s="2">
        <f>GETPIVOTDATA("Sum of after3",'BU Pivot'!$A$14,"shipment_scheme","Master Account","weight_bucket",$A50)</f>
        <v>4164</v>
      </c>
      <c r="L50" s="2">
        <f t="shared" si="28"/>
        <v>-862</v>
      </c>
      <c r="M50" s="3">
        <f t="shared" si="29"/>
        <v>-0.17150815758058097</v>
      </c>
      <c r="N50" s="2">
        <f>GETPIVOTDATA("Sum of before4",'BU Pivot'!$A$14,"shipment_scheme","Master Account","weight_bucket",$A50)</f>
        <v>-49857464.019999996</v>
      </c>
      <c r="O50" s="2">
        <f>GETPIVOTDATA("Sum of after4",'BU Pivot'!$A$14,"shipment_scheme","Master Account","weight_bucket",$A50)</f>
        <v>-36639171.5405</v>
      </c>
      <c r="P50" s="2">
        <f t="shared" si="30"/>
        <v>13218292.479499996</v>
      </c>
      <c r="Q50" s="3">
        <f t="shared" si="31"/>
        <v>-0.26512163703708563</v>
      </c>
    </row>
    <row r="51" spans="1:17" x14ac:dyDescent="0.25">
      <c r="A51" s="9" t="s">
        <v>19</v>
      </c>
      <c r="B51" s="2">
        <f>GETPIVOTDATA("Sum of before",'BU Pivot'!$A$14,"shipment_scheme","Master Account","weight_bucket",$A51)</f>
        <v>3849693219.9400001</v>
      </c>
      <c r="C51" s="2">
        <f>GETPIVOTDATA("Sum of after",'BU Pivot'!$A$14,"shipment_scheme","Master Account","weight_bucket",$A51)</f>
        <v>3810043110.0899997</v>
      </c>
      <c r="D51" s="2">
        <f t="shared" si="24"/>
        <v>-39650109.850000381</v>
      </c>
      <c r="E51" s="3">
        <f t="shared" si="25"/>
        <v>-1.0299550531618297E-2</v>
      </c>
      <c r="F51" s="2">
        <f>GETPIVOTDATA("Sum of before2",'BU Pivot'!$A$14,"shipment_scheme","Master Account","weight_bucket",$A51)</f>
        <v>3619</v>
      </c>
      <c r="G51" s="2">
        <f>GETPIVOTDATA("Sum of after2",'BU Pivot'!$A$14,"shipment_scheme","Master Account","weight_bucket",$A51)</f>
        <v>3331</v>
      </c>
      <c r="H51" s="2">
        <f t="shared" si="26"/>
        <v>-288</v>
      </c>
      <c r="I51" s="3">
        <f t="shared" si="27"/>
        <v>-7.9579994473611498E-2</v>
      </c>
      <c r="J51" s="2">
        <f>GETPIVOTDATA("Sum of before3",'BU Pivot'!$A$14,"shipment_scheme","Master Account","weight_bucket",$A51)</f>
        <v>11704</v>
      </c>
      <c r="K51" s="2">
        <f>GETPIVOTDATA("Sum of after3",'BU Pivot'!$A$14,"shipment_scheme","Master Account","weight_bucket",$A51)</f>
        <v>10767</v>
      </c>
      <c r="L51" s="2">
        <f t="shared" si="28"/>
        <v>-937</v>
      </c>
      <c r="M51" s="3">
        <f t="shared" si="29"/>
        <v>-8.0058099794941898E-2</v>
      </c>
      <c r="N51" s="2">
        <f>GETPIVOTDATA("Sum of before4",'BU Pivot'!$A$14,"shipment_scheme","Master Account","weight_bucket",$A51)</f>
        <v>-78363863.328899994</v>
      </c>
      <c r="O51" s="2">
        <f>GETPIVOTDATA("Sum of after4",'BU Pivot'!$A$14,"shipment_scheme","Master Account","weight_bucket",$A51)</f>
        <v>-60693616.604400001</v>
      </c>
      <c r="P51" s="2">
        <f t="shared" si="30"/>
        <v>17670246.724499993</v>
      </c>
      <c r="Q51" s="3">
        <f t="shared" si="31"/>
        <v>-0.22548973434778757</v>
      </c>
    </row>
    <row r="52" spans="1:17" x14ac:dyDescent="0.25">
      <c r="A52" s="9"/>
      <c r="B52" s="2"/>
      <c r="C52" s="2"/>
      <c r="D52" s="2"/>
      <c r="E52" s="3"/>
      <c r="F52" s="2"/>
      <c r="G52" s="2"/>
      <c r="H52" s="2"/>
      <c r="I52" s="3"/>
      <c r="J52" s="2"/>
      <c r="K52" s="2"/>
      <c r="L52" s="2"/>
      <c r="M52" s="3"/>
      <c r="N52" s="2"/>
      <c r="O52" s="2"/>
      <c r="P52" s="2"/>
      <c r="Q52" s="3"/>
    </row>
    <row r="53" spans="1:17" x14ac:dyDescent="0.25">
      <c r="A53" s="9" t="s">
        <v>116</v>
      </c>
      <c r="B53" s="2"/>
      <c r="C53" s="2"/>
      <c r="D53" s="2"/>
      <c r="E53" s="3"/>
      <c r="F53" s="2"/>
      <c r="G53" s="2"/>
      <c r="H53" s="2"/>
      <c r="I53" s="3"/>
      <c r="J53" s="2"/>
      <c r="K53" s="2"/>
      <c r="L53" s="2"/>
      <c r="M53" s="3"/>
      <c r="N53" s="2"/>
      <c r="O53" s="2"/>
      <c r="P53" s="2"/>
      <c r="Q53" s="3"/>
    </row>
    <row r="54" spans="1:17" x14ac:dyDescent="0.25">
      <c r="A54" s="19" t="s">
        <v>296</v>
      </c>
      <c r="B54" s="20" t="s">
        <v>292</v>
      </c>
      <c r="C54" s="20"/>
      <c r="D54" s="20"/>
      <c r="E54" s="20"/>
      <c r="F54" s="20" t="s">
        <v>291</v>
      </c>
      <c r="G54" s="20"/>
      <c r="H54" s="20"/>
      <c r="I54" s="20"/>
      <c r="J54" s="20" t="s">
        <v>290</v>
      </c>
      <c r="K54" s="20"/>
      <c r="L54" s="20"/>
      <c r="M54" s="20"/>
      <c r="N54" s="20" t="s">
        <v>308</v>
      </c>
      <c r="O54" s="20"/>
      <c r="P54" s="20"/>
      <c r="Q54" s="20"/>
    </row>
    <row r="55" spans="1:17" x14ac:dyDescent="0.25">
      <c r="A55" s="19"/>
      <c r="B55" s="21">
        <f>SUBTOTAL(9,B57:B64)</f>
        <v>75006264650.800018</v>
      </c>
      <c r="C55" s="21">
        <f>SUBTOTAL(9,C57:C64)</f>
        <v>94867418488.01001</v>
      </c>
      <c r="D55" s="21">
        <f>C55-B55</f>
        <v>19861153837.209991</v>
      </c>
      <c r="E55" s="22">
        <f>D55/B55</f>
        <v>0.26479326666480185</v>
      </c>
      <c r="F55" s="21">
        <f>SUBTOTAL(9,F57:F64)</f>
        <v>138161</v>
      </c>
      <c r="G55" s="21">
        <f>SUBTOTAL(9,G57:G64)</f>
        <v>136095</v>
      </c>
      <c r="H55" s="21">
        <f>G55-F55</f>
        <v>-2066</v>
      </c>
      <c r="I55" s="22">
        <f>H55/F55</f>
        <v>-1.4953568662647201E-2</v>
      </c>
      <c r="J55" s="21">
        <f>SUBTOTAL(9,J57:J64)</f>
        <v>199691</v>
      </c>
      <c r="K55" s="21">
        <f>SUBTOTAL(9,K57:K64)</f>
        <v>197001</v>
      </c>
      <c r="L55" s="21">
        <f>K55-J55</f>
        <v>-2690</v>
      </c>
      <c r="M55" s="22">
        <f>L55/J55</f>
        <v>-1.3470812405165981E-2</v>
      </c>
      <c r="N55" s="21">
        <f>SUBTOTAL(9,N57:N64)</f>
        <v>-2279556150.0283999</v>
      </c>
      <c r="O55" s="21">
        <f>SUBTOTAL(9,O57:O64)</f>
        <v>-2378890084.3540001</v>
      </c>
      <c r="P55" s="21">
        <f>O55-N55</f>
        <v>-99333934.325600147</v>
      </c>
      <c r="Q55" s="22">
        <f>P55/N55</f>
        <v>4.3575998039952907E-2</v>
      </c>
    </row>
    <row r="56" spans="1:17" x14ac:dyDescent="0.25">
      <c r="A56" s="23" t="s">
        <v>3</v>
      </c>
      <c r="B56" s="24" t="s">
        <v>280</v>
      </c>
      <c r="C56" s="24" t="s">
        <v>285</v>
      </c>
      <c r="D56" s="24" t="s">
        <v>287</v>
      </c>
      <c r="E56" s="25" t="s">
        <v>288</v>
      </c>
      <c r="F56" s="24" t="s">
        <v>280</v>
      </c>
      <c r="G56" s="24" t="s">
        <v>285</v>
      </c>
      <c r="H56" s="24" t="s">
        <v>287</v>
      </c>
      <c r="I56" s="25" t="s">
        <v>288</v>
      </c>
      <c r="J56" s="24" t="s">
        <v>280</v>
      </c>
      <c r="K56" s="24" t="s">
        <v>285</v>
      </c>
      <c r="L56" s="24" t="s">
        <v>287</v>
      </c>
      <c r="M56" s="25" t="s">
        <v>288</v>
      </c>
      <c r="N56" s="24" t="s">
        <v>280</v>
      </c>
      <c r="O56" s="24" t="s">
        <v>285</v>
      </c>
      <c r="P56" s="24" t="s">
        <v>287</v>
      </c>
      <c r="Q56" s="25" t="s">
        <v>288</v>
      </c>
    </row>
    <row r="57" spans="1:17" x14ac:dyDescent="0.25">
      <c r="A57" s="9" t="s">
        <v>21</v>
      </c>
      <c r="B57" s="2">
        <f>GETPIVOTDATA("Sum of before",'BU Pivot'!$A$14,"shipment_scheme","Retail","weight_bucket",$A57)</f>
        <v>19272634</v>
      </c>
      <c r="C57" s="2">
        <f>GETPIVOTDATA("Sum of after",'BU Pivot'!$A$14,"shipment_scheme","Retail","weight_bucket",$A57)</f>
        <v>323536506.74000001</v>
      </c>
      <c r="D57" s="2">
        <f t="shared" ref="D57:D64" si="32">C57-B57</f>
        <v>304263872.74000001</v>
      </c>
      <c r="E57" s="3">
        <f t="shared" ref="E57:E64" si="33">D57/B57</f>
        <v>15.787352820584877</v>
      </c>
      <c r="F57" s="2">
        <f>GETPIVOTDATA("Sum of before2",'BU Pivot'!$A$14,"shipment_scheme","Retail","weight_bucket",$A57)</f>
        <v>25</v>
      </c>
      <c r="G57" s="2">
        <f>GETPIVOTDATA("Sum of after2",'BU Pivot'!$A$14,"shipment_scheme","Retail","weight_bucket",$A57)</f>
        <v>1358</v>
      </c>
      <c r="H57" s="2">
        <f t="shared" ref="H57:H64" si="34">G57-F57</f>
        <v>1333</v>
      </c>
      <c r="I57" s="3">
        <f t="shared" ref="I57:I64" si="35">H57/F57</f>
        <v>53.32</v>
      </c>
      <c r="J57" s="2">
        <f>GETPIVOTDATA("Sum of before3",'BU Pivot'!$A$14,"shipment_scheme","Retail","weight_bucket",$A57)</f>
        <v>25</v>
      </c>
      <c r="K57" s="2">
        <f>GETPIVOTDATA("Sum of after3",'BU Pivot'!$A$14,"shipment_scheme","Retail","weight_bucket",$A57)</f>
        <v>1473</v>
      </c>
      <c r="L57" s="2">
        <f t="shared" ref="L57:L64" si="36">K57-J57</f>
        <v>1448</v>
      </c>
      <c r="M57" s="3">
        <f t="shared" ref="M57:M64" si="37">L57/J57</f>
        <v>57.92</v>
      </c>
      <c r="N57" s="2">
        <f>GETPIVOTDATA("Sum of before4",'BU Pivot'!$A$14,"shipment_scheme","Retail","weight_bucket",$A57)</f>
        <v>-295489.46679999999</v>
      </c>
      <c r="O57" s="2">
        <f>GETPIVOTDATA("Sum of after4",'BU Pivot'!$A$14,"shipment_scheme","Retail","weight_bucket",$A57)</f>
        <v>-14758733.4663</v>
      </c>
      <c r="P57" s="2">
        <f t="shared" ref="P57:P64" si="38">O57-N57</f>
        <v>-14463243.999499999</v>
      </c>
      <c r="Q57" s="3">
        <f t="shared" ref="Q57:Q64" si="39">P57/N57</f>
        <v>48.946732877247861</v>
      </c>
    </row>
    <row r="58" spans="1:17" x14ac:dyDescent="0.25">
      <c r="A58" s="9" t="s">
        <v>7</v>
      </c>
      <c r="B58" s="2">
        <f>GETPIVOTDATA("Sum of before",'BU Pivot'!$A$14,"shipment_scheme","Retail","weight_bucket",$A58)</f>
        <v>62766630700.029999</v>
      </c>
      <c r="C58" s="2">
        <f>GETPIVOTDATA("Sum of after",'BU Pivot'!$A$14,"shipment_scheme","Retail","weight_bucket",$A58)</f>
        <v>73906060206.600006</v>
      </c>
      <c r="D58" s="2">
        <f t="shared" si="32"/>
        <v>11139429506.570007</v>
      </c>
      <c r="E58" s="3">
        <f t="shared" si="33"/>
        <v>0.17747375288960163</v>
      </c>
      <c r="F58" s="2">
        <f>GETPIVOTDATA("Sum of before2",'BU Pivot'!$A$14,"shipment_scheme","Retail","weight_bucket",$A58)</f>
        <v>112234</v>
      </c>
      <c r="G58" s="2">
        <f>GETPIVOTDATA("Sum of after2",'BU Pivot'!$A$14,"shipment_scheme","Retail","weight_bucket",$A58)</f>
        <v>109055</v>
      </c>
      <c r="H58" s="2">
        <f t="shared" si="34"/>
        <v>-3179</v>
      </c>
      <c r="I58" s="3">
        <f t="shared" si="35"/>
        <v>-2.8324750075734626E-2</v>
      </c>
      <c r="J58" s="2">
        <f>GETPIVOTDATA("Sum of before3",'BU Pivot'!$A$14,"shipment_scheme","Retail","weight_bucket",$A58)</f>
        <v>133412</v>
      </c>
      <c r="K58" s="2">
        <f>GETPIVOTDATA("Sum of after3",'BU Pivot'!$A$14,"shipment_scheme","Retail","weight_bucket",$A58)</f>
        <v>126978</v>
      </c>
      <c r="L58" s="2">
        <f t="shared" si="36"/>
        <v>-6434</v>
      </c>
      <c r="M58" s="3">
        <f t="shared" si="37"/>
        <v>-4.8226546337660783E-2</v>
      </c>
      <c r="N58" s="2">
        <f>GETPIVOTDATA("Sum of before4",'BU Pivot'!$A$14,"shipment_scheme","Retail","weight_bucket",$A58)</f>
        <v>-1470739167.9068</v>
      </c>
      <c r="O58" s="2">
        <f>GETPIVOTDATA("Sum of after4",'BU Pivot'!$A$14,"shipment_scheme","Retail","weight_bucket",$A58)</f>
        <v>-1445687007.3257999</v>
      </c>
      <c r="P58" s="2">
        <f t="shared" si="38"/>
        <v>25052160.58100009</v>
      </c>
      <c r="Q58" s="3">
        <f t="shared" si="39"/>
        <v>-1.7033720953155189E-2</v>
      </c>
    </row>
    <row r="59" spans="1:17" x14ac:dyDescent="0.25">
      <c r="A59" s="9" t="s">
        <v>9</v>
      </c>
      <c r="B59" s="2">
        <f>GETPIVOTDATA("Sum of before",'BU Pivot'!$A$14,"shipment_scheme","Retail","weight_bucket",$A59)</f>
        <v>3697750678.04</v>
      </c>
      <c r="C59" s="2">
        <f>GETPIVOTDATA("Sum of after",'BU Pivot'!$A$14,"shipment_scheme","Retail","weight_bucket",$A59)</f>
        <v>5476605312</v>
      </c>
      <c r="D59" s="2">
        <f t="shared" si="32"/>
        <v>1778854633.96</v>
      </c>
      <c r="E59" s="3">
        <f t="shared" si="33"/>
        <v>0.48106397343773472</v>
      </c>
      <c r="F59" s="2">
        <f>GETPIVOTDATA("Sum of before2",'BU Pivot'!$A$14,"shipment_scheme","Retail","weight_bucket",$A59)</f>
        <v>5318</v>
      </c>
      <c r="G59" s="2">
        <f>GETPIVOTDATA("Sum of after2",'BU Pivot'!$A$14,"shipment_scheme","Retail","weight_bucket",$A59)</f>
        <v>4507</v>
      </c>
      <c r="H59" s="2">
        <f t="shared" si="34"/>
        <v>-811</v>
      </c>
      <c r="I59" s="3">
        <f t="shared" si="35"/>
        <v>-0.15250094020308386</v>
      </c>
      <c r="J59" s="2">
        <f>GETPIVOTDATA("Sum of before3",'BU Pivot'!$A$14,"shipment_scheme","Retail","weight_bucket",$A59)</f>
        <v>11034</v>
      </c>
      <c r="K59" s="2">
        <f>GETPIVOTDATA("Sum of after3",'BU Pivot'!$A$14,"shipment_scheme","Retail","weight_bucket",$A59)</f>
        <v>9662</v>
      </c>
      <c r="L59" s="2">
        <f t="shared" si="36"/>
        <v>-1372</v>
      </c>
      <c r="M59" s="3">
        <f t="shared" si="37"/>
        <v>-0.12434294000362515</v>
      </c>
      <c r="N59" s="2">
        <f>GETPIVOTDATA("Sum of before4",'BU Pivot'!$A$14,"shipment_scheme","Retail","weight_bucket",$A59)</f>
        <v>-101934391.7904</v>
      </c>
      <c r="O59" s="2">
        <f>GETPIVOTDATA("Sum of after4",'BU Pivot'!$A$14,"shipment_scheme","Retail","weight_bucket",$A59)</f>
        <v>-93313161.8759</v>
      </c>
      <c r="P59" s="2">
        <f t="shared" si="38"/>
        <v>8621229.9144999981</v>
      </c>
      <c r="Q59" s="3">
        <f t="shared" si="39"/>
        <v>-8.4576262859616433E-2</v>
      </c>
    </row>
    <row r="60" spans="1:17" x14ac:dyDescent="0.25">
      <c r="A60" s="9" t="s">
        <v>11</v>
      </c>
      <c r="B60" s="2">
        <f>GETPIVOTDATA("Sum of before",'BU Pivot'!$A$14,"shipment_scheme","Retail","weight_bucket",$A60)</f>
        <v>3550858731.7000003</v>
      </c>
      <c r="C60" s="2">
        <f>GETPIVOTDATA("Sum of after",'BU Pivot'!$A$14,"shipment_scheme","Retail","weight_bucket",$A60)</f>
        <v>4813405023.0500002</v>
      </c>
      <c r="D60" s="2">
        <f t="shared" si="32"/>
        <v>1262546291.3499999</v>
      </c>
      <c r="E60" s="3">
        <f t="shared" si="33"/>
        <v>0.35556083380020764</v>
      </c>
      <c r="F60" s="2">
        <f>GETPIVOTDATA("Sum of before2",'BU Pivot'!$A$14,"shipment_scheme","Retail","weight_bucket",$A60)</f>
        <v>11313</v>
      </c>
      <c r="G60" s="2">
        <f>GETPIVOTDATA("Sum of after2",'BU Pivot'!$A$14,"shipment_scheme","Retail","weight_bucket",$A60)</f>
        <v>11702</v>
      </c>
      <c r="H60" s="2">
        <f t="shared" si="34"/>
        <v>389</v>
      </c>
      <c r="I60" s="3">
        <f t="shared" si="35"/>
        <v>3.4385220542738446E-2</v>
      </c>
      <c r="J60" s="2">
        <f>GETPIVOTDATA("Sum of before3",'BU Pivot'!$A$14,"shipment_scheme","Retail","weight_bucket",$A60)</f>
        <v>23966</v>
      </c>
      <c r="K60" s="2">
        <f>GETPIVOTDATA("Sum of after3",'BU Pivot'!$A$14,"shipment_scheme","Retail","weight_bucket",$A60)</f>
        <v>25137</v>
      </c>
      <c r="L60" s="2">
        <f t="shared" si="36"/>
        <v>1171</v>
      </c>
      <c r="M60" s="3">
        <f t="shared" si="37"/>
        <v>4.8860886255528667E-2</v>
      </c>
      <c r="N60" s="2">
        <f>GETPIVOTDATA("Sum of before4",'BU Pivot'!$A$14,"shipment_scheme","Retail","weight_bucket",$A60)</f>
        <v>-320188084.16619998</v>
      </c>
      <c r="O60" s="2">
        <f>GETPIVOTDATA("Sum of after4",'BU Pivot'!$A$14,"shipment_scheme","Retail","weight_bucket",$A60)</f>
        <v>-361309732.3136</v>
      </c>
      <c r="P60" s="2">
        <f t="shared" si="38"/>
        <v>-41121648.147400022</v>
      </c>
      <c r="Q60" s="3">
        <f t="shared" si="39"/>
        <v>0.1284296642533862</v>
      </c>
    </row>
    <row r="61" spans="1:17" x14ac:dyDescent="0.25">
      <c r="A61" s="9" t="s">
        <v>13</v>
      </c>
      <c r="B61" s="2">
        <f>GETPIVOTDATA("Sum of before",'BU Pivot'!$A$14,"shipment_scheme","Retail","weight_bucket",$A61)</f>
        <v>945605697.26999998</v>
      </c>
      <c r="C61" s="2">
        <f>GETPIVOTDATA("Sum of after",'BU Pivot'!$A$14,"shipment_scheme","Retail","weight_bucket",$A61)</f>
        <v>1109635711.6500001</v>
      </c>
      <c r="D61" s="2">
        <f t="shared" si="32"/>
        <v>164030014.38000011</v>
      </c>
      <c r="E61" s="3">
        <f t="shared" si="33"/>
        <v>0.17346555213611875</v>
      </c>
      <c r="F61" s="2">
        <f>GETPIVOTDATA("Sum of before2",'BU Pivot'!$A$14,"shipment_scheme","Retail","weight_bucket",$A61)</f>
        <v>1682</v>
      </c>
      <c r="G61" s="2">
        <f>GETPIVOTDATA("Sum of after2",'BU Pivot'!$A$14,"shipment_scheme","Retail","weight_bucket",$A61)</f>
        <v>1259</v>
      </c>
      <c r="H61" s="2">
        <f t="shared" si="34"/>
        <v>-423</v>
      </c>
      <c r="I61" s="3">
        <f t="shared" si="35"/>
        <v>-0.25148632580261593</v>
      </c>
      <c r="J61" s="2">
        <f>GETPIVOTDATA("Sum of before3",'BU Pivot'!$A$14,"shipment_scheme","Retail","weight_bucket",$A61)</f>
        <v>4450</v>
      </c>
      <c r="K61" s="2">
        <f>GETPIVOTDATA("Sum of after3",'BU Pivot'!$A$14,"shipment_scheme","Retail","weight_bucket",$A61)</f>
        <v>3197</v>
      </c>
      <c r="L61" s="2">
        <f t="shared" si="36"/>
        <v>-1253</v>
      </c>
      <c r="M61" s="3">
        <f t="shared" si="37"/>
        <v>-0.28157303370786518</v>
      </c>
      <c r="N61" s="2">
        <f>GETPIVOTDATA("Sum of before4",'BU Pivot'!$A$14,"shipment_scheme","Retail","weight_bucket",$A61)</f>
        <v>-38601013.161200002</v>
      </c>
      <c r="O61" s="2">
        <f>GETPIVOTDATA("Sum of after4",'BU Pivot'!$A$14,"shipment_scheme","Retail","weight_bucket",$A61)</f>
        <v>-28410109.909299999</v>
      </c>
      <c r="P61" s="2">
        <f t="shared" si="38"/>
        <v>10190903.251900002</v>
      </c>
      <c r="Q61" s="3">
        <f t="shared" si="39"/>
        <v>-0.26400610806100394</v>
      </c>
    </row>
    <row r="62" spans="1:17" x14ac:dyDescent="0.25">
      <c r="A62" s="9" t="s">
        <v>15</v>
      </c>
      <c r="B62" s="2">
        <f>GETPIVOTDATA("Sum of before",'BU Pivot'!$A$14,"shipment_scheme","Retail","weight_bucket",$A62)</f>
        <v>1253367449.97</v>
      </c>
      <c r="C62" s="2">
        <f>GETPIVOTDATA("Sum of after",'BU Pivot'!$A$14,"shipment_scheme","Retail","weight_bucket",$A62)</f>
        <v>3318916081.4500003</v>
      </c>
      <c r="D62" s="2">
        <f t="shared" si="32"/>
        <v>2065548631.4800003</v>
      </c>
      <c r="E62" s="3">
        <f t="shared" si="33"/>
        <v>1.6479992611340275</v>
      </c>
      <c r="F62" s="2">
        <f>GETPIVOTDATA("Sum of before2",'BU Pivot'!$A$14,"shipment_scheme","Retail","weight_bucket",$A62)</f>
        <v>4065</v>
      </c>
      <c r="G62" s="2">
        <f>GETPIVOTDATA("Sum of after2",'BU Pivot'!$A$14,"shipment_scheme","Retail","weight_bucket",$A62)</f>
        <v>5086</v>
      </c>
      <c r="H62" s="2">
        <f t="shared" si="34"/>
        <v>1021</v>
      </c>
      <c r="I62" s="3">
        <f t="shared" si="35"/>
        <v>0.25116851168511684</v>
      </c>
      <c r="J62" s="2">
        <f>GETPIVOTDATA("Sum of before3",'BU Pivot'!$A$14,"shipment_scheme","Retail","weight_bucket",$A62)</f>
        <v>12481</v>
      </c>
      <c r="K62" s="2">
        <f>GETPIVOTDATA("Sum of after3",'BU Pivot'!$A$14,"shipment_scheme","Retail","weight_bucket",$A62)</f>
        <v>15776</v>
      </c>
      <c r="L62" s="2">
        <f t="shared" si="36"/>
        <v>3295</v>
      </c>
      <c r="M62" s="3">
        <f t="shared" si="37"/>
        <v>0.26400128194856182</v>
      </c>
      <c r="N62" s="2">
        <f>GETPIVOTDATA("Sum of before4",'BU Pivot'!$A$14,"shipment_scheme","Retail","weight_bucket",$A62)</f>
        <v>-172666388.3346</v>
      </c>
      <c r="O62" s="2">
        <f>GETPIVOTDATA("Sum of after4",'BU Pivot'!$A$14,"shipment_scheme","Retail","weight_bucket",$A62)</f>
        <v>-225935068.7726</v>
      </c>
      <c r="P62" s="2">
        <f t="shared" si="38"/>
        <v>-53268680.437999994</v>
      </c>
      <c r="Q62" s="3">
        <f t="shared" si="39"/>
        <v>0.30850636856302199</v>
      </c>
    </row>
    <row r="63" spans="1:17" x14ac:dyDescent="0.25">
      <c r="A63" s="9" t="s">
        <v>17</v>
      </c>
      <c r="B63" s="2">
        <f>GETPIVOTDATA("Sum of before",'BU Pivot'!$A$14,"shipment_scheme","Retail","weight_bucket",$A63)</f>
        <v>235778474.96000001</v>
      </c>
      <c r="C63" s="2">
        <f>GETPIVOTDATA("Sum of after",'BU Pivot'!$A$14,"shipment_scheme","Retail","weight_bucket",$A63)</f>
        <v>294989034.69999999</v>
      </c>
      <c r="D63" s="2">
        <f t="shared" si="32"/>
        <v>59210559.73999998</v>
      </c>
      <c r="E63" s="3">
        <f t="shared" si="33"/>
        <v>0.25112792739050965</v>
      </c>
      <c r="F63" s="2">
        <f>GETPIVOTDATA("Sum of before2",'BU Pivot'!$A$14,"shipment_scheme","Retail","weight_bucket",$A63)</f>
        <v>925</v>
      </c>
      <c r="G63" s="2">
        <f>GETPIVOTDATA("Sum of after2",'BU Pivot'!$A$14,"shipment_scheme","Retail","weight_bucket",$A63)</f>
        <v>311</v>
      </c>
      <c r="H63" s="2">
        <f t="shared" si="34"/>
        <v>-614</v>
      </c>
      <c r="I63" s="3">
        <f t="shared" si="35"/>
        <v>-0.66378378378378378</v>
      </c>
      <c r="J63" s="2">
        <f>GETPIVOTDATA("Sum of before3",'BU Pivot'!$A$14,"shipment_scheme","Retail","weight_bucket",$A63)</f>
        <v>3197</v>
      </c>
      <c r="K63" s="2">
        <f>GETPIVOTDATA("Sum of after3",'BU Pivot'!$A$14,"shipment_scheme","Retail","weight_bucket",$A63)</f>
        <v>884</v>
      </c>
      <c r="L63" s="2">
        <f t="shared" si="36"/>
        <v>-2313</v>
      </c>
      <c r="M63" s="3">
        <f t="shared" si="37"/>
        <v>-0.72349077259931183</v>
      </c>
      <c r="N63" s="2">
        <f>GETPIVOTDATA("Sum of before4",'BU Pivot'!$A$14,"shipment_scheme","Retail","weight_bucket",$A63)</f>
        <v>-40470352.565799996</v>
      </c>
      <c r="O63" s="2">
        <f>GETPIVOTDATA("Sum of after4",'BU Pivot'!$A$14,"shipment_scheme","Retail","weight_bucket",$A63)</f>
        <v>-8045575.3654000005</v>
      </c>
      <c r="P63" s="2">
        <f t="shared" si="38"/>
        <v>32424777.200399995</v>
      </c>
      <c r="Q63" s="3">
        <f t="shared" si="39"/>
        <v>-0.80119828824523209</v>
      </c>
    </row>
    <row r="64" spans="1:17" x14ac:dyDescent="0.25">
      <c r="A64" s="9" t="s">
        <v>19</v>
      </c>
      <c r="B64" s="2">
        <f>GETPIVOTDATA("Sum of before",'BU Pivot'!$A$14,"shipment_scheme","Retail","weight_bucket",$A64)</f>
        <v>2537000284.8299999</v>
      </c>
      <c r="C64" s="2">
        <f>GETPIVOTDATA("Sum of after",'BU Pivot'!$A$14,"shipment_scheme","Retail","weight_bucket",$A64)</f>
        <v>5624270611.8199997</v>
      </c>
      <c r="D64" s="2">
        <f t="shared" si="32"/>
        <v>3087270326.9899998</v>
      </c>
      <c r="E64" s="3">
        <f t="shared" si="33"/>
        <v>1.2168979031852465</v>
      </c>
      <c r="F64" s="2">
        <f>GETPIVOTDATA("Sum of before2",'BU Pivot'!$A$14,"shipment_scheme","Retail","weight_bucket",$A64)</f>
        <v>2599</v>
      </c>
      <c r="G64" s="2">
        <f>GETPIVOTDATA("Sum of after2",'BU Pivot'!$A$14,"shipment_scheme","Retail","weight_bucket",$A64)</f>
        <v>2817</v>
      </c>
      <c r="H64" s="2">
        <f t="shared" si="34"/>
        <v>218</v>
      </c>
      <c r="I64" s="3">
        <f t="shared" si="35"/>
        <v>8.3878414774913423E-2</v>
      </c>
      <c r="J64" s="2">
        <f>GETPIVOTDATA("Sum of before3",'BU Pivot'!$A$14,"shipment_scheme","Retail","weight_bucket",$A64)</f>
        <v>11126</v>
      </c>
      <c r="K64" s="2">
        <f>GETPIVOTDATA("Sum of after3",'BU Pivot'!$A$14,"shipment_scheme","Retail","weight_bucket",$A64)</f>
        <v>13894</v>
      </c>
      <c r="L64" s="2">
        <f t="shared" si="36"/>
        <v>2768</v>
      </c>
      <c r="M64" s="3">
        <f t="shared" si="37"/>
        <v>0.24878662592126549</v>
      </c>
      <c r="N64" s="2">
        <f>GETPIVOTDATA("Sum of before4",'BU Pivot'!$A$14,"shipment_scheme","Retail","weight_bucket",$A64)</f>
        <v>-134661262.63660002</v>
      </c>
      <c r="O64" s="2">
        <f>GETPIVOTDATA("Sum of after4",'BU Pivot'!$A$14,"shipment_scheme","Retail","weight_bucket",$A64)</f>
        <v>-201430695.3251</v>
      </c>
      <c r="P64" s="2">
        <f t="shared" si="38"/>
        <v>-66769432.688499987</v>
      </c>
      <c r="Q64" s="3">
        <f t="shared" si="39"/>
        <v>0.49583251620538799</v>
      </c>
    </row>
  </sheetData>
  <mergeCells count="25">
    <mergeCell ref="A15:A16"/>
    <mergeCell ref="B15:E15"/>
    <mergeCell ref="F15:I15"/>
    <mergeCell ref="J15:M15"/>
    <mergeCell ref="N15:Q15"/>
    <mergeCell ref="A6:A7"/>
    <mergeCell ref="B6:E6"/>
    <mergeCell ref="F6:I6"/>
    <mergeCell ref="J6:M6"/>
    <mergeCell ref="N6:Q6"/>
    <mergeCell ref="A41:A42"/>
    <mergeCell ref="B41:E41"/>
    <mergeCell ref="F41:I41"/>
    <mergeCell ref="J41:M41"/>
    <mergeCell ref="N41:Q41"/>
    <mergeCell ref="A28:A29"/>
    <mergeCell ref="B28:E28"/>
    <mergeCell ref="F28:I28"/>
    <mergeCell ref="J28:M28"/>
    <mergeCell ref="N28:Q28"/>
    <mergeCell ref="A54:A55"/>
    <mergeCell ref="B54:E54"/>
    <mergeCell ref="F54:I54"/>
    <mergeCell ref="J54:M54"/>
    <mergeCell ref="N54:Q54"/>
  </mergeCells>
  <conditionalFormatting sqref="E9:E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Q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Q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M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E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"/>
  <sheetViews>
    <sheetView topLeftCell="E1" zoomScale="85" zoomScaleNormal="85" workbookViewId="0">
      <selection sqref="A1:A2"/>
    </sheetView>
  </sheetViews>
  <sheetFormatPr defaultRowHeight="14.25" x14ac:dyDescent="0.25"/>
  <cols>
    <col min="1" max="1" width="16.5703125" style="5" bestFit="1" customWidth="1"/>
    <col min="2" max="2" width="22.28515625" style="5" bestFit="1" customWidth="1"/>
    <col min="3" max="4" width="19.42578125" style="5" bestFit="1" customWidth="1"/>
    <col min="5" max="5" width="18.7109375" style="6" bestFit="1" customWidth="1"/>
    <col min="6" max="6" width="17.7109375" style="6" bestFit="1" customWidth="1"/>
    <col min="7" max="7" width="18.28515625" style="6" bestFit="1" customWidth="1"/>
    <col min="8" max="8" width="13.140625" style="7" bestFit="1" customWidth="1"/>
    <col min="9" max="9" width="13.5703125" style="6" bestFit="1" customWidth="1"/>
    <col min="10" max="10" width="13" style="6" bestFit="1" customWidth="1"/>
    <col min="11" max="11" width="12.28515625" style="6" bestFit="1" customWidth="1"/>
    <col min="12" max="12" width="13.140625" style="7" bestFit="1" customWidth="1"/>
    <col min="13" max="13" width="13.5703125" style="6" bestFit="1" customWidth="1"/>
    <col min="14" max="14" width="13" style="6" bestFit="1" customWidth="1"/>
    <col min="15" max="15" width="12.28515625" style="6" bestFit="1" customWidth="1"/>
    <col min="16" max="16" width="13.140625" style="7" bestFit="1" customWidth="1"/>
    <col min="17" max="18" width="17.140625" style="6" bestFit="1" customWidth="1"/>
    <col min="19" max="19" width="16.5703125" style="6" bestFit="1" customWidth="1"/>
    <col min="20" max="20" width="13.140625" style="7" bestFit="1" customWidth="1"/>
    <col min="21" max="21" width="9.28515625" style="5" bestFit="1" customWidth="1"/>
    <col min="22" max="22" width="11.28515625" style="5" customWidth="1"/>
    <col min="23" max="23" width="11.85546875" style="5" bestFit="1" customWidth="1"/>
    <col min="24" max="25" width="11.85546875" style="5" customWidth="1"/>
    <col min="26" max="26" width="11.42578125" style="5" bestFit="1" customWidth="1"/>
    <col min="27" max="16384" width="9.140625" style="5"/>
  </cols>
  <sheetData>
    <row r="1" spans="1:21" s="4" customFormat="1" x14ac:dyDescent="0.25">
      <c r="A1" s="26" t="s">
        <v>293</v>
      </c>
      <c r="B1" s="26" t="s">
        <v>294</v>
      </c>
      <c r="C1" s="26" t="s">
        <v>295</v>
      </c>
      <c r="D1" s="26" t="s">
        <v>296</v>
      </c>
      <c r="E1" s="27" t="s">
        <v>292</v>
      </c>
      <c r="F1" s="27"/>
      <c r="G1" s="27"/>
      <c r="H1" s="27"/>
      <c r="I1" s="27" t="s">
        <v>291</v>
      </c>
      <c r="J1" s="27"/>
      <c r="K1" s="27"/>
      <c r="L1" s="27"/>
      <c r="M1" s="27" t="s">
        <v>290</v>
      </c>
      <c r="N1" s="27"/>
      <c r="O1" s="27"/>
      <c r="P1" s="27"/>
      <c r="Q1" s="27" t="s">
        <v>289</v>
      </c>
      <c r="R1" s="27"/>
      <c r="S1" s="27"/>
      <c r="T1" s="27"/>
    </row>
    <row r="2" spans="1:21" s="4" customFormat="1" x14ac:dyDescent="0.25">
      <c r="A2" s="26"/>
      <c r="B2" s="26"/>
      <c r="C2" s="26"/>
      <c r="D2" s="26"/>
      <c r="E2" s="28">
        <f>SUBTOTAL(9,E4:E1004)</f>
        <v>301355592390.48999</v>
      </c>
      <c r="F2" s="28">
        <f>SUBTOTAL(9,F4:F1004)</f>
        <v>311860157746.80994</v>
      </c>
      <c r="G2" s="28">
        <f>F2-E2</f>
        <v>10504565356.319946</v>
      </c>
      <c r="H2" s="29">
        <f>IFERROR(G2/F2,0)</f>
        <v>3.3683576100953211E-2</v>
      </c>
      <c r="I2" s="28">
        <f>SUBTOTAL(9,I4:I1004)</f>
        <v>1645789</v>
      </c>
      <c r="J2" s="28">
        <f>SUBTOTAL(9,J4:J1004)</f>
        <v>1521515</v>
      </c>
      <c r="K2" s="28">
        <f>J2-I2</f>
        <v>-124274</v>
      </c>
      <c r="L2" s="29">
        <f>IFERROR(K2/J2,0)</f>
        <v>-8.1677801401892194E-2</v>
      </c>
      <c r="M2" s="28">
        <f>SUBTOTAL(9,M4:M1004)</f>
        <v>2181138</v>
      </c>
      <c r="N2" s="28">
        <f>SUBTOTAL(9,N4:N1004)</f>
        <v>2013915</v>
      </c>
      <c r="O2" s="28">
        <f>N2-M2</f>
        <v>-167223</v>
      </c>
      <c r="P2" s="29">
        <f>IFERROR(O2/N2,0)</f>
        <v>-8.3033792389450398E-2</v>
      </c>
      <c r="Q2" s="28">
        <f>SUBTOTAL(9,Q4:Q1004)</f>
        <v>-15193899970.7854</v>
      </c>
      <c r="R2" s="28">
        <f>SUBTOTAL(9,R4:R1004)</f>
        <v>-12176088613.051298</v>
      </c>
      <c r="S2" s="28">
        <f>R2-Q2</f>
        <v>3017811357.7341022</v>
      </c>
      <c r="T2" s="29">
        <f>IFERROR(S2/R2,0)</f>
        <v>-0.24784735506108033</v>
      </c>
      <c r="U2" s="8" t="s">
        <v>297</v>
      </c>
    </row>
    <row r="3" spans="1:21" s="4" customFormat="1" x14ac:dyDescent="0.25">
      <c r="A3" s="30" t="s">
        <v>0</v>
      </c>
      <c r="B3" s="30" t="s">
        <v>1</v>
      </c>
      <c r="C3" s="30" t="s">
        <v>2</v>
      </c>
      <c r="D3" s="30" t="s">
        <v>3</v>
      </c>
      <c r="E3" s="31" t="s">
        <v>280</v>
      </c>
      <c r="F3" s="31" t="s">
        <v>285</v>
      </c>
      <c r="G3" s="31" t="s">
        <v>287</v>
      </c>
      <c r="H3" s="32" t="s">
        <v>288</v>
      </c>
      <c r="I3" s="31" t="s">
        <v>280</v>
      </c>
      <c r="J3" s="31" t="s">
        <v>285</v>
      </c>
      <c r="K3" s="31" t="s">
        <v>287</v>
      </c>
      <c r="L3" s="32" t="s">
        <v>288</v>
      </c>
      <c r="M3" s="31" t="s">
        <v>280</v>
      </c>
      <c r="N3" s="31" t="s">
        <v>285</v>
      </c>
      <c r="O3" s="31" t="s">
        <v>287</v>
      </c>
      <c r="P3" s="32" t="s">
        <v>288</v>
      </c>
      <c r="Q3" s="31" t="s">
        <v>280</v>
      </c>
      <c r="R3" s="31" t="s">
        <v>285</v>
      </c>
      <c r="S3" s="31" t="s">
        <v>287</v>
      </c>
      <c r="T3" s="32" t="s">
        <v>288</v>
      </c>
    </row>
    <row r="4" spans="1:21" ht="15" x14ac:dyDescent="0.25">
      <c r="A4" t="s">
        <v>4</v>
      </c>
      <c r="B4" t="s">
        <v>5</v>
      </c>
      <c r="C4" t="s">
        <v>6</v>
      </c>
      <c r="D4" t="s">
        <v>7</v>
      </c>
      <c r="E4" s="6">
        <f>_xlfn.IFNA(IF(VLOOKUP($A4,'BU Raw Before'!A:H,1,FALSE)=$A4,VLOOKUP($A4,'BU Raw Before'!A:H,5,FALSE),0),0)</f>
        <v>0</v>
      </c>
      <c r="F4" s="6">
        <f>_xlfn.IFNA(IF(VLOOKUP($A4,'BU Raw After'!A:H,1,FALSE)=$A4,VLOOKUP($A4,'BU Raw After'!A:H,5,FALSE),0),0)</f>
        <v>0</v>
      </c>
      <c r="G4" s="6">
        <f t="shared" ref="G4:G67" si="0">F4-E4</f>
        <v>0</v>
      </c>
      <c r="H4" s="7">
        <f t="shared" ref="H4:H67" si="1">IFERROR(G4/F4,0)</f>
        <v>0</v>
      </c>
      <c r="I4" s="6">
        <f>_xlfn.IFNA(IF(VLOOKUP($A4,'BU Raw Before'!A:H,1,FALSE)=$A4,VLOOKUP($A4,'BU Raw Before'!A:H,6,FALSE),0),0)</f>
        <v>0</v>
      </c>
      <c r="J4" s="6">
        <f>_xlfn.IFNA(IF(VLOOKUP($A4,'BU Raw After'!A:H,1,FALSE)=$A4,VLOOKUP($A4,'BU Raw After'!A:H,6,FALSE),0),0)</f>
        <v>0</v>
      </c>
      <c r="K4" s="6">
        <f t="shared" ref="K4:K67" si="2">J4-I4</f>
        <v>0</v>
      </c>
      <c r="L4" s="7">
        <f t="shared" ref="L4:L67" si="3">IFERROR(K4/J4,0)</f>
        <v>0</v>
      </c>
      <c r="M4" s="6">
        <f>_xlfn.IFNA(IF(VLOOKUP($A4,'BU Raw Before'!A:H,1,FALSE)=$A4,VLOOKUP($A4,'BU Raw Before'!A:H,7,FALSE),0),0)</f>
        <v>0</v>
      </c>
      <c r="N4" s="6">
        <f>_xlfn.IFNA(IF(VLOOKUP($A4,'BU Raw After'!A:H,1,FALSE)=$A4,VLOOKUP($A4,'BU Raw After'!A:H,7,FALSE),0),0)</f>
        <v>0</v>
      </c>
      <c r="O4" s="6">
        <f t="shared" ref="O4:O67" si="4">N4-M4</f>
        <v>0</v>
      </c>
      <c r="P4" s="7">
        <f t="shared" ref="P4:P67" si="5">IFERROR(O4/N4,0)</f>
        <v>0</v>
      </c>
      <c r="Q4" s="6">
        <f>_xlfn.IFNA(IF(VLOOKUP($A4,'BU Raw Before'!A:H,1,FALSE)=$A4,VLOOKUP($A4,'BU Raw Before'!A:H,8,FALSE),0),0)</f>
        <v>0</v>
      </c>
      <c r="R4" s="6">
        <f>_xlfn.IFNA(IF(VLOOKUP($A4,'BU Raw After'!A:H,1,FALSE)=$A4,VLOOKUP($A4,'BU Raw After'!A:H,8,FALSE),0),0)</f>
        <v>0</v>
      </c>
      <c r="S4" s="6">
        <f t="shared" ref="S4:S67" si="6">R4-Q4</f>
        <v>0</v>
      </c>
      <c r="T4" s="7">
        <f t="shared" ref="T4:T67" si="7">IFERROR(S4/R4,0)</f>
        <v>0</v>
      </c>
    </row>
    <row r="5" spans="1:21" ht="15" x14ac:dyDescent="0.25">
      <c r="A5" t="s">
        <v>8</v>
      </c>
      <c r="B5" t="s">
        <v>5</v>
      </c>
      <c r="C5" t="s">
        <v>6</v>
      </c>
      <c r="D5" t="s">
        <v>9</v>
      </c>
      <c r="E5" s="6">
        <f>_xlfn.IFNA(IF(VLOOKUP($A5,'BU Raw Before'!A:H,1,FALSE)=$A5,VLOOKUP($A5,'BU Raw Before'!A:H,5,FALSE),0),0)</f>
        <v>0</v>
      </c>
      <c r="F5" s="6">
        <f>_xlfn.IFNA(IF(VLOOKUP($A5,'BU Raw After'!A:H,1,FALSE)=$A5,VLOOKUP($A5,'BU Raw After'!A:H,5,FALSE),0),0)</f>
        <v>0</v>
      </c>
      <c r="G5" s="6">
        <f t="shared" si="0"/>
        <v>0</v>
      </c>
      <c r="H5" s="7">
        <f t="shared" si="1"/>
        <v>0</v>
      </c>
      <c r="I5" s="6">
        <f>_xlfn.IFNA(IF(VLOOKUP($A5,'BU Raw Before'!A:H,1,FALSE)=$A5,VLOOKUP($A5,'BU Raw Before'!A:H,6,FALSE),0),0)</f>
        <v>0</v>
      </c>
      <c r="J5" s="6">
        <f>_xlfn.IFNA(IF(VLOOKUP($A5,'BU Raw After'!A:H,1,FALSE)=$A5,VLOOKUP($A5,'BU Raw After'!A:H,6,FALSE),0),0)</f>
        <v>0</v>
      </c>
      <c r="K5" s="6">
        <f t="shared" si="2"/>
        <v>0</v>
      </c>
      <c r="L5" s="7">
        <f t="shared" si="3"/>
        <v>0</v>
      </c>
      <c r="M5" s="6">
        <f>_xlfn.IFNA(IF(VLOOKUP($A5,'BU Raw Before'!A:H,1,FALSE)=$A5,VLOOKUP($A5,'BU Raw Before'!A:H,7,FALSE),0),0)</f>
        <v>0</v>
      </c>
      <c r="N5" s="6">
        <f>_xlfn.IFNA(IF(VLOOKUP($A5,'BU Raw After'!A:H,1,FALSE)=$A5,VLOOKUP($A5,'BU Raw After'!A:H,7,FALSE),0),0)</f>
        <v>0</v>
      </c>
      <c r="O5" s="6">
        <f t="shared" si="4"/>
        <v>0</v>
      </c>
      <c r="P5" s="7">
        <f t="shared" si="5"/>
        <v>0</v>
      </c>
      <c r="Q5" s="6">
        <f>_xlfn.IFNA(IF(VLOOKUP($A5,'BU Raw Before'!A:H,1,FALSE)=$A5,VLOOKUP($A5,'BU Raw Before'!A:H,8,FALSE),0),0)</f>
        <v>0</v>
      </c>
      <c r="R5" s="6">
        <f>_xlfn.IFNA(IF(VLOOKUP($A5,'BU Raw After'!A:H,1,FALSE)=$A5,VLOOKUP($A5,'BU Raw After'!A:H,8,FALSE),0),0)</f>
        <v>0</v>
      </c>
      <c r="S5" s="6">
        <f t="shared" si="6"/>
        <v>0</v>
      </c>
      <c r="T5" s="7">
        <f t="shared" si="7"/>
        <v>0</v>
      </c>
    </row>
    <row r="6" spans="1:21" ht="15" x14ac:dyDescent="0.25">
      <c r="A6" t="s">
        <v>10</v>
      </c>
      <c r="B6" t="s">
        <v>5</v>
      </c>
      <c r="C6" t="s">
        <v>6</v>
      </c>
      <c r="D6" t="s">
        <v>11</v>
      </c>
      <c r="E6" s="6">
        <f>_xlfn.IFNA(IF(VLOOKUP($A6,'BU Raw Before'!A:H,1,FALSE)=$A6,VLOOKUP($A6,'BU Raw Before'!A:H,5,FALSE),0),0)</f>
        <v>0</v>
      </c>
      <c r="F6" s="6">
        <f>_xlfn.IFNA(IF(VLOOKUP($A6,'BU Raw After'!A:H,1,FALSE)=$A6,VLOOKUP($A6,'BU Raw After'!A:H,5,FALSE),0),0)</f>
        <v>0</v>
      </c>
      <c r="G6" s="6">
        <f t="shared" si="0"/>
        <v>0</v>
      </c>
      <c r="H6" s="7">
        <f t="shared" si="1"/>
        <v>0</v>
      </c>
      <c r="I6" s="6">
        <f>_xlfn.IFNA(IF(VLOOKUP($A6,'BU Raw Before'!A:H,1,FALSE)=$A6,VLOOKUP($A6,'BU Raw Before'!A:H,6,FALSE),0),0)</f>
        <v>0</v>
      </c>
      <c r="J6" s="6">
        <f>_xlfn.IFNA(IF(VLOOKUP($A6,'BU Raw After'!A:H,1,FALSE)=$A6,VLOOKUP($A6,'BU Raw After'!A:H,6,FALSE),0),0)</f>
        <v>0</v>
      </c>
      <c r="K6" s="6">
        <f t="shared" si="2"/>
        <v>0</v>
      </c>
      <c r="L6" s="7">
        <f t="shared" si="3"/>
        <v>0</v>
      </c>
      <c r="M6" s="6">
        <f>_xlfn.IFNA(IF(VLOOKUP($A6,'BU Raw Before'!A:H,1,FALSE)=$A6,VLOOKUP($A6,'BU Raw Before'!A:H,7,FALSE),0),0)</f>
        <v>0</v>
      </c>
      <c r="N6" s="6">
        <f>_xlfn.IFNA(IF(VLOOKUP($A6,'BU Raw After'!A:H,1,FALSE)=$A6,VLOOKUP($A6,'BU Raw After'!A:H,7,FALSE),0),0)</f>
        <v>0</v>
      </c>
      <c r="O6" s="6">
        <f t="shared" si="4"/>
        <v>0</v>
      </c>
      <c r="P6" s="7">
        <f t="shared" si="5"/>
        <v>0</v>
      </c>
      <c r="Q6" s="6">
        <f>_xlfn.IFNA(IF(VLOOKUP($A6,'BU Raw Before'!A:H,1,FALSE)=$A6,VLOOKUP($A6,'BU Raw Before'!A:H,8,FALSE),0),0)</f>
        <v>0</v>
      </c>
      <c r="R6" s="6">
        <f>_xlfn.IFNA(IF(VLOOKUP($A6,'BU Raw After'!A:H,1,FALSE)=$A6,VLOOKUP($A6,'BU Raw After'!A:H,8,FALSE),0),0)</f>
        <v>0</v>
      </c>
      <c r="S6" s="6">
        <f t="shared" si="6"/>
        <v>0</v>
      </c>
      <c r="T6" s="7">
        <f t="shared" si="7"/>
        <v>0</v>
      </c>
    </row>
    <row r="7" spans="1:21" ht="15" x14ac:dyDescent="0.25">
      <c r="A7" t="s">
        <v>12</v>
      </c>
      <c r="B7" t="s">
        <v>5</v>
      </c>
      <c r="C7" t="s">
        <v>6</v>
      </c>
      <c r="D7" t="s">
        <v>13</v>
      </c>
      <c r="E7" s="6">
        <f>_xlfn.IFNA(IF(VLOOKUP($A7,'BU Raw Before'!A:H,1,FALSE)=$A7,VLOOKUP($A7,'BU Raw Before'!A:H,5,FALSE),0),0)</f>
        <v>0</v>
      </c>
      <c r="F7" s="6">
        <f>_xlfn.IFNA(IF(VLOOKUP($A7,'BU Raw After'!A:H,1,FALSE)=$A7,VLOOKUP($A7,'BU Raw After'!A:H,5,FALSE),0),0)</f>
        <v>0</v>
      </c>
      <c r="G7" s="6">
        <f t="shared" si="0"/>
        <v>0</v>
      </c>
      <c r="H7" s="7">
        <f t="shared" si="1"/>
        <v>0</v>
      </c>
      <c r="I7" s="6">
        <f>_xlfn.IFNA(IF(VLOOKUP($A7,'BU Raw Before'!A:H,1,FALSE)=$A7,VLOOKUP($A7,'BU Raw Before'!A:H,6,FALSE),0),0)</f>
        <v>0</v>
      </c>
      <c r="J7" s="6">
        <f>_xlfn.IFNA(IF(VLOOKUP($A7,'BU Raw After'!A:H,1,FALSE)=$A7,VLOOKUP($A7,'BU Raw After'!A:H,6,FALSE),0),0)</f>
        <v>0</v>
      </c>
      <c r="K7" s="6">
        <f t="shared" si="2"/>
        <v>0</v>
      </c>
      <c r="L7" s="7">
        <f t="shared" si="3"/>
        <v>0</v>
      </c>
      <c r="M7" s="6">
        <f>_xlfn.IFNA(IF(VLOOKUP($A7,'BU Raw Before'!A:H,1,FALSE)=$A7,VLOOKUP($A7,'BU Raw Before'!A:H,7,FALSE),0),0)</f>
        <v>0</v>
      </c>
      <c r="N7" s="6">
        <f>_xlfn.IFNA(IF(VLOOKUP($A7,'BU Raw After'!A:H,1,FALSE)=$A7,VLOOKUP($A7,'BU Raw After'!A:H,7,FALSE),0),0)</f>
        <v>0</v>
      </c>
      <c r="O7" s="6">
        <f t="shared" si="4"/>
        <v>0</v>
      </c>
      <c r="P7" s="7">
        <f t="shared" si="5"/>
        <v>0</v>
      </c>
      <c r="Q7" s="6">
        <f>_xlfn.IFNA(IF(VLOOKUP($A7,'BU Raw Before'!A:H,1,FALSE)=$A7,VLOOKUP($A7,'BU Raw Before'!A:H,8,FALSE),0),0)</f>
        <v>0</v>
      </c>
      <c r="R7" s="6">
        <f>_xlfn.IFNA(IF(VLOOKUP($A7,'BU Raw After'!A:H,1,FALSE)=$A7,VLOOKUP($A7,'BU Raw After'!A:H,8,FALSE),0),0)</f>
        <v>0</v>
      </c>
      <c r="S7" s="6">
        <f t="shared" si="6"/>
        <v>0</v>
      </c>
      <c r="T7" s="7">
        <f t="shared" si="7"/>
        <v>0</v>
      </c>
    </row>
    <row r="8" spans="1:21" ht="15" x14ac:dyDescent="0.25">
      <c r="A8" t="s">
        <v>14</v>
      </c>
      <c r="B8" t="s">
        <v>5</v>
      </c>
      <c r="C8" t="s">
        <v>6</v>
      </c>
      <c r="D8" t="s">
        <v>15</v>
      </c>
      <c r="E8" s="6">
        <f>_xlfn.IFNA(IF(VLOOKUP($A8,'BU Raw Before'!A:H,1,FALSE)=$A8,VLOOKUP($A8,'BU Raw Before'!A:H,5,FALSE),0),0)</f>
        <v>0</v>
      </c>
      <c r="F8" s="6">
        <f>_xlfn.IFNA(IF(VLOOKUP($A8,'BU Raw After'!A:H,1,FALSE)=$A8,VLOOKUP($A8,'BU Raw After'!A:H,5,FALSE),0),0)</f>
        <v>0</v>
      </c>
      <c r="G8" s="6">
        <f t="shared" si="0"/>
        <v>0</v>
      </c>
      <c r="H8" s="7">
        <f t="shared" si="1"/>
        <v>0</v>
      </c>
      <c r="I8" s="6">
        <f>_xlfn.IFNA(IF(VLOOKUP($A8,'BU Raw Before'!A:H,1,FALSE)=$A8,VLOOKUP($A8,'BU Raw Before'!A:H,6,FALSE),0),0)</f>
        <v>0</v>
      </c>
      <c r="J8" s="6">
        <f>_xlfn.IFNA(IF(VLOOKUP($A8,'BU Raw After'!A:H,1,FALSE)=$A8,VLOOKUP($A8,'BU Raw After'!A:H,6,FALSE),0),0)</f>
        <v>0</v>
      </c>
      <c r="K8" s="6">
        <f t="shared" si="2"/>
        <v>0</v>
      </c>
      <c r="L8" s="7">
        <f t="shared" si="3"/>
        <v>0</v>
      </c>
      <c r="M8" s="6">
        <f>_xlfn.IFNA(IF(VLOOKUP($A8,'BU Raw Before'!A:H,1,FALSE)=$A8,VLOOKUP($A8,'BU Raw Before'!A:H,7,FALSE),0),0)</f>
        <v>0</v>
      </c>
      <c r="N8" s="6">
        <f>_xlfn.IFNA(IF(VLOOKUP($A8,'BU Raw After'!A:H,1,FALSE)=$A8,VLOOKUP($A8,'BU Raw After'!A:H,7,FALSE),0),0)</f>
        <v>0</v>
      </c>
      <c r="O8" s="6">
        <f t="shared" si="4"/>
        <v>0</v>
      </c>
      <c r="P8" s="7">
        <f t="shared" si="5"/>
        <v>0</v>
      </c>
      <c r="Q8" s="6">
        <f>_xlfn.IFNA(IF(VLOOKUP($A8,'BU Raw Before'!A:H,1,FALSE)=$A8,VLOOKUP($A8,'BU Raw Before'!A:H,8,FALSE),0),0)</f>
        <v>0</v>
      </c>
      <c r="R8" s="6">
        <f>_xlfn.IFNA(IF(VLOOKUP($A8,'BU Raw After'!A:H,1,FALSE)=$A8,VLOOKUP($A8,'BU Raw After'!A:H,8,FALSE),0),0)</f>
        <v>0</v>
      </c>
      <c r="S8" s="6">
        <f t="shared" si="6"/>
        <v>0</v>
      </c>
      <c r="T8" s="7">
        <f t="shared" si="7"/>
        <v>0</v>
      </c>
    </row>
    <row r="9" spans="1:21" ht="15" x14ac:dyDescent="0.25">
      <c r="A9" t="s">
        <v>16</v>
      </c>
      <c r="B9" t="s">
        <v>5</v>
      </c>
      <c r="C9" t="s">
        <v>6</v>
      </c>
      <c r="D9" t="s">
        <v>17</v>
      </c>
      <c r="E9" s="6">
        <f>_xlfn.IFNA(IF(VLOOKUP($A9,'BU Raw Before'!A:H,1,FALSE)=$A9,VLOOKUP($A9,'BU Raw Before'!A:H,5,FALSE),0),0)</f>
        <v>0</v>
      </c>
      <c r="F9" s="6">
        <f>_xlfn.IFNA(IF(VLOOKUP($A9,'BU Raw After'!A:H,1,FALSE)=$A9,VLOOKUP($A9,'BU Raw After'!A:H,5,FALSE),0),0)</f>
        <v>0</v>
      </c>
      <c r="G9" s="6">
        <f t="shared" si="0"/>
        <v>0</v>
      </c>
      <c r="H9" s="7">
        <f t="shared" si="1"/>
        <v>0</v>
      </c>
      <c r="I9" s="6">
        <f>_xlfn.IFNA(IF(VLOOKUP($A9,'BU Raw Before'!A:H,1,FALSE)=$A9,VLOOKUP($A9,'BU Raw Before'!A:H,6,FALSE),0),0)</f>
        <v>0</v>
      </c>
      <c r="J9" s="6">
        <f>_xlfn.IFNA(IF(VLOOKUP($A9,'BU Raw After'!A:H,1,FALSE)=$A9,VLOOKUP($A9,'BU Raw After'!A:H,6,FALSE),0),0)</f>
        <v>0</v>
      </c>
      <c r="K9" s="6">
        <f t="shared" si="2"/>
        <v>0</v>
      </c>
      <c r="L9" s="7">
        <f t="shared" si="3"/>
        <v>0</v>
      </c>
      <c r="M9" s="6">
        <f>_xlfn.IFNA(IF(VLOOKUP($A9,'BU Raw Before'!A:H,1,FALSE)=$A9,VLOOKUP($A9,'BU Raw Before'!A:H,7,FALSE),0),0)</f>
        <v>0</v>
      </c>
      <c r="N9" s="6">
        <f>_xlfn.IFNA(IF(VLOOKUP($A9,'BU Raw After'!A:H,1,FALSE)=$A9,VLOOKUP($A9,'BU Raw After'!A:H,7,FALSE),0),0)</f>
        <v>0</v>
      </c>
      <c r="O9" s="6">
        <f t="shared" si="4"/>
        <v>0</v>
      </c>
      <c r="P9" s="7">
        <f t="shared" si="5"/>
        <v>0</v>
      </c>
      <c r="Q9" s="6">
        <f>_xlfn.IFNA(IF(VLOOKUP($A9,'BU Raw Before'!A:H,1,FALSE)=$A9,VLOOKUP($A9,'BU Raw Before'!A:H,8,FALSE),0),0)</f>
        <v>0</v>
      </c>
      <c r="R9" s="6">
        <f>_xlfn.IFNA(IF(VLOOKUP($A9,'BU Raw After'!A:H,1,FALSE)=$A9,VLOOKUP($A9,'BU Raw After'!A:H,8,FALSE),0),0)</f>
        <v>0</v>
      </c>
      <c r="S9" s="6">
        <f t="shared" si="6"/>
        <v>0</v>
      </c>
      <c r="T9" s="7">
        <f t="shared" si="7"/>
        <v>0</v>
      </c>
    </row>
    <row r="10" spans="1:21" ht="15" x14ac:dyDescent="0.25">
      <c r="A10" t="s">
        <v>18</v>
      </c>
      <c r="B10" t="s">
        <v>5</v>
      </c>
      <c r="C10" t="s">
        <v>6</v>
      </c>
      <c r="D10" t="s">
        <v>19</v>
      </c>
      <c r="E10" s="6">
        <f>_xlfn.IFNA(IF(VLOOKUP($A10,'BU Raw Before'!A:H,1,FALSE)=$A10,VLOOKUP($A10,'BU Raw Before'!A:H,5,FALSE),0),0)</f>
        <v>0</v>
      </c>
      <c r="F10" s="6">
        <f>_xlfn.IFNA(IF(VLOOKUP($A10,'BU Raw After'!A:H,1,FALSE)=$A10,VLOOKUP($A10,'BU Raw After'!A:H,5,FALSE),0),0)</f>
        <v>0</v>
      </c>
      <c r="G10" s="6">
        <f t="shared" si="0"/>
        <v>0</v>
      </c>
      <c r="H10" s="7">
        <f t="shared" si="1"/>
        <v>0</v>
      </c>
      <c r="I10" s="6">
        <f>_xlfn.IFNA(IF(VLOOKUP($A10,'BU Raw Before'!A:H,1,FALSE)=$A10,VLOOKUP($A10,'BU Raw Before'!A:H,6,FALSE),0),0)</f>
        <v>0</v>
      </c>
      <c r="J10" s="6">
        <f>_xlfn.IFNA(IF(VLOOKUP($A10,'BU Raw After'!A:H,1,FALSE)=$A10,VLOOKUP($A10,'BU Raw After'!A:H,6,FALSE),0),0)</f>
        <v>0</v>
      </c>
      <c r="K10" s="6">
        <f t="shared" si="2"/>
        <v>0</v>
      </c>
      <c r="L10" s="7">
        <f t="shared" si="3"/>
        <v>0</v>
      </c>
      <c r="M10" s="6">
        <f>_xlfn.IFNA(IF(VLOOKUP($A10,'BU Raw Before'!A:H,1,FALSE)=$A10,VLOOKUP($A10,'BU Raw Before'!A:H,7,FALSE),0),0)</f>
        <v>0</v>
      </c>
      <c r="N10" s="6">
        <f>_xlfn.IFNA(IF(VLOOKUP($A10,'BU Raw After'!A:H,1,FALSE)=$A10,VLOOKUP($A10,'BU Raw After'!A:H,7,FALSE),0),0)</f>
        <v>0</v>
      </c>
      <c r="O10" s="6">
        <f t="shared" si="4"/>
        <v>0</v>
      </c>
      <c r="P10" s="7">
        <f t="shared" si="5"/>
        <v>0</v>
      </c>
      <c r="Q10" s="6">
        <f>_xlfn.IFNA(IF(VLOOKUP($A10,'BU Raw Before'!A:H,1,FALSE)=$A10,VLOOKUP($A10,'BU Raw Before'!A:H,8,FALSE),0),0)</f>
        <v>0</v>
      </c>
      <c r="R10" s="6">
        <f>_xlfn.IFNA(IF(VLOOKUP($A10,'BU Raw After'!A:H,1,FALSE)=$A10,VLOOKUP($A10,'BU Raw After'!A:H,8,FALSE),0),0)</f>
        <v>0</v>
      </c>
      <c r="S10" s="6">
        <f t="shared" si="6"/>
        <v>0</v>
      </c>
      <c r="T10" s="7">
        <f t="shared" si="7"/>
        <v>0</v>
      </c>
    </row>
    <row r="11" spans="1:21" ht="15" x14ac:dyDescent="0.25">
      <c r="A11" t="s">
        <v>20</v>
      </c>
      <c r="B11" t="s">
        <v>5</v>
      </c>
      <c r="C11" t="s">
        <v>6</v>
      </c>
      <c r="D11" t="s">
        <v>21</v>
      </c>
      <c r="E11" s="6">
        <f>_xlfn.IFNA(IF(VLOOKUP($A11,'BU Raw Before'!A:H,1,FALSE)=$A11,VLOOKUP($A11,'BU Raw Before'!A:H,5,FALSE),0),0)</f>
        <v>0</v>
      </c>
      <c r="F11" s="6">
        <f>_xlfn.IFNA(IF(VLOOKUP($A11,'BU Raw After'!A:H,1,FALSE)=$A11,VLOOKUP($A11,'BU Raw After'!A:H,5,FALSE),0),0)</f>
        <v>0</v>
      </c>
      <c r="G11" s="6">
        <f t="shared" si="0"/>
        <v>0</v>
      </c>
      <c r="H11" s="7">
        <f t="shared" si="1"/>
        <v>0</v>
      </c>
      <c r="I11" s="6">
        <f>_xlfn.IFNA(IF(VLOOKUP($A11,'BU Raw Before'!A:H,1,FALSE)=$A11,VLOOKUP($A11,'BU Raw Before'!A:H,6,FALSE),0),0)</f>
        <v>0</v>
      </c>
      <c r="J11" s="6">
        <f>_xlfn.IFNA(IF(VLOOKUP($A11,'BU Raw After'!A:H,1,FALSE)=$A11,VLOOKUP($A11,'BU Raw After'!A:H,6,FALSE),0),0)</f>
        <v>0</v>
      </c>
      <c r="K11" s="6">
        <f t="shared" si="2"/>
        <v>0</v>
      </c>
      <c r="L11" s="7">
        <f t="shared" si="3"/>
        <v>0</v>
      </c>
      <c r="M11" s="6">
        <f>_xlfn.IFNA(IF(VLOOKUP($A11,'BU Raw Before'!A:H,1,FALSE)=$A11,VLOOKUP($A11,'BU Raw Before'!A:H,7,FALSE),0),0)</f>
        <v>0</v>
      </c>
      <c r="N11" s="6">
        <f>_xlfn.IFNA(IF(VLOOKUP($A11,'BU Raw After'!A:H,1,FALSE)=$A11,VLOOKUP($A11,'BU Raw After'!A:H,7,FALSE),0),0)</f>
        <v>0</v>
      </c>
      <c r="O11" s="6">
        <f t="shared" si="4"/>
        <v>0</v>
      </c>
      <c r="P11" s="7">
        <f t="shared" si="5"/>
        <v>0</v>
      </c>
      <c r="Q11" s="6">
        <f>_xlfn.IFNA(IF(VLOOKUP($A11,'BU Raw Before'!A:H,1,FALSE)=$A11,VLOOKUP($A11,'BU Raw Before'!A:H,8,FALSE),0),0)</f>
        <v>0</v>
      </c>
      <c r="R11" s="6">
        <f>_xlfn.IFNA(IF(VLOOKUP($A11,'BU Raw After'!A:H,1,FALSE)=$A11,VLOOKUP($A11,'BU Raw After'!A:H,8,FALSE),0),0)</f>
        <v>0</v>
      </c>
      <c r="S11" s="6">
        <f t="shared" si="6"/>
        <v>0</v>
      </c>
      <c r="T11" s="7">
        <f t="shared" si="7"/>
        <v>0</v>
      </c>
    </row>
    <row r="12" spans="1:21" ht="15" x14ac:dyDescent="0.25">
      <c r="A12" t="s">
        <v>22</v>
      </c>
      <c r="B12" t="s">
        <v>5</v>
      </c>
      <c r="C12" t="s">
        <v>23</v>
      </c>
      <c r="D12" t="s">
        <v>7</v>
      </c>
      <c r="E12" s="6">
        <f>_xlfn.IFNA(IF(VLOOKUP($A12,'BU Raw Before'!A:H,1,FALSE)=$A12,VLOOKUP($A12,'BU Raw Before'!A:H,5,FALSE),0),0)</f>
        <v>0</v>
      </c>
      <c r="F12" s="6">
        <f>_xlfn.IFNA(IF(VLOOKUP($A12,'BU Raw After'!A:H,1,FALSE)=$A12,VLOOKUP($A12,'BU Raw After'!A:H,5,FALSE),0),0)</f>
        <v>0</v>
      </c>
      <c r="G12" s="6">
        <f t="shared" si="0"/>
        <v>0</v>
      </c>
      <c r="H12" s="7">
        <f t="shared" si="1"/>
        <v>0</v>
      </c>
      <c r="I12" s="6">
        <f>_xlfn.IFNA(IF(VLOOKUP($A12,'BU Raw Before'!A:H,1,FALSE)=$A12,VLOOKUP($A12,'BU Raw Before'!A:H,6,FALSE),0),0)</f>
        <v>0</v>
      </c>
      <c r="J12" s="6">
        <f>_xlfn.IFNA(IF(VLOOKUP($A12,'BU Raw After'!A:H,1,FALSE)=$A12,VLOOKUP($A12,'BU Raw After'!A:H,6,FALSE),0),0)</f>
        <v>0</v>
      </c>
      <c r="K12" s="6">
        <f t="shared" si="2"/>
        <v>0</v>
      </c>
      <c r="L12" s="7">
        <f t="shared" si="3"/>
        <v>0</v>
      </c>
      <c r="M12" s="6">
        <f>_xlfn.IFNA(IF(VLOOKUP($A12,'BU Raw Before'!A:H,1,FALSE)=$A12,VLOOKUP($A12,'BU Raw Before'!A:H,7,FALSE),0),0)</f>
        <v>0</v>
      </c>
      <c r="N12" s="6">
        <f>_xlfn.IFNA(IF(VLOOKUP($A12,'BU Raw After'!A:H,1,FALSE)=$A12,VLOOKUP($A12,'BU Raw After'!A:H,7,FALSE),0),0)</f>
        <v>0</v>
      </c>
      <c r="O12" s="6">
        <f t="shared" si="4"/>
        <v>0</v>
      </c>
      <c r="P12" s="7">
        <f t="shared" si="5"/>
        <v>0</v>
      </c>
      <c r="Q12" s="6">
        <f>_xlfn.IFNA(IF(VLOOKUP($A12,'BU Raw Before'!A:H,1,FALSE)=$A12,VLOOKUP($A12,'BU Raw Before'!A:H,8,FALSE),0),0)</f>
        <v>0</v>
      </c>
      <c r="R12" s="6">
        <f>_xlfn.IFNA(IF(VLOOKUP($A12,'BU Raw After'!A:H,1,FALSE)=$A12,VLOOKUP($A12,'BU Raw After'!A:H,8,FALSE),0),0)</f>
        <v>0</v>
      </c>
      <c r="S12" s="6">
        <f t="shared" si="6"/>
        <v>0</v>
      </c>
      <c r="T12" s="7">
        <f t="shared" si="7"/>
        <v>0</v>
      </c>
    </row>
    <row r="13" spans="1:21" ht="15" x14ac:dyDescent="0.25">
      <c r="A13" t="s">
        <v>24</v>
      </c>
      <c r="B13" t="s">
        <v>5</v>
      </c>
      <c r="C13" t="s">
        <v>23</v>
      </c>
      <c r="D13" t="s">
        <v>9</v>
      </c>
      <c r="E13" s="6">
        <f>_xlfn.IFNA(IF(VLOOKUP($A13,'BU Raw Before'!A:H,1,FALSE)=$A13,VLOOKUP($A13,'BU Raw Before'!A:H,5,FALSE),0),0)</f>
        <v>0</v>
      </c>
      <c r="F13" s="6">
        <f>_xlfn.IFNA(IF(VLOOKUP($A13,'BU Raw After'!A:H,1,FALSE)=$A13,VLOOKUP($A13,'BU Raw After'!A:H,5,FALSE),0),0)</f>
        <v>0</v>
      </c>
      <c r="G13" s="6">
        <f t="shared" si="0"/>
        <v>0</v>
      </c>
      <c r="H13" s="7">
        <f t="shared" si="1"/>
        <v>0</v>
      </c>
      <c r="I13" s="6">
        <f>_xlfn.IFNA(IF(VLOOKUP($A13,'BU Raw Before'!A:H,1,FALSE)=$A13,VLOOKUP($A13,'BU Raw Before'!A:H,6,FALSE),0),0)</f>
        <v>0</v>
      </c>
      <c r="J13" s="6">
        <f>_xlfn.IFNA(IF(VLOOKUP($A13,'BU Raw After'!A:H,1,FALSE)=$A13,VLOOKUP($A13,'BU Raw After'!A:H,6,FALSE),0),0)</f>
        <v>0</v>
      </c>
      <c r="K13" s="6">
        <f t="shared" si="2"/>
        <v>0</v>
      </c>
      <c r="L13" s="7">
        <f t="shared" si="3"/>
        <v>0</v>
      </c>
      <c r="M13" s="6">
        <f>_xlfn.IFNA(IF(VLOOKUP($A13,'BU Raw Before'!A:H,1,FALSE)=$A13,VLOOKUP($A13,'BU Raw Before'!A:H,7,FALSE),0),0)</f>
        <v>0</v>
      </c>
      <c r="N13" s="6">
        <f>_xlfn.IFNA(IF(VLOOKUP($A13,'BU Raw After'!A:H,1,FALSE)=$A13,VLOOKUP($A13,'BU Raw After'!A:H,7,FALSE),0),0)</f>
        <v>0</v>
      </c>
      <c r="O13" s="6">
        <f t="shared" si="4"/>
        <v>0</v>
      </c>
      <c r="P13" s="7">
        <f t="shared" si="5"/>
        <v>0</v>
      </c>
      <c r="Q13" s="6">
        <f>_xlfn.IFNA(IF(VLOOKUP($A13,'BU Raw Before'!A:H,1,FALSE)=$A13,VLOOKUP($A13,'BU Raw Before'!A:H,8,FALSE),0),0)</f>
        <v>0</v>
      </c>
      <c r="R13" s="6">
        <f>_xlfn.IFNA(IF(VLOOKUP($A13,'BU Raw After'!A:H,1,FALSE)=$A13,VLOOKUP($A13,'BU Raw After'!A:H,8,FALSE),0),0)</f>
        <v>0</v>
      </c>
      <c r="S13" s="6">
        <f t="shared" si="6"/>
        <v>0</v>
      </c>
      <c r="T13" s="7">
        <f t="shared" si="7"/>
        <v>0</v>
      </c>
    </row>
    <row r="14" spans="1:21" ht="15" x14ac:dyDescent="0.25">
      <c r="A14" t="s">
        <v>25</v>
      </c>
      <c r="B14" t="s">
        <v>5</v>
      </c>
      <c r="C14" t="s">
        <v>23</v>
      </c>
      <c r="D14" t="s">
        <v>11</v>
      </c>
      <c r="E14" s="6">
        <f>_xlfn.IFNA(IF(VLOOKUP($A14,'BU Raw Before'!A:H,1,FALSE)=$A14,VLOOKUP($A14,'BU Raw Before'!A:H,5,FALSE),0),0)</f>
        <v>0</v>
      </c>
      <c r="F14" s="6">
        <f>_xlfn.IFNA(IF(VLOOKUP($A14,'BU Raw After'!A:H,1,FALSE)=$A14,VLOOKUP($A14,'BU Raw After'!A:H,5,FALSE),0),0)</f>
        <v>0</v>
      </c>
      <c r="G14" s="6">
        <f t="shared" si="0"/>
        <v>0</v>
      </c>
      <c r="H14" s="7">
        <f t="shared" si="1"/>
        <v>0</v>
      </c>
      <c r="I14" s="6">
        <f>_xlfn.IFNA(IF(VLOOKUP($A14,'BU Raw Before'!A:H,1,FALSE)=$A14,VLOOKUP($A14,'BU Raw Before'!A:H,6,FALSE),0),0)</f>
        <v>0</v>
      </c>
      <c r="J14" s="6">
        <f>_xlfn.IFNA(IF(VLOOKUP($A14,'BU Raw After'!A:H,1,FALSE)=$A14,VLOOKUP($A14,'BU Raw After'!A:H,6,FALSE),0),0)</f>
        <v>0</v>
      </c>
      <c r="K14" s="6">
        <f t="shared" si="2"/>
        <v>0</v>
      </c>
      <c r="L14" s="7">
        <f t="shared" si="3"/>
        <v>0</v>
      </c>
      <c r="M14" s="6">
        <f>_xlfn.IFNA(IF(VLOOKUP($A14,'BU Raw Before'!A:H,1,FALSE)=$A14,VLOOKUP($A14,'BU Raw Before'!A:H,7,FALSE),0),0)</f>
        <v>0</v>
      </c>
      <c r="N14" s="6">
        <f>_xlfn.IFNA(IF(VLOOKUP($A14,'BU Raw After'!A:H,1,FALSE)=$A14,VLOOKUP($A14,'BU Raw After'!A:H,7,FALSE),0),0)</f>
        <v>0</v>
      </c>
      <c r="O14" s="6">
        <f t="shared" si="4"/>
        <v>0</v>
      </c>
      <c r="P14" s="7">
        <f t="shared" si="5"/>
        <v>0</v>
      </c>
      <c r="Q14" s="6">
        <f>_xlfn.IFNA(IF(VLOOKUP($A14,'BU Raw Before'!A:H,1,FALSE)=$A14,VLOOKUP($A14,'BU Raw Before'!A:H,8,FALSE),0),0)</f>
        <v>0</v>
      </c>
      <c r="R14" s="6">
        <f>_xlfn.IFNA(IF(VLOOKUP($A14,'BU Raw After'!A:H,1,FALSE)=$A14,VLOOKUP($A14,'BU Raw After'!A:H,8,FALSE),0),0)</f>
        <v>0</v>
      </c>
      <c r="S14" s="6">
        <f t="shared" si="6"/>
        <v>0</v>
      </c>
      <c r="T14" s="7">
        <f t="shared" si="7"/>
        <v>0</v>
      </c>
    </row>
    <row r="15" spans="1:21" ht="15" x14ac:dyDescent="0.25">
      <c r="A15" t="s">
        <v>26</v>
      </c>
      <c r="B15" t="s">
        <v>5</v>
      </c>
      <c r="C15" t="s">
        <v>23</v>
      </c>
      <c r="D15" t="s">
        <v>13</v>
      </c>
      <c r="E15" s="6">
        <f>_xlfn.IFNA(IF(VLOOKUP($A15,'BU Raw Before'!A:H,1,FALSE)=$A15,VLOOKUP($A15,'BU Raw Before'!A:H,5,FALSE),0),0)</f>
        <v>0</v>
      </c>
      <c r="F15" s="6">
        <f>_xlfn.IFNA(IF(VLOOKUP($A15,'BU Raw After'!A:H,1,FALSE)=$A15,VLOOKUP($A15,'BU Raw After'!A:H,5,FALSE),0),0)</f>
        <v>0</v>
      </c>
      <c r="G15" s="6">
        <f t="shared" si="0"/>
        <v>0</v>
      </c>
      <c r="H15" s="7">
        <f t="shared" si="1"/>
        <v>0</v>
      </c>
      <c r="I15" s="6">
        <f>_xlfn.IFNA(IF(VLOOKUP($A15,'BU Raw Before'!A:H,1,FALSE)=$A15,VLOOKUP($A15,'BU Raw Before'!A:H,6,FALSE),0),0)</f>
        <v>0</v>
      </c>
      <c r="J15" s="6">
        <f>_xlfn.IFNA(IF(VLOOKUP($A15,'BU Raw After'!A:H,1,FALSE)=$A15,VLOOKUP($A15,'BU Raw After'!A:H,6,FALSE),0),0)</f>
        <v>0</v>
      </c>
      <c r="K15" s="6">
        <f t="shared" si="2"/>
        <v>0</v>
      </c>
      <c r="L15" s="7">
        <f t="shared" si="3"/>
        <v>0</v>
      </c>
      <c r="M15" s="6">
        <f>_xlfn.IFNA(IF(VLOOKUP($A15,'BU Raw Before'!A:H,1,FALSE)=$A15,VLOOKUP($A15,'BU Raw Before'!A:H,7,FALSE),0),0)</f>
        <v>0</v>
      </c>
      <c r="N15" s="6">
        <f>_xlfn.IFNA(IF(VLOOKUP($A15,'BU Raw After'!A:H,1,FALSE)=$A15,VLOOKUP($A15,'BU Raw After'!A:H,7,FALSE),0),0)</f>
        <v>0</v>
      </c>
      <c r="O15" s="6">
        <f t="shared" si="4"/>
        <v>0</v>
      </c>
      <c r="P15" s="7">
        <f t="shared" si="5"/>
        <v>0</v>
      </c>
      <c r="Q15" s="6">
        <f>_xlfn.IFNA(IF(VLOOKUP($A15,'BU Raw Before'!A:H,1,FALSE)=$A15,VLOOKUP($A15,'BU Raw Before'!A:H,8,FALSE),0),0)</f>
        <v>0</v>
      </c>
      <c r="R15" s="6">
        <f>_xlfn.IFNA(IF(VLOOKUP($A15,'BU Raw After'!A:H,1,FALSE)=$A15,VLOOKUP($A15,'BU Raw After'!A:H,8,FALSE),0),0)</f>
        <v>0</v>
      </c>
      <c r="S15" s="6">
        <f t="shared" si="6"/>
        <v>0</v>
      </c>
      <c r="T15" s="7">
        <f t="shared" si="7"/>
        <v>0</v>
      </c>
    </row>
    <row r="16" spans="1:21" ht="15" x14ac:dyDescent="0.25">
      <c r="A16" t="s">
        <v>27</v>
      </c>
      <c r="B16" t="s">
        <v>5</v>
      </c>
      <c r="C16" t="s">
        <v>23</v>
      </c>
      <c r="D16" t="s">
        <v>15</v>
      </c>
      <c r="E16" s="6">
        <f>_xlfn.IFNA(IF(VLOOKUP($A16,'BU Raw Before'!A:H,1,FALSE)=$A16,VLOOKUP($A16,'BU Raw Before'!A:H,5,FALSE),0),0)</f>
        <v>0</v>
      </c>
      <c r="F16" s="6">
        <f>_xlfn.IFNA(IF(VLOOKUP($A16,'BU Raw After'!A:H,1,FALSE)=$A16,VLOOKUP($A16,'BU Raw After'!A:H,5,FALSE),0),0)</f>
        <v>0</v>
      </c>
      <c r="G16" s="6">
        <f t="shared" si="0"/>
        <v>0</v>
      </c>
      <c r="H16" s="7">
        <f t="shared" si="1"/>
        <v>0</v>
      </c>
      <c r="I16" s="6">
        <f>_xlfn.IFNA(IF(VLOOKUP($A16,'BU Raw Before'!A:H,1,FALSE)=$A16,VLOOKUP($A16,'BU Raw Before'!A:H,6,FALSE),0),0)</f>
        <v>0</v>
      </c>
      <c r="J16" s="6">
        <f>_xlfn.IFNA(IF(VLOOKUP($A16,'BU Raw After'!A:H,1,FALSE)=$A16,VLOOKUP($A16,'BU Raw After'!A:H,6,FALSE),0),0)</f>
        <v>0</v>
      </c>
      <c r="K16" s="6">
        <f t="shared" si="2"/>
        <v>0</v>
      </c>
      <c r="L16" s="7">
        <f t="shared" si="3"/>
        <v>0</v>
      </c>
      <c r="M16" s="6">
        <f>_xlfn.IFNA(IF(VLOOKUP($A16,'BU Raw Before'!A:H,1,FALSE)=$A16,VLOOKUP($A16,'BU Raw Before'!A:H,7,FALSE),0),0)</f>
        <v>0</v>
      </c>
      <c r="N16" s="6">
        <f>_xlfn.IFNA(IF(VLOOKUP($A16,'BU Raw After'!A:H,1,FALSE)=$A16,VLOOKUP($A16,'BU Raw After'!A:H,7,FALSE),0),0)</f>
        <v>0</v>
      </c>
      <c r="O16" s="6">
        <f t="shared" si="4"/>
        <v>0</v>
      </c>
      <c r="P16" s="7">
        <f t="shared" si="5"/>
        <v>0</v>
      </c>
      <c r="Q16" s="6">
        <f>_xlfn.IFNA(IF(VLOOKUP($A16,'BU Raw Before'!A:H,1,FALSE)=$A16,VLOOKUP($A16,'BU Raw Before'!A:H,8,FALSE),0),0)</f>
        <v>0</v>
      </c>
      <c r="R16" s="6">
        <f>_xlfn.IFNA(IF(VLOOKUP($A16,'BU Raw After'!A:H,1,FALSE)=$A16,VLOOKUP($A16,'BU Raw After'!A:H,8,FALSE),0),0)</f>
        <v>0</v>
      </c>
      <c r="S16" s="6">
        <f t="shared" si="6"/>
        <v>0</v>
      </c>
      <c r="T16" s="7">
        <f t="shared" si="7"/>
        <v>0</v>
      </c>
    </row>
    <row r="17" spans="1:20" ht="15" x14ac:dyDescent="0.25">
      <c r="A17" t="s">
        <v>28</v>
      </c>
      <c r="B17" t="s">
        <v>5</v>
      </c>
      <c r="C17" t="s">
        <v>23</v>
      </c>
      <c r="D17" t="s">
        <v>17</v>
      </c>
      <c r="E17" s="6">
        <f>_xlfn.IFNA(IF(VLOOKUP($A17,'BU Raw Before'!A:H,1,FALSE)=$A17,VLOOKUP($A17,'BU Raw Before'!A:H,5,FALSE),0),0)</f>
        <v>0</v>
      </c>
      <c r="F17" s="6">
        <f>_xlfn.IFNA(IF(VLOOKUP($A17,'BU Raw After'!A:H,1,FALSE)=$A17,VLOOKUP($A17,'BU Raw After'!A:H,5,FALSE),0),0)</f>
        <v>0</v>
      </c>
      <c r="G17" s="6">
        <f t="shared" si="0"/>
        <v>0</v>
      </c>
      <c r="H17" s="7">
        <f t="shared" si="1"/>
        <v>0</v>
      </c>
      <c r="I17" s="6">
        <f>_xlfn.IFNA(IF(VLOOKUP($A17,'BU Raw Before'!A:H,1,FALSE)=$A17,VLOOKUP($A17,'BU Raw Before'!A:H,6,FALSE),0),0)</f>
        <v>0</v>
      </c>
      <c r="J17" s="6">
        <f>_xlfn.IFNA(IF(VLOOKUP($A17,'BU Raw After'!A:H,1,FALSE)=$A17,VLOOKUP($A17,'BU Raw After'!A:H,6,FALSE),0),0)</f>
        <v>0</v>
      </c>
      <c r="K17" s="6">
        <f t="shared" si="2"/>
        <v>0</v>
      </c>
      <c r="L17" s="7">
        <f t="shared" si="3"/>
        <v>0</v>
      </c>
      <c r="M17" s="6">
        <f>_xlfn.IFNA(IF(VLOOKUP($A17,'BU Raw Before'!A:H,1,FALSE)=$A17,VLOOKUP($A17,'BU Raw Before'!A:H,7,FALSE),0),0)</f>
        <v>0</v>
      </c>
      <c r="N17" s="6">
        <f>_xlfn.IFNA(IF(VLOOKUP($A17,'BU Raw After'!A:H,1,FALSE)=$A17,VLOOKUP($A17,'BU Raw After'!A:H,7,FALSE),0),0)</f>
        <v>0</v>
      </c>
      <c r="O17" s="6">
        <f t="shared" si="4"/>
        <v>0</v>
      </c>
      <c r="P17" s="7">
        <f t="shared" si="5"/>
        <v>0</v>
      </c>
      <c r="Q17" s="6">
        <f>_xlfn.IFNA(IF(VLOOKUP($A17,'BU Raw Before'!A:H,1,FALSE)=$A17,VLOOKUP($A17,'BU Raw Before'!A:H,8,FALSE),0),0)</f>
        <v>0</v>
      </c>
      <c r="R17" s="6">
        <f>_xlfn.IFNA(IF(VLOOKUP($A17,'BU Raw After'!A:H,1,FALSE)=$A17,VLOOKUP($A17,'BU Raw After'!A:H,8,FALSE),0),0)</f>
        <v>0</v>
      </c>
      <c r="S17" s="6">
        <f t="shared" si="6"/>
        <v>0</v>
      </c>
      <c r="T17" s="7">
        <f t="shared" si="7"/>
        <v>0</v>
      </c>
    </row>
    <row r="18" spans="1:20" ht="15" x14ac:dyDescent="0.25">
      <c r="A18" t="s">
        <v>29</v>
      </c>
      <c r="B18" t="s">
        <v>5</v>
      </c>
      <c r="C18" t="s">
        <v>23</v>
      </c>
      <c r="D18" t="s">
        <v>19</v>
      </c>
      <c r="E18" s="6">
        <f>_xlfn.IFNA(IF(VLOOKUP($A18,'BU Raw Before'!A:H,1,FALSE)=$A18,VLOOKUP($A18,'BU Raw Before'!A:H,5,FALSE),0),0)</f>
        <v>0</v>
      </c>
      <c r="F18" s="6">
        <f>_xlfn.IFNA(IF(VLOOKUP($A18,'BU Raw After'!A:H,1,FALSE)=$A18,VLOOKUP($A18,'BU Raw After'!A:H,5,FALSE),0),0)</f>
        <v>0</v>
      </c>
      <c r="G18" s="6">
        <f t="shared" si="0"/>
        <v>0</v>
      </c>
      <c r="H18" s="7">
        <f t="shared" si="1"/>
        <v>0</v>
      </c>
      <c r="I18" s="6">
        <f>_xlfn.IFNA(IF(VLOOKUP($A18,'BU Raw Before'!A:H,1,FALSE)=$A18,VLOOKUP($A18,'BU Raw Before'!A:H,6,FALSE),0),0)</f>
        <v>0</v>
      </c>
      <c r="J18" s="6">
        <f>_xlfn.IFNA(IF(VLOOKUP($A18,'BU Raw After'!A:H,1,FALSE)=$A18,VLOOKUP($A18,'BU Raw After'!A:H,6,FALSE),0),0)</f>
        <v>0</v>
      </c>
      <c r="K18" s="6">
        <f t="shared" si="2"/>
        <v>0</v>
      </c>
      <c r="L18" s="7">
        <f t="shared" si="3"/>
        <v>0</v>
      </c>
      <c r="M18" s="6">
        <f>_xlfn.IFNA(IF(VLOOKUP($A18,'BU Raw Before'!A:H,1,FALSE)=$A18,VLOOKUP($A18,'BU Raw Before'!A:H,7,FALSE),0),0)</f>
        <v>0</v>
      </c>
      <c r="N18" s="6">
        <f>_xlfn.IFNA(IF(VLOOKUP($A18,'BU Raw After'!A:H,1,FALSE)=$A18,VLOOKUP($A18,'BU Raw After'!A:H,7,FALSE),0),0)</f>
        <v>0</v>
      </c>
      <c r="O18" s="6">
        <f t="shared" si="4"/>
        <v>0</v>
      </c>
      <c r="P18" s="7">
        <f t="shared" si="5"/>
        <v>0</v>
      </c>
      <c r="Q18" s="6">
        <f>_xlfn.IFNA(IF(VLOOKUP($A18,'BU Raw Before'!A:H,1,FALSE)=$A18,VLOOKUP($A18,'BU Raw Before'!A:H,8,FALSE),0),0)</f>
        <v>0</v>
      </c>
      <c r="R18" s="6">
        <f>_xlfn.IFNA(IF(VLOOKUP($A18,'BU Raw After'!A:H,1,FALSE)=$A18,VLOOKUP($A18,'BU Raw After'!A:H,8,FALSE),0),0)</f>
        <v>0</v>
      </c>
      <c r="S18" s="6">
        <f t="shared" si="6"/>
        <v>0</v>
      </c>
      <c r="T18" s="7">
        <f t="shared" si="7"/>
        <v>0</v>
      </c>
    </row>
    <row r="19" spans="1:20" ht="15" x14ac:dyDescent="0.25">
      <c r="A19" t="s">
        <v>30</v>
      </c>
      <c r="B19" t="s">
        <v>5</v>
      </c>
      <c r="C19" t="s">
        <v>23</v>
      </c>
      <c r="D19" t="s">
        <v>21</v>
      </c>
      <c r="E19" s="6">
        <f>_xlfn.IFNA(IF(VLOOKUP($A19,'BU Raw Before'!A:H,1,FALSE)=$A19,VLOOKUP($A19,'BU Raw Before'!A:H,5,FALSE),0),0)</f>
        <v>0</v>
      </c>
      <c r="F19" s="6">
        <f>_xlfn.IFNA(IF(VLOOKUP($A19,'BU Raw After'!A:H,1,FALSE)=$A19,VLOOKUP($A19,'BU Raw After'!A:H,5,FALSE),0),0)</f>
        <v>0</v>
      </c>
      <c r="G19" s="6">
        <f t="shared" si="0"/>
        <v>0</v>
      </c>
      <c r="H19" s="7">
        <f t="shared" si="1"/>
        <v>0</v>
      </c>
      <c r="I19" s="6">
        <f>_xlfn.IFNA(IF(VLOOKUP($A19,'BU Raw Before'!A:H,1,FALSE)=$A19,VLOOKUP($A19,'BU Raw Before'!A:H,6,FALSE),0),0)</f>
        <v>0</v>
      </c>
      <c r="J19" s="6">
        <f>_xlfn.IFNA(IF(VLOOKUP($A19,'BU Raw After'!A:H,1,FALSE)=$A19,VLOOKUP($A19,'BU Raw After'!A:H,6,FALSE),0),0)</f>
        <v>0</v>
      </c>
      <c r="K19" s="6">
        <f t="shared" si="2"/>
        <v>0</v>
      </c>
      <c r="L19" s="7">
        <f t="shared" si="3"/>
        <v>0</v>
      </c>
      <c r="M19" s="6">
        <f>_xlfn.IFNA(IF(VLOOKUP($A19,'BU Raw Before'!A:H,1,FALSE)=$A19,VLOOKUP($A19,'BU Raw Before'!A:H,7,FALSE),0),0)</f>
        <v>0</v>
      </c>
      <c r="N19" s="6">
        <f>_xlfn.IFNA(IF(VLOOKUP($A19,'BU Raw After'!A:H,1,FALSE)=$A19,VLOOKUP($A19,'BU Raw After'!A:H,7,FALSE),0),0)</f>
        <v>0</v>
      </c>
      <c r="O19" s="6">
        <f t="shared" si="4"/>
        <v>0</v>
      </c>
      <c r="P19" s="7">
        <f t="shared" si="5"/>
        <v>0</v>
      </c>
      <c r="Q19" s="6">
        <f>_xlfn.IFNA(IF(VLOOKUP($A19,'BU Raw Before'!A:H,1,FALSE)=$A19,VLOOKUP($A19,'BU Raw Before'!A:H,8,FALSE),0),0)</f>
        <v>0</v>
      </c>
      <c r="R19" s="6">
        <f>_xlfn.IFNA(IF(VLOOKUP($A19,'BU Raw After'!A:H,1,FALSE)=$A19,VLOOKUP($A19,'BU Raw After'!A:H,8,FALSE),0),0)</f>
        <v>0</v>
      </c>
      <c r="S19" s="6">
        <f t="shared" si="6"/>
        <v>0</v>
      </c>
      <c r="T19" s="7">
        <f t="shared" si="7"/>
        <v>0</v>
      </c>
    </row>
    <row r="20" spans="1:20" ht="15" x14ac:dyDescent="0.25">
      <c r="A20" t="s">
        <v>31</v>
      </c>
      <c r="B20" t="s">
        <v>5</v>
      </c>
      <c r="C20" t="s">
        <v>32</v>
      </c>
      <c r="D20" t="s">
        <v>7</v>
      </c>
      <c r="E20" s="6">
        <f>_xlfn.IFNA(IF(VLOOKUP($A20,'BU Raw Before'!A:H,1,FALSE)=$A20,VLOOKUP($A20,'BU Raw Before'!A:H,5,FALSE),0),0)</f>
        <v>0</v>
      </c>
      <c r="F20" s="6">
        <f>_xlfn.IFNA(IF(VLOOKUP($A20,'BU Raw After'!A:H,1,FALSE)=$A20,VLOOKUP($A20,'BU Raw After'!A:H,5,FALSE),0),0)</f>
        <v>0</v>
      </c>
      <c r="G20" s="6">
        <f t="shared" si="0"/>
        <v>0</v>
      </c>
      <c r="H20" s="7">
        <f t="shared" si="1"/>
        <v>0</v>
      </c>
      <c r="I20" s="6">
        <f>_xlfn.IFNA(IF(VLOOKUP($A20,'BU Raw Before'!A:H,1,FALSE)=$A20,VLOOKUP($A20,'BU Raw Before'!A:H,6,FALSE),0),0)</f>
        <v>0</v>
      </c>
      <c r="J20" s="6">
        <f>_xlfn.IFNA(IF(VLOOKUP($A20,'BU Raw After'!A:H,1,FALSE)=$A20,VLOOKUP($A20,'BU Raw After'!A:H,6,FALSE),0),0)</f>
        <v>0</v>
      </c>
      <c r="K20" s="6">
        <f t="shared" si="2"/>
        <v>0</v>
      </c>
      <c r="L20" s="7">
        <f t="shared" si="3"/>
        <v>0</v>
      </c>
      <c r="M20" s="6">
        <f>_xlfn.IFNA(IF(VLOOKUP($A20,'BU Raw Before'!A:H,1,FALSE)=$A20,VLOOKUP($A20,'BU Raw Before'!A:H,7,FALSE),0),0)</f>
        <v>0</v>
      </c>
      <c r="N20" s="6">
        <f>_xlfn.IFNA(IF(VLOOKUP($A20,'BU Raw After'!A:H,1,FALSE)=$A20,VLOOKUP($A20,'BU Raw After'!A:H,7,FALSE),0),0)</f>
        <v>0</v>
      </c>
      <c r="O20" s="6">
        <f t="shared" si="4"/>
        <v>0</v>
      </c>
      <c r="P20" s="7">
        <f t="shared" si="5"/>
        <v>0</v>
      </c>
      <c r="Q20" s="6">
        <f>_xlfn.IFNA(IF(VLOOKUP($A20,'BU Raw Before'!A:H,1,FALSE)=$A20,VLOOKUP($A20,'BU Raw Before'!A:H,8,FALSE),0),0)</f>
        <v>0</v>
      </c>
      <c r="R20" s="6">
        <f>_xlfn.IFNA(IF(VLOOKUP($A20,'BU Raw After'!A:H,1,FALSE)=$A20,VLOOKUP($A20,'BU Raw After'!A:H,8,FALSE),0),0)</f>
        <v>0</v>
      </c>
      <c r="S20" s="6">
        <f t="shared" si="6"/>
        <v>0</v>
      </c>
      <c r="T20" s="7">
        <f t="shared" si="7"/>
        <v>0</v>
      </c>
    </row>
    <row r="21" spans="1:20" ht="15" x14ac:dyDescent="0.25">
      <c r="A21" t="s">
        <v>33</v>
      </c>
      <c r="B21" t="s">
        <v>5</v>
      </c>
      <c r="C21" t="s">
        <v>32</v>
      </c>
      <c r="D21" t="s">
        <v>9</v>
      </c>
      <c r="E21" s="6">
        <f>_xlfn.IFNA(IF(VLOOKUP($A21,'BU Raw Before'!A:H,1,FALSE)=$A21,VLOOKUP($A21,'BU Raw Before'!A:H,5,FALSE),0),0)</f>
        <v>0</v>
      </c>
      <c r="F21" s="6">
        <f>_xlfn.IFNA(IF(VLOOKUP($A21,'BU Raw After'!A:H,1,FALSE)=$A21,VLOOKUP($A21,'BU Raw After'!A:H,5,FALSE),0),0)</f>
        <v>0</v>
      </c>
      <c r="G21" s="6">
        <f t="shared" si="0"/>
        <v>0</v>
      </c>
      <c r="H21" s="7">
        <f t="shared" si="1"/>
        <v>0</v>
      </c>
      <c r="I21" s="6">
        <f>_xlfn.IFNA(IF(VLOOKUP($A21,'BU Raw Before'!A:H,1,FALSE)=$A21,VLOOKUP($A21,'BU Raw Before'!A:H,6,FALSE),0),0)</f>
        <v>0</v>
      </c>
      <c r="J21" s="6">
        <f>_xlfn.IFNA(IF(VLOOKUP($A21,'BU Raw After'!A:H,1,FALSE)=$A21,VLOOKUP($A21,'BU Raw After'!A:H,6,FALSE),0),0)</f>
        <v>0</v>
      </c>
      <c r="K21" s="6">
        <f t="shared" si="2"/>
        <v>0</v>
      </c>
      <c r="L21" s="7">
        <f t="shared" si="3"/>
        <v>0</v>
      </c>
      <c r="M21" s="6">
        <f>_xlfn.IFNA(IF(VLOOKUP($A21,'BU Raw Before'!A:H,1,FALSE)=$A21,VLOOKUP($A21,'BU Raw Before'!A:H,7,FALSE),0),0)</f>
        <v>0</v>
      </c>
      <c r="N21" s="6">
        <f>_xlfn.IFNA(IF(VLOOKUP($A21,'BU Raw After'!A:H,1,FALSE)=$A21,VLOOKUP($A21,'BU Raw After'!A:H,7,FALSE),0),0)</f>
        <v>0</v>
      </c>
      <c r="O21" s="6">
        <f t="shared" si="4"/>
        <v>0</v>
      </c>
      <c r="P21" s="7">
        <f t="shared" si="5"/>
        <v>0</v>
      </c>
      <c r="Q21" s="6">
        <f>_xlfn.IFNA(IF(VLOOKUP($A21,'BU Raw Before'!A:H,1,FALSE)=$A21,VLOOKUP($A21,'BU Raw Before'!A:H,8,FALSE),0),0)</f>
        <v>0</v>
      </c>
      <c r="R21" s="6">
        <f>_xlfn.IFNA(IF(VLOOKUP($A21,'BU Raw After'!A:H,1,FALSE)=$A21,VLOOKUP($A21,'BU Raw After'!A:H,8,FALSE),0),0)</f>
        <v>0</v>
      </c>
      <c r="S21" s="6">
        <f t="shared" si="6"/>
        <v>0</v>
      </c>
      <c r="T21" s="7">
        <f t="shared" si="7"/>
        <v>0</v>
      </c>
    </row>
    <row r="22" spans="1:20" ht="15" x14ac:dyDescent="0.25">
      <c r="A22" t="s">
        <v>34</v>
      </c>
      <c r="B22" t="s">
        <v>5</v>
      </c>
      <c r="C22" t="s">
        <v>32</v>
      </c>
      <c r="D22" t="s">
        <v>11</v>
      </c>
      <c r="E22" s="6">
        <f>_xlfn.IFNA(IF(VLOOKUP($A22,'BU Raw Before'!A:H,1,FALSE)=$A22,VLOOKUP($A22,'BU Raw Before'!A:H,5,FALSE),0),0)</f>
        <v>0</v>
      </c>
      <c r="F22" s="6">
        <f>_xlfn.IFNA(IF(VLOOKUP($A22,'BU Raw After'!A:H,1,FALSE)=$A22,VLOOKUP($A22,'BU Raw After'!A:H,5,FALSE),0),0)</f>
        <v>0</v>
      </c>
      <c r="G22" s="6">
        <f t="shared" si="0"/>
        <v>0</v>
      </c>
      <c r="H22" s="7">
        <f t="shared" si="1"/>
        <v>0</v>
      </c>
      <c r="I22" s="6">
        <f>_xlfn.IFNA(IF(VLOOKUP($A22,'BU Raw Before'!A:H,1,FALSE)=$A22,VLOOKUP($A22,'BU Raw Before'!A:H,6,FALSE),0),0)</f>
        <v>0</v>
      </c>
      <c r="J22" s="6">
        <f>_xlfn.IFNA(IF(VLOOKUP($A22,'BU Raw After'!A:H,1,FALSE)=$A22,VLOOKUP($A22,'BU Raw After'!A:H,6,FALSE),0),0)</f>
        <v>0</v>
      </c>
      <c r="K22" s="6">
        <f t="shared" si="2"/>
        <v>0</v>
      </c>
      <c r="L22" s="7">
        <f t="shared" si="3"/>
        <v>0</v>
      </c>
      <c r="M22" s="6">
        <f>_xlfn.IFNA(IF(VLOOKUP($A22,'BU Raw Before'!A:H,1,FALSE)=$A22,VLOOKUP($A22,'BU Raw Before'!A:H,7,FALSE),0),0)</f>
        <v>0</v>
      </c>
      <c r="N22" s="6">
        <f>_xlfn.IFNA(IF(VLOOKUP($A22,'BU Raw After'!A:H,1,FALSE)=$A22,VLOOKUP($A22,'BU Raw After'!A:H,7,FALSE),0),0)</f>
        <v>0</v>
      </c>
      <c r="O22" s="6">
        <f t="shared" si="4"/>
        <v>0</v>
      </c>
      <c r="P22" s="7">
        <f t="shared" si="5"/>
        <v>0</v>
      </c>
      <c r="Q22" s="6">
        <f>_xlfn.IFNA(IF(VLOOKUP($A22,'BU Raw Before'!A:H,1,FALSE)=$A22,VLOOKUP($A22,'BU Raw Before'!A:H,8,FALSE),0),0)</f>
        <v>0</v>
      </c>
      <c r="R22" s="6">
        <f>_xlfn.IFNA(IF(VLOOKUP($A22,'BU Raw After'!A:H,1,FALSE)=$A22,VLOOKUP($A22,'BU Raw After'!A:H,8,FALSE),0),0)</f>
        <v>0</v>
      </c>
      <c r="S22" s="6">
        <f t="shared" si="6"/>
        <v>0</v>
      </c>
      <c r="T22" s="7">
        <f t="shared" si="7"/>
        <v>0</v>
      </c>
    </row>
    <row r="23" spans="1:20" ht="15" x14ac:dyDescent="0.25">
      <c r="A23" t="s">
        <v>35</v>
      </c>
      <c r="B23" t="s">
        <v>5</v>
      </c>
      <c r="C23" t="s">
        <v>32</v>
      </c>
      <c r="D23" t="s">
        <v>13</v>
      </c>
      <c r="E23" s="6">
        <f>_xlfn.IFNA(IF(VLOOKUP($A23,'BU Raw Before'!A:H,1,FALSE)=$A23,VLOOKUP($A23,'BU Raw Before'!A:H,5,FALSE),0),0)</f>
        <v>0</v>
      </c>
      <c r="F23" s="6">
        <f>_xlfn.IFNA(IF(VLOOKUP($A23,'BU Raw After'!A:H,1,FALSE)=$A23,VLOOKUP($A23,'BU Raw After'!A:H,5,FALSE),0),0)</f>
        <v>0</v>
      </c>
      <c r="G23" s="6">
        <f t="shared" si="0"/>
        <v>0</v>
      </c>
      <c r="H23" s="7">
        <f t="shared" si="1"/>
        <v>0</v>
      </c>
      <c r="I23" s="6">
        <f>_xlfn.IFNA(IF(VLOOKUP($A23,'BU Raw Before'!A:H,1,FALSE)=$A23,VLOOKUP($A23,'BU Raw Before'!A:H,6,FALSE),0),0)</f>
        <v>0</v>
      </c>
      <c r="J23" s="6">
        <f>_xlfn.IFNA(IF(VLOOKUP($A23,'BU Raw After'!A:H,1,FALSE)=$A23,VLOOKUP($A23,'BU Raw After'!A:H,6,FALSE),0),0)</f>
        <v>0</v>
      </c>
      <c r="K23" s="6">
        <f t="shared" si="2"/>
        <v>0</v>
      </c>
      <c r="L23" s="7">
        <f t="shared" si="3"/>
        <v>0</v>
      </c>
      <c r="M23" s="6">
        <f>_xlfn.IFNA(IF(VLOOKUP($A23,'BU Raw Before'!A:H,1,FALSE)=$A23,VLOOKUP($A23,'BU Raw Before'!A:H,7,FALSE),0),0)</f>
        <v>0</v>
      </c>
      <c r="N23" s="6">
        <f>_xlfn.IFNA(IF(VLOOKUP($A23,'BU Raw After'!A:H,1,FALSE)=$A23,VLOOKUP($A23,'BU Raw After'!A:H,7,FALSE),0),0)</f>
        <v>0</v>
      </c>
      <c r="O23" s="6">
        <f t="shared" si="4"/>
        <v>0</v>
      </c>
      <c r="P23" s="7">
        <f t="shared" si="5"/>
        <v>0</v>
      </c>
      <c r="Q23" s="6">
        <f>_xlfn.IFNA(IF(VLOOKUP($A23,'BU Raw Before'!A:H,1,FALSE)=$A23,VLOOKUP($A23,'BU Raw Before'!A:H,8,FALSE),0),0)</f>
        <v>0</v>
      </c>
      <c r="R23" s="6">
        <f>_xlfn.IFNA(IF(VLOOKUP($A23,'BU Raw After'!A:H,1,FALSE)=$A23,VLOOKUP($A23,'BU Raw After'!A:H,8,FALSE),0),0)</f>
        <v>0</v>
      </c>
      <c r="S23" s="6">
        <f t="shared" si="6"/>
        <v>0</v>
      </c>
      <c r="T23" s="7">
        <f t="shared" si="7"/>
        <v>0</v>
      </c>
    </row>
    <row r="24" spans="1:20" ht="15" x14ac:dyDescent="0.25">
      <c r="A24" t="s">
        <v>36</v>
      </c>
      <c r="B24" t="s">
        <v>5</v>
      </c>
      <c r="C24" t="s">
        <v>32</v>
      </c>
      <c r="D24" t="s">
        <v>15</v>
      </c>
      <c r="E24" s="6">
        <f>_xlfn.IFNA(IF(VLOOKUP($A24,'BU Raw Before'!A:H,1,FALSE)=$A24,VLOOKUP($A24,'BU Raw Before'!A:H,5,FALSE),0),0)</f>
        <v>0</v>
      </c>
      <c r="F24" s="6">
        <f>_xlfn.IFNA(IF(VLOOKUP($A24,'BU Raw After'!A:H,1,FALSE)=$A24,VLOOKUP($A24,'BU Raw After'!A:H,5,FALSE),0),0)</f>
        <v>0</v>
      </c>
      <c r="G24" s="6">
        <f t="shared" si="0"/>
        <v>0</v>
      </c>
      <c r="H24" s="7">
        <f t="shared" si="1"/>
        <v>0</v>
      </c>
      <c r="I24" s="6">
        <f>_xlfn.IFNA(IF(VLOOKUP($A24,'BU Raw Before'!A:H,1,FALSE)=$A24,VLOOKUP($A24,'BU Raw Before'!A:H,6,FALSE),0),0)</f>
        <v>0</v>
      </c>
      <c r="J24" s="6">
        <f>_xlfn.IFNA(IF(VLOOKUP($A24,'BU Raw After'!A:H,1,FALSE)=$A24,VLOOKUP($A24,'BU Raw After'!A:H,6,FALSE),0),0)</f>
        <v>0</v>
      </c>
      <c r="K24" s="6">
        <f t="shared" si="2"/>
        <v>0</v>
      </c>
      <c r="L24" s="7">
        <f t="shared" si="3"/>
        <v>0</v>
      </c>
      <c r="M24" s="6">
        <f>_xlfn.IFNA(IF(VLOOKUP($A24,'BU Raw Before'!A:H,1,FALSE)=$A24,VLOOKUP($A24,'BU Raw Before'!A:H,7,FALSE),0),0)</f>
        <v>0</v>
      </c>
      <c r="N24" s="6">
        <f>_xlfn.IFNA(IF(VLOOKUP($A24,'BU Raw After'!A:H,1,FALSE)=$A24,VLOOKUP($A24,'BU Raw After'!A:H,7,FALSE),0),0)</f>
        <v>0</v>
      </c>
      <c r="O24" s="6">
        <f t="shared" si="4"/>
        <v>0</v>
      </c>
      <c r="P24" s="7">
        <f t="shared" si="5"/>
        <v>0</v>
      </c>
      <c r="Q24" s="6">
        <f>_xlfn.IFNA(IF(VLOOKUP($A24,'BU Raw Before'!A:H,1,FALSE)=$A24,VLOOKUP($A24,'BU Raw Before'!A:H,8,FALSE),0),0)</f>
        <v>0</v>
      </c>
      <c r="R24" s="6">
        <f>_xlfn.IFNA(IF(VLOOKUP($A24,'BU Raw After'!A:H,1,FALSE)=$A24,VLOOKUP($A24,'BU Raw After'!A:H,8,FALSE),0),0)</f>
        <v>0</v>
      </c>
      <c r="S24" s="6">
        <f t="shared" si="6"/>
        <v>0</v>
      </c>
      <c r="T24" s="7">
        <f t="shared" si="7"/>
        <v>0</v>
      </c>
    </row>
    <row r="25" spans="1:20" ht="15" x14ac:dyDescent="0.25">
      <c r="A25" t="s">
        <v>37</v>
      </c>
      <c r="B25" t="s">
        <v>5</v>
      </c>
      <c r="C25" t="s">
        <v>32</v>
      </c>
      <c r="D25" t="s">
        <v>17</v>
      </c>
      <c r="E25" s="6">
        <f>_xlfn.IFNA(IF(VLOOKUP($A25,'BU Raw Before'!A:H,1,FALSE)=$A25,VLOOKUP($A25,'BU Raw Before'!A:H,5,FALSE),0),0)</f>
        <v>0</v>
      </c>
      <c r="F25" s="6">
        <f>_xlfn.IFNA(IF(VLOOKUP($A25,'BU Raw After'!A:H,1,FALSE)=$A25,VLOOKUP($A25,'BU Raw After'!A:H,5,FALSE),0),0)</f>
        <v>0</v>
      </c>
      <c r="G25" s="6">
        <f t="shared" si="0"/>
        <v>0</v>
      </c>
      <c r="H25" s="7">
        <f t="shared" si="1"/>
        <v>0</v>
      </c>
      <c r="I25" s="6">
        <f>_xlfn.IFNA(IF(VLOOKUP($A25,'BU Raw Before'!A:H,1,FALSE)=$A25,VLOOKUP($A25,'BU Raw Before'!A:H,6,FALSE),0),0)</f>
        <v>0</v>
      </c>
      <c r="J25" s="6">
        <f>_xlfn.IFNA(IF(VLOOKUP($A25,'BU Raw After'!A:H,1,FALSE)=$A25,VLOOKUP($A25,'BU Raw After'!A:H,6,FALSE),0),0)</f>
        <v>0</v>
      </c>
      <c r="K25" s="6">
        <f t="shared" si="2"/>
        <v>0</v>
      </c>
      <c r="L25" s="7">
        <f t="shared" si="3"/>
        <v>0</v>
      </c>
      <c r="M25" s="6">
        <f>_xlfn.IFNA(IF(VLOOKUP($A25,'BU Raw Before'!A:H,1,FALSE)=$A25,VLOOKUP($A25,'BU Raw Before'!A:H,7,FALSE),0),0)</f>
        <v>0</v>
      </c>
      <c r="N25" s="6">
        <f>_xlfn.IFNA(IF(VLOOKUP($A25,'BU Raw After'!A:H,1,FALSE)=$A25,VLOOKUP($A25,'BU Raw After'!A:H,7,FALSE),0),0)</f>
        <v>0</v>
      </c>
      <c r="O25" s="6">
        <f t="shared" si="4"/>
        <v>0</v>
      </c>
      <c r="P25" s="7">
        <f t="shared" si="5"/>
        <v>0</v>
      </c>
      <c r="Q25" s="6">
        <f>_xlfn.IFNA(IF(VLOOKUP($A25,'BU Raw Before'!A:H,1,FALSE)=$A25,VLOOKUP($A25,'BU Raw Before'!A:H,8,FALSE),0),0)</f>
        <v>0</v>
      </c>
      <c r="R25" s="6">
        <f>_xlfn.IFNA(IF(VLOOKUP($A25,'BU Raw After'!A:H,1,FALSE)=$A25,VLOOKUP($A25,'BU Raw After'!A:H,8,FALSE),0),0)</f>
        <v>0</v>
      </c>
      <c r="S25" s="6">
        <f t="shared" si="6"/>
        <v>0</v>
      </c>
      <c r="T25" s="7">
        <f t="shared" si="7"/>
        <v>0</v>
      </c>
    </row>
    <row r="26" spans="1:20" ht="15" x14ac:dyDescent="0.25">
      <c r="A26" t="s">
        <v>38</v>
      </c>
      <c r="B26" t="s">
        <v>5</v>
      </c>
      <c r="C26" t="s">
        <v>32</v>
      </c>
      <c r="D26" t="s">
        <v>19</v>
      </c>
      <c r="E26" s="6">
        <f>_xlfn.IFNA(IF(VLOOKUP($A26,'BU Raw Before'!A:H,1,FALSE)=$A26,VLOOKUP($A26,'BU Raw Before'!A:H,5,FALSE),0),0)</f>
        <v>0</v>
      </c>
      <c r="F26" s="6">
        <f>_xlfn.IFNA(IF(VLOOKUP($A26,'BU Raw After'!A:H,1,FALSE)=$A26,VLOOKUP($A26,'BU Raw After'!A:H,5,FALSE),0),0)</f>
        <v>0</v>
      </c>
      <c r="G26" s="6">
        <f t="shared" si="0"/>
        <v>0</v>
      </c>
      <c r="H26" s="7">
        <f t="shared" si="1"/>
        <v>0</v>
      </c>
      <c r="I26" s="6">
        <f>_xlfn.IFNA(IF(VLOOKUP($A26,'BU Raw Before'!A:H,1,FALSE)=$A26,VLOOKUP($A26,'BU Raw Before'!A:H,6,FALSE),0),0)</f>
        <v>0</v>
      </c>
      <c r="J26" s="6">
        <f>_xlfn.IFNA(IF(VLOOKUP($A26,'BU Raw After'!A:H,1,FALSE)=$A26,VLOOKUP($A26,'BU Raw After'!A:H,6,FALSE),0),0)</f>
        <v>0</v>
      </c>
      <c r="K26" s="6">
        <f t="shared" si="2"/>
        <v>0</v>
      </c>
      <c r="L26" s="7">
        <f t="shared" si="3"/>
        <v>0</v>
      </c>
      <c r="M26" s="6">
        <f>_xlfn.IFNA(IF(VLOOKUP($A26,'BU Raw Before'!A:H,1,FALSE)=$A26,VLOOKUP($A26,'BU Raw Before'!A:H,7,FALSE),0),0)</f>
        <v>0</v>
      </c>
      <c r="N26" s="6">
        <f>_xlfn.IFNA(IF(VLOOKUP($A26,'BU Raw After'!A:H,1,FALSE)=$A26,VLOOKUP($A26,'BU Raw After'!A:H,7,FALSE),0),0)</f>
        <v>0</v>
      </c>
      <c r="O26" s="6">
        <f t="shared" si="4"/>
        <v>0</v>
      </c>
      <c r="P26" s="7">
        <f t="shared" si="5"/>
        <v>0</v>
      </c>
      <c r="Q26" s="6">
        <f>_xlfn.IFNA(IF(VLOOKUP($A26,'BU Raw Before'!A:H,1,FALSE)=$A26,VLOOKUP($A26,'BU Raw Before'!A:H,8,FALSE),0),0)</f>
        <v>0</v>
      </c>
      <c r="R26" s="6">
        <f>_xlfn.IFNA(IF(VLOOKUP($A26,'BU Raw After'!A:H,1,FALSE)=$A26,VLOOKUP($A26,'BU Raw After'!A:H,8,FALSE),0),0)</f>
        <v>0</v>
      </c>
      <c r="S26" s="6">
        <f t="shared" si="6"/>
        <v>0</v>
      </c>
      <c r="T26" s="7">
        <f t="shared" si="7"/>
        <v>0</v>
      </c>
    </row>
    <row r="27" spans="1:20" ht="15" x14ac:dyDescent="0.25">
      <c r="A27" t="s">
        <v>39</v>
      </c>
      <c r="B27" t="s">
        <v>5</v>
      </c>
      <c r="C27" t="s">
        <v>32</v>
      </c>
      <c r="D27" t="s">
        <v>21</v>
      </c>
      <c r="E27" s="6">
        <f>_xlfn.IFNA(IF(VLOOKUP($A27,'BU Raw Before'!A:H,1,FALSE)=$A27,VLOOKUP($A27,'BU Raw Before'!A:H,5,FALSE),0),0)</f>
        <v>0</v>
      </c>
      <c r="F27" s="6">
        <f>_xlfn.IFNA(IF(VLOOKUP($A27,'BU Raw After'!A:H,1,FALSE)=$A27,VLOOKUP($A27,'BU Raw After'!A:H,5,FALSE),0),0)</f>
        <v>0</v>
      </c>
      <c r="G27" s="6">
        <f t="shared" si="0"/>
        <v>0</v>
      </c>
      <c r="H27" s="7">
        <f t="shared" si="1"/>
        <v>0</v>
      </c>
      <c r="I27" s="6">
        <f>_xlfn.IFNA(IF(VLOOKUP($A27,'BU Raw Before'!A:H,1,FALSE)=$A27,VLOOKUP($A27,'BU Raw Before'!A:H,6,FALSE),0),0)</f>
        <v>0</v>
      </c>
      <c r="J27" s="6">
        <f>_xlfn.IFNA(IF(VLOOKUP($A27,'BU Raw After'!A:H,1,FALSE)=$A27,VLOOKUP($A27,'BU Raw After'!A:H,6,FALSE),0),0)</f>
        <v>0</v>
      </c>
      <c r="K27" s="6">
        <f t="shared" si="2"/>
        <v>0</v>
      </c>
      <c r="L27" s="7">
        <f t="shared" si="3"/>
        <v>0</v>
      </c>
      <c r="M27" s="6">
        <f>_xlfn.IFNA(IF(VLOOKUP($A27,'BU Raw Before'!A:H,1,FALSE)=$A27,VLOOKUP($A27,'BU Raw Before'!A:H,7,FALSE),0),0)</f>
        <v>0</v>
      </c>
      <c r="N27" s="6">
        <f>_xlfn.IFNA(IF(VLOOKUP($A27,'BU Raw After'!A:H,1,FALSE)=$A27,VLOOKUP($A27,'BU Raw After'!A:H,7,FALSE),0),0)</f>
        <v>0</v>
      </c>
      <c r="O27" s="6">
        <f t="shared" si="4"/>
        <v>0</v>
      </c>
      <c r="P27" s="7">
        <f t="shared" si="5"/>
        <v>0</v>
      </c>
      <c r="Q27" s="6">
        <f>_xlfn.IFNA(IF(VLOOKUP($A27,'BU Raw Before'!A:H,1,FALSE)=$A27,VLOOKUP($A27,'BU Raw Before'!A:H,8,FALSE),0),0)</f>
        <v>0</v>
      </c>
      <c r="R27" s="6">
        <f>_xlfn.IFNA(IF(VLOOKUP($A27,'BU Raw After'!A:H,1,FALSE)=$A27,VLOOKUP($A27,'BU Raw After'!A:H,8,FALSE),0),0)</f>
        <v>0</v>
      </c>
      <c r="S27" s="6">
        <f t="shared" si="6"/>
        <v>0</v>
      </c>
      <c r="T27" s="7">
        <f t="shared" si="7"/>
        <v>0</v>
      </c>
    </row>
    <row r="28" spans="1:20" ht="15" x14ac:dyDescent="0.25">
      <c r="A28" t="s">
        <v>40</v>
      </c>
      <c r="B28" t="s">
        <v>5</v>
      </c>
      <c r="C28" t="s">
        <v>41</v>
      </c>
      <c r="D28" t="s">
        <v>7</v>
      </c>
      <c r="E28" s="6">
        <f>_xlfn.IFNA(IF(VLOOKUP($A28,'BU Raw Before'!A:H,1,FALSE)=$A28,VLOOKUP($A28,'BU Raw Before'!A:H,5,FALSE),0),0)</f>
        <v>0</v>
      </c>
      <c r="F28" s="6">
        <f>_xlfn.IFNA(IF(VLOOKUP($A28,'BU Raw After'!A:H,1,FALSE)=$A28,VLOOKUP($A28,'BU Raw After'!A:H,5,FALSE),0),0)</f>
        <v>0</v>
      </c>
      <c r="G28" s="6">
        <f t="shared" si="0"/>
        <v>0</v>
      </c>
      <c r="H28" s="7">
        <f t="shared" si="1"/>
        <v>0</v>
      </c>
      <c r="I28" s="6">
        <f>_xlfn.IFNA(IF(VLOOKUP($A28,'BU Raw Before'!A:H,1,FALSE)=$A28,VLOOKUP($A28,'BU Raw Before'!A:H,6,FALSE),0),0)</f>
        <v>0</v>
      </c>
      <c r="J28" s="6">
        <f>_xlfn.IFNA(IF(VLOOKUP($A28,'BU Raw After'!A:H,1,FALSE)=$A28,VLOOKUP($A28,'BU Raw After'!A:H,6,FALSE),0),0)</f>
        <v>0</v>
      </c>
      <c r="K28" s="6">
        <f t="shared" si="2"/>
        <v>0</v>
      </c>
      <c r="L28" s="7">
        <f t="shared" si="3"/>
        <v>0</v>
      </c>
      <c r="M28" s="6">
        <f>_xlfn.IFNA(IF(VLOOKUP($A28,'BU Raw Before'!A:H,1,FALSE)=$A28,VLOOKUP($A28,'BU Raw Before'!A:H,7,FALSE),0),0)</f>
        <v>0</v>
      </c>
      <c r="N28" s="6">
        <f>_xlfn.IFNA(IF(VLOOKUP($A28,'BU Raw After'!A:H,1,FALSE)=$A28,VLOOKUP($A28,'BU Raw After'!A:H,7,FALSE),0),0)</f>
        <v>0</v>
      </c>
      <c r="O28" s="6">
        <f t="shared" si="4"/>
        <v>0</v>
      </c>
      <c r="P28" s="7">
        <f t="shared" si="5"/>
        <v>0</v>
      </c>
      <c r="Q28" s="6">
        <f>_xlfn.IFNA(IF(VLOOKUP($A28,'BU Raw Before'!A:H,1,FALSE)=$A28,VLOOKUP($A28,'BU Raw Before'!A:H,8,FALSE),0),0)</f>
        <v>0</v>
      </c>
      <c r="R28" s="6">
        <f>_xlfn.IFNA(IF(VLOOKUP($A28,'BU Raw After'!A:H,1,FALSE)=$A28,VLOOKUP($A28,'BU Raw After'!A:H,8,FALSE),0),0)</f>
        <v>0</v>
      </c>
      <c r="S28" s="6">
        <f t="shared" si="6"/>
        <v>0</v>
      </c>
      <c r="T28" s="7">
        <f t="shared" si="7"/>
        <v>0</v>
      </c>
    </row>
    <row r="29" spans="1:20" ht="15" x14ac:dyDescent="0.25">
      <c r="A29" t="s">
        <v>42</v>
      </c>
      <c r="B29" t="s">
        <v>5</v>
      </c>
      <c r="C29" t="s">
        <v>41</v>
      </c>
      <c r="D29" t="s">
        <v>9</v>
      </c>
      <c r="E29" s="6">
        <f>_xlfn.IFNA(IF(VLOOKUP($A29,'BU Raw Before'!A:H,1,FALSE)=$A29,VLOOKUP($A29,'BU Raw Before'!A:H,5,FALSE),0),0)</f>
        <v>0</v>
      </c>
      <c r="F29" s="6">
        <f>_xlfn.IFNA(IF(VLOOKUP($A29,'BU Raw After'!A:H,1,FALSE)=$A29,VLOOKUP($A29,'BU Raw After'!A:H,5,FALSE),0),0)</f>
        <v>0</v>
      </c>
      <c r="G29" s="6">
        <f t="shared" si="0"/>
        <v>0</v>
      </c>
      <c r="H29" s="7">
        <f t="shared" si="1"/>
        <v>0</v>
      </c>
      <c r="I29" s="6">
        <f>_xlfn.IFNA(IF(VLOOKUP($A29,'BU Raw Before'!A:H,1,FALSE)=$A29,VLOOKUP($A29,'BU Raw Before'!A:H,6,FALSE),0),0)</f>
        <v>0</v>
      </c>
      <c r="J29" s="6">
        <f>_xlfn.IFNA(IF(VLOOKUP($A29,'BU Raw After'!A:H,1,FALSE)=$A29,VLOOKUP($A29,'BU Raw After'!A:H,6,FALSE),0),0)</f>
        <v>0</v>
      </c>
      <c r="K29" s="6">
        <f t="shared" si="2"/>
        <v>0</v>
      </c>
      <c r="L29" s="7">
        <f t="shared" si="3"/>
        <v>0</v>
      </c>
      <c r="M29" s="6">
        <f>_xlfn.IFNA(IF(VLOOKUP($A29,'BU Raw Before'!A:H,1,FALSE)=$A29,VLOOKUP($A29,'BU Raw Before'!A:H,7,FALSE),0),0)</f>
        <v>0</v>
      </c>
      <c r="N29" s="6">
        <f>_xlfn.IFNA(IF(VLOOKUP($A29,'BU Raw After'!A:H,1,FALSE)=$A29,VLOOKUP($A29,'BU Raw After'!A:H,7,FALSE),0),0)</f>
        <v>0</v>
      </c>
      <c r="O29" s="6">
        <f t="shared" si="4"/>
        <v>0</v>
      </c>
      <c r="P29" s="7">
        <f t="shared" si="5"/>
        <v>0</v>
      </c>
      <c r="Q29" s="6">
        <f>_xlfn.IFNA(IF(VLOOKUP($A29,'BU Raw Before'!A:H,1,FALSE)=$A29,VLOOKUP($A29,'BU Raw Before'!A:H,8,FALSE),0),0)</f>
        <v>0</v>
      </c>
      <c r="R29" s="6">
        <f>_xlfn.IFNA(IF(VLOOKUP($A29,'BU Raw After'!A:H,1,FALSE)=$A29,VLOOKUP($A29,'BU Raw After'!A:H,8,FALSE),0),0)</f>
        <v>0</v>
      </c>
      <c r="S29" s="6">
        <f t="shared" si="6"/>
        <v>0</v>
      </c>
      <c r="T29" s="7">
        <f t="shared" si="7"/>
        <v>0</v>
      </c>
    </row>
    <row r="30" spans="1:20" ht="15" x14ac:dyDescent="0.25">
      <c r="A30" t="s">
        <v>43</v>
      </c>
      <c r="B30" t="s">
        <v>5</v>
      </c>
      <c r="C30" t="s">
        <v>41</v>
      </c>
      <c r="D30" t="s">
        <v>11</v>
      </c>
      <c r="E30" s="6">
        <f>_xlfn.IFNA(IF(VLOOKUP($A30,'BU Raw Before'!A:H,1,FALSE)=$A30,VLOOKUP($A30,'BU Raw Before'!A:H,5,FALSE),0),0)</f>
        <v>0</v>
      </c>
      <c r="F30" s="6">
        <f>_xlfn.IFNA(IF(VLOOKUP($A30,'BU Raw After'!A:H,1,FALSE)=$A30,VLOOKUP($A30,'BU Raw After'!A:H,5,FALSE),0),0)</f>
        <v>0</v>
      </c>
      <c r="G30" s="6">
        <f t="shared" si="0"/>
        <v>0</v>
      </c>
      <c r="H30" s="7">
        <f t="shared" si="1"/>
        <v>0</v>
      </c>
      <c r="I30" s="6">
        <f>_xlfn.IFNA(IF(VLOOKUP($A30,'BU Raw Before'!A:H,1,FALSE)=$A30,VLOOKUP($A30,'BU Raw Before'!A:H,6,FALSE),0),0)</f>
        <v>0</v>
      </c>
      <c r="J30" s="6">
        <f>_xlfn.IFNA(IF(VLOOKUP($A30,'BU Raw After'!A:H,1,FALSE)=$A30,VLOOKUP($A30,'BU Raw After'!A:H,6,FALSE),0),0)</f>
        <v>0</v>
      </c>
      <c r="K30" s="6">
        <f t="shared" si="2"/>
        <v>0</v>
      </c>
      <c r="L30" s="7">
        <f t="shared" si="3"/>
        <v>0</v>
      </c>
      <c r="M30" s="6">
        <f>_xlfn.IFNA(IF(VLOOKUP($A30,'BU Raw Before'!A:H,1,FALSE)=$A30,VLOOKUP($A30,'BU Raw Before'!A:H,7,FALSE),0),0)</f>
        <v>0</v>
      </c>
      <c r="N30" s="6">
        <f>_xlfn.IFNA(IF(VLOOKUP($A30,'BU Raw After'!A:H,1,FALSE)=$A30,VLOOKUP($A30,'BU Raw After'!A:H,7,FALSE),0),0)</f>
        <v>0</v>
      </c>
      <c r="O30" s="6">
        <f t="shared" si="4"/>
        <v>0</v>
      </c>
      <c r="P30" s="7">
        <f t="shared" si="5"/>
        <v>0</v>
      </c>
      <c r="Q30" s="6">
        <f>_xlfn.IFNA(IF(VLOOKUP($A30,'BU Raw Before'!A:H,1,FALSE)=$A30,VLOOKUP($A30,'BU Raw Before'!A:H,8,FALSE),0),0)</f>
        <v>0</v>
      </c>
      <c r="R30" s="6">
        <f>_xlfn.IFNA(IF(VLOOKUP($A30,'BU Raw After'!A:H,1,FALSE)=$A30,VLOOKUP($A30,'BU Raw After'!A:H,8,FALSE),0),0)</f>
        <v>0</v>
      </c>
      <c r="S30" s="6">
        <f t="shared" si="6"/>
        <v>0</v>
      </c>
      <c r="T30" s="7">
        <f t="shared" si="7"/>
        <v>0</v>
      </c>
    </row>
    <row r="31" spans="1:20" ht="15" x14ac:dyDescent="0.25">
      <c r="A31" t="s">
        <v>44</v>
      </c>
      <c r="B31" t="s">
        <v>5</v>
      </c>
      <c r="C31" t="s">
        <v>41</v>
      </c>
      <c r="D31" t="s">
        <v>13</v>
      </c>
      <c r="E31" s="6">
        <f>_xlfn.IFNA(IF(VLOOKUP($A31,'BU Raw Before'!A:H,1,FALSE)=$A31,VLOOKUP($A31,'BU Raw Before'!A:H,5,FALSE),0),0)</f>
        <v>0</v>
      </c>
      <c r="F31" s="6">
        <f>_xlfn.IFNA(IF(VLOOKUP($A31,'BU Raw After'!A:H,1,FALSE)=$A31,VLOOKUP($A31,'BU Raw After'!A:H,5,FALSE),0),0)</f>
        <v>0</v>
      </c>
      <c r="G31" s="6">
        <f t="shared" si="0"/>
        <v>0</v>
      </c>
      <c r="H31" s="7">
        <f t="shared" si="1"/>
        <v>0</v>
      </c>
      <c r="I31" s="6">
        <f>_xlfn.IFNA(IF(VLOOKUP($A31,'BU Raw Before'!A:H,1,FALSE)=$A31,VLOOKUP($A31,'BU Raw Before'!A:H,6,FALSE),0),0)</f>
        <v>0</v>
      </c>
      <c r="J31" s="6">
        <f>_xlfn.IFNA(IF(VLOOKUP($A31,'BU Raw After'!A:H,1,FALSE)=$A31,VLOOKUP($A31,'BU Raw After'!A:H,6,FALSE),0),0)</f>
        <v>0</v>
      </c>
      <c r="K31" s="6">
        <f t="shared" si="2"/>
        <v>0</v>
      </c>
      <c r="L31" s="7">
        <f t="shared" si="3"/>
        <v>0</v>
      </c>
      <c r="M31" s="6">
        <f>_xlfn.IFNA(IF(VLOOKUP($A31,'BU Raw Before'!A:H,1,FALSE)=$A31,VLOOKUP($A31,'BU Raw Before'!A:H,7,FALSE),0),0)</f>
        <v>0</v>
      </c>
      <c r="N31" s="6">
        <f>_xlfn.IFNA(IF(VLOOKUP($A31,'BU Raw After'!A:H,1,FALSE)=$A31,VLOOKUP($A31,'BU Raw After'!A:H,7,FALSE),0),0)</f>
        <v>0</v>
      </c>
      <c r="O31" s="6">
        <f t="shared" si="4"/>
        <v>0</v>
      </c>
      <c r="P31" s="7">
        <f t="shared" si="5"/>
        <v>0</v>
      </c>
      <c r="Q31" s="6">
        <f>_xlfn.IFNA(IF(VLOOKUP($A31,'BU Raw Before'!A:H,1,FALSE)=$A31,VLOOKUP($A31,'BU Raw Before'!A:H,8,FALSE),0),0)</f>
        <v>0</v>
      </c>
      <c r="R31" s="6">
        <f>_xlfn.IFNA(IF(VLOOKUP($A31,'BU Raw After'!A:H,1,FALSE)=$A31,VLOOKUP($A31,'BU Raw After'!A:H,8,FALSE),0),0)</f>
        <v>0</v>
      </c>
      <c r="S31" s="6">
        <f t="shared" si="6"/>
        <v>0</v>
      </c>
      <c r="T31" s="7">
        <f t="shared" si="7"/>
        <v>0</v>
      </c>
    </row>
    <row r="32" spans="1:20" ht="15" x14ac:dyDescent="0.25">
      <c r="A32" t="s">
        <v>45</v>
      </c>
      <c r="B32" t="s">
        <v>5</v>
      </c>
      <c r="C32" t="s">
        <v>41</v>
      </c>
      <c r="D32" t="s">
        <v>15</v>
      </c>
      <c r="E32" s="6">
        <f>_xlfn.IFNA(IF(VLOOKUP($A32,'BU Raw Before'!A:H,1,FALSE)=$A32,VLOOKUP($A32,'BU Raw Before'!A:H,5,FALSE),0),0)</f>
        <v>0</v>
      </c>
      <c r="F32" s="6">
        <f>_xlfn.IFNA(IF(VLOOKUP($A32,'BU Raw After'!A:H,1,FALSE)=$A32,VLOOKUP($A32,'BU Raw After'!A:H,5,FALSE),0),0)</f>
        <v>0</v>
      </c>
      <c r="G32" s="6">
        <f t="shared" si="0"/>
        <v>0</v>
      </c>
      <c r="H32" s="7">
        <f t="shared" si="1"/>
        <v>0</v>
      </c>
      <c r="I32" s="6">
        <f>_xlfn.IFNA(IF(VLOOKUP($A32,'BU Raw Before'!A:H,1,FALSE)=$A32,VLOOKUP($A32,'BU Raw Before'!A:H,6,FALSE),0),0)</f>
        <v>0</v>
      </c>
      <c r="J32" s="6">
        <f>_xlfn.IFNA(IF(VLOOKUP($A32,'BU Raw After'!A:H,1,FALSE)=$A32,VLOOKUP($A32,'BU Raw After'!A:H,6,FALSE),0),0)</f>
        <v>0</v>
      </c>
      <c r="K32" s="6">
        <f t="shared" si="2"/>
        <v>0</v>
      </c>
      <c r="L32" s="7">
        <f t="shared" si="3"/>
        <v>0</v>
      </c>
      <c r="M32" s="6">
        <f>_xlfn.IFNA(IF(VLOOKUP($A32,'BU Raw Before'!A:H,1,FALSE)=$A32,VLOOKUP($A32,'BU Raw Before'!A:H,7,FALSE),0),0)</f>
        <v>0</v>
      </c>
      <c r="N32" s="6">
        <f>_xlfn.IFNA(IF(VLOOKUP($A32,'BU Raw After'!A:H,1,FALSE)=$A32,VLOOKUP($A32,'BU Raw After'!A:H,7,FALSE),0),0)</f>
        <v>0</v>
      </c>
      <c r="O32" s="6">
        <f t="shared" si="4"/>
        <v>0</v>
      </c>
      <c r="P32" s="7">
        <f t="shared" si="5"/>
        <v>0</v>
      </c>
      <c r="Q32" s="6">
        <f>_xlfn.IFNA(IF(VLOOKUP($A32,'BU Raw Before'!A:H,1,FALSE)=$A32,VLOOKUP($A32,'BU Raw Before'!A:H,8,FALSE),0),0)</f>
        <v>0</v>
      </c>
      <c r="R32" s="6">
        <f>_xlfn.IFNA(IF(VLOOKUP($A32,'BU Raw After'!A:H,1,FALSE)=$A32,VLOOKUP($A32,'BU Raw After'!A:H,8,FALSE),0),0)</f>
        <v>0</v>
      </c>
      <c r="S32" s="6">
        <f t="shared" si="6"/>
        <v>0</v>
      </c>
      <c r="T32" s="7">
        <f t="shared" si="7"/>
        <v>0</v>
      </c>
    </row>
    <row r="33" spans="1:20" ht="15" x14ac:dyDescent="0.25">
      <c r="A33" t="s">
        <v>46</v>
      </c>
      <c r="B33" t="s">
        <v>5</v>
      </c>
      <c r="C33" t="s">
        <v>41</v>
      </c>
      <c r="D33" t="s">
        <v>17</v>
      </c>
      <c r="E33" s="6">
        <f>_xlfn.IFNA(IF(VLOOKUP($A33,'BU Raw Before'!A:H,1,FALSE)=$A33,VLOOKUP($A33,'BU Raw Before'!A:H,5,FALSE),0),0)</f>
        <v>0</v>
      </c>
      <c r="F33" s="6">
        <f>_xlfn.IFNA(IF(VLOOKUP($A33,'BU Raw After'!A:H,1,FALSE)=$A33,VLOOKUP($A33,'BU Raw After'!A:H,5,FALSE),0),0)</f>
        <v>0</v>
      </c>
      <c r="G33" s="6">
        <f t="shared" si="0"/>
        <v>0</v>
      </c>
      <c r="H33" s="7">
        <f t="shared" si="1"/>
        <v>0</v>
      </c>
      <c r="I33" s="6">
        <f>_xlfn.IFNA(IF(VLOOKUP($A33,'BU Raw Before'!A:H,1,FALSE)=$A33,VLOOKUP($A33,'BU Raw Before'!A:H,6,FALSE),0),0)</f>
        <v>0</v>
      </c>
      <c r="J33" s="6">
        <f>_xlfn.IFNA(IF(VLOOKUP($A33,'BU Raw After'!A:H,1,FALSE)=$A33,VLOOKUP($A33,'BU Raw After'!A:H,6,FALSE),0),0)</f>
        <v>0</v>
      </c>
      <c r="K33" s="6">
        <f t="shared" si="2"/>
        <v>0</v>
      </c>
      <c r="L33" s="7">
        <f t="shared" si="3"/>
        <v>0</v>
      </c>
      <c r="M33" s="6">
        <f>_xlfn.IFNA(IF(VLOOKUP($A33,'BU Raw Before'!A:H,1,FALSE)=$A33,VLOOKUP($A33,'BU Raw Before'!A:H,7,FALSE),0),0)</f>
        <v>0</v>
      </c>
      <c r="N33" s="6">
        <f>_xlfn.IFNA(IF(VLOOKUP($A33,'BU Raw After'!A:H,1,FALSE)=$A33,VLOOKUP($A33,'BU Raw After'!A:H,7,FALSE),0),0)</f>
        <v>0</v>
      </c>
      <c r="O33" s="6">
        <f t="shared" si="4"/>
        <v>0</v>
      </c>
      <c r="P33" s="7">
        <f t="shared" si="5"/>
        <v>0</v>
      </c>
      <c r="Q33" s="6">
        <f>_xlfn.IFNA(IF(VLOOKUP($A33,'BU Raw Before'!A:H,1,FALSE)=$A33,VLOOKUP($A33,'BU Raw Before'!A:H,8,FALSE),0),0)</f>
        <v>0</v>
      </c>
      <c r="R33" s="6">
        <f>_xlfn.IFNA(IF(VLOOKUP($A33,'BU Raw After'!A:H,1,FALSE)=$A33,VLOOKUP($A33,'BU Raw After'!A:H,8,FALSE),0),0)</f>
        <v>0</v>
      </c>
      <c r="S33" s="6">
        <f t="shared" si="6"/>
        <v>0</v>
      </c>
      <c r="T33" s="7">
        <f t="shared" si="7"/>
        <v>0</v>
      </c>
    </row>
    <row r="34" spans="1:20" ht="15" x14ac:dyDescent="0.25">
      <c r="A34" t="s">
        <v>47</v>
      </c>
      <c r="B34" t="s">
        <v>5</v>
      </c>
      <c r="C34" t="s">
        <v>41</v>
      </c>
      <c r="D34" t="s">
        <v>19</v>
      </c>
      <c r="E34" s="6">
        <f>_xlfn.IFNA(IF(VLOOKUP($A34,'BU Raw Before'!A:H,1,FALSE)=$A34,VLOOKUP($A34,'BU Raw Before'!A:H,5,FALSE),0),0)</f>
        <v>0</v>
      </c>
      <c r="F34" s="6">
        <f>_xlfn.IFNA(IF(VLOOKUP($A34,'BU Raw After'!A:H,1,FALSE)=$A34,VLOOKUP($A34,'BU Raw After'!A:H,5,FALSE),0),0)</f>
        <v>0</v>
      </c>
      <c r="G34" s="6">
        <f t="shared" si="0"/>
        <v>0</v>
      </c>
      <c r="H34" s="7">
        <f t="shared" si="1"/>
        <v>0</v>
      </c>
      <c r="I34" s="6">
        <f>_xlfn.IFNA(IF(VLOOKUP($A34,'BU Raw Before'!A:H,1,FALSE)=$A34,VLOOKUP($A34,'BU Raw Before'!A:H,6,FALSE),0),0)</f>
        <v>0</v>
      </c>
      <c r="J34" s="6">
        <f>_xlfn.IFNA(IF(VLOOKUP($A34,'BU Raw After'!A:H,1,FALSE)=$A34,VLOOKUP($A34,'BU Raw After'!A:H,6,FALSE),0),0)</f>
        <v>0</v>
      </c>
      <c r="K34" s="6">
        <f t="shared" si="2"/>
        <v>0</v>
      </c>
      <c r="L34" s="7">
        <f t="shared" si="3"/>
        <v>0</v>
      </c>
      <c r="M34" s="6">
        <f>_xlfn.IFNA(IF(VLOOKUP($A34,'BU Raw Before'!A:H,1,FALSE)=$A34,VLOOKUP($A34,'BU Raw Before'!A:H,7,FALSE),0),0)</f>
        <v>0</v>
      </c>
      <c r="N34" s="6">
        <f>_xlfn.IFNA(IF(VLOOKUP($A34,'BU Raw After'!A:H,1,FALSE)=$A34,VLOOKUP($A34,'BU Raw After'!A:H,7,FALSE),0),0)</f>
        <v>0</v>
      </c>
      <c r="O34" s="6">
        <f t="shared" si="4"/>
        <v>0</v>
      </c>
      <c r="P34" s="7">
        <f t="shared" si="5"/>
        <v>0</v>
      </c>
      <c r="Q34" s="6">
        <f>_xlfn.IFNA(IF(VLOOKUP($A34,'BU Raw Before'!A:H,1,FALSE)=$A34,VLOOKUP($A34,'BU Raw Before'!A:H,8,FALSE),0),0)</f>
        <v>0</v>
      </c>
      <c r="R34" s="6">
        <f>_xlfn.IFNA(IF(VLOOKUP($A34,'BU Raw After'!A:H,1,FALSE)=$A34,VLOOKUP($A34,'BU Raw After'!A:H,8,FALSE),0),0)</f>
        <v>0</v>
      </c>
      <c r="S34" s="6">
        <f t="shared" si="6"/>
        <v>0</v>
      </c>
      <c r="T34" s="7">
        <f t="shared" si="7"/>
        <v>0</v>
      </c>
    </row>
    <row r="35" spans="1:20" ht="15" x14ac:dyDescent="0.25">
      <c r="A35" t="s">
        <v>48</v>
      </c>
      <c r="B35" t="s">
        <v>5</v>
      </c>
      <c r="C35" t="s">
        <v>41</v>
      </c>
      <c r="D35" t="s">
        <v>21</v>
      </c>
      <c r="E35" s="6">
        <f>_xlfn.IFNA(IF(VLOOKUP($A35,'BU Raw Before'!A:H,1,FALSE)=$A35,VLOOKUP($A35,'BU Raw Before'!A:H,5,FALSE),0),0)</f>
        <v>0</v>
      </c>
      <c r="F35" s="6">
        <f>_xlfn.IFNA(IF(VLOOKUP($A35,'BU Raw After'!A:H,1,FALSE)=$A35,VLOOKUP($A35,'BU Raw After'!A:H,5,FALSE),0),0)</f>
        <v>0</v>
      </c>
      <c r="G35" s="6">
        <f t="shared" si="0"/>
        <v>0</v>
      </c>
      <c r="H35" s="7">
        <f t="shared" si="1"/>
        <v>0</v>
      </c>
      <c r="I35" s="6">
        <f>_xlfn.IFNA(IF(VLOOKUP($A35,'BU Raw Before'!A:H,1,FALSE)=$A35,VLOOKUP($A35,'BU Raw Before'!A:H,6,FALSE),0),0)</f>
        <v>0</v>
      </c>
      <c r="J35" s="6">
        <f>_xlfn.IFNA(IF(VLOOKUP($A35,'BU Raw After'!A:H,1,FALSE)=$A35,VLOOKUP($A35,'BU Raw After'!A:H,6,FALSE),0),0)</f>
        <v>0</v>
      </c>
      <c r="K35" s="6">
        <f t="shared" si="2"/>
        <v>0</v>
      </c>
      <c r="L35" s="7">
        <f t="shared" si="3"/>
        <v>0</v>
      </c>
      <c r="M35" s="6">
        <f>_xlfn.IFNA(IF(VLOOKUP($A35,'BU Raw Before'!A:H,1,FALSE)=$A35,VLOOKUP($A35,'BU Raw Before'!A:H,7,FALSE),0),0)</f>
        <v>0</v>
      </c>
      <c r="N35" s="6">
        <f>_xlfn.IFNA(IF(VLOOKUP($A35,'BU Raw After'!A:H,1,FALSE)=$A35,VLOOKUP($A35,'BU Raw After'!A:H,7,FALSE),0),0)</f>
        <v>0</v>
      </c>
      <c r="O35" s="6">
        <f t="shared" si="4"/>
        <v>0</v>
      </c>
      <c r="P35" s="7">
        <f t="shared" si="5"/>
        <v>0</v>
      </c>
      <c r="Q35" s="6">
        <f>_xlfn.IFNA(IF(VLOOKUP($A35,'BU Raw Before'!A:H,1,FALSE)=$A35,VLOOKUP($A35,'BU Raw Before'!A:H,8,FALSE),0),0)</f>
        <v>0</v>
      </c>
      <c r="R35" s="6">
        <f>_xlfn.IFNA(IF(VLOOKUP($A35,'BU Raw After'!A:H,1,FALSE)=$A35,VLOOKUP($A35,'BU Raw After'!A:H,8,FALSE),0),0)</f>
        <v>0</v>
      </c>
      <c r="S35" s="6">
        <f t="shared" si="6"/>
        <v>0</v>
      </c>
      <c r="T35" s="7">
        <f t="shared" si="7"/>
        <v>0</v>
      </c>
    </row>
    <row r="36" spans="1:20" ht="15" x14ac:dyDescent="0.25">
      <c r="A36" t="s">
        <v>344</v>
      </c>
      <c r="B36" t="s">
        <v>5</v>
      </c>
      <c r="C36" t="s">
        <v>286</v>
      </c>
      <c r="D36" t="s">
        <v>7</v>
      </c>
      <c r="E36" s="6">
        <f>_xlfn.IFNA(IF(VLOOKUP($A36,'BU Raw Before'!A:H,1,FALSE)=$A36,VLOOKUP($A36,'BU Raw Before'!A:H,5,FALSE),0),0)</f>
        <v>0</v>
      </c>
      <c r="F36" s="6">
        <f>_xlfn.IFNA(IF(VLOOKUP($A36,'BU Raw After'!A:H,1,FALSE)=$A36,VLOOKUP($A36,'BU Raw After'!A:H,5,FALSE),0),0)</f>
        <v>0</v>
      </c>
      <c r="G36" s="6">
        <f t="shared" si="0"/>
        <v>0</v>
      </c>
      <c r="H36" s="7">
        <f t="shared" si="1"/>
        <v>0</v>
      </c>
      <c r="I36" s="6">
        <f>_xlfn.IFNA(IF(VLOOKUP($A36,'BU Raw Before'!A:H,1,FALSE)=$A36,VLOOKUP($A36,'BU Raw Before'!A:H,6,FALSE),0),0)</f>
        <v>0</v>
      </c>
      <c r="J36" s="6">
        <f>_xlfn.IFNA(IF(VLOOKUP($A36,'BU Raw After'!A:H,1,FALSE)=$A36,VLOOKUP($A36,'BU Raw After'!A:H,6,FALSE),0),0)</f>
        <v>0</v>
      </c>
      <c r="K36" s="6">
        <f t="shared" si="2"/>
        <v>0</v>
      </c>
      <c r="L36" s="7">
        <f t="shared" si="3"/>
        <v>0</v>
      </c>
      <c r="M36" s="6">
        <f>_xlfn.IFNA(IF(VLOOKUP($A36,'BU Raw Before'!A:H,1,FALSE)=$A36,VLOOKUP($A36,'BU Raw Before'!A:H,7,FALSE),0),0)</f>
        <v>0</v>
      </c>
      <c r="N36" s="6">
        <f>_xlfn.IFNA(IF(VLOOKUP($A36,'BU Raw After'!A:H,1,FALSE)=$A36,VLOOKUP($A36,'BU Raw After'!A:H,7,FALSE),0),0)</f>
        <v>0</v>
      </c>
      <c r="O36" s="6">
        <f t="shared" si="4"/>
        <v>0</v>
      </c>
      <c r="P36" s="7">
        <f t="shared" si="5"/>
        <v>0</v>
      </c>
      <c r="Q36" s="6">
        <f>_xlfn.IFNA(IF(VLOOKUP($A36,'BU Raw Before'!A:H,1,FALSE)=$A36,VLOOKUP($A36,'BU Raw Before'!A:H,8,FALSE),0),0)</f>
        <v>0</v>
      </c>
      <c r="R36" s="6">
        <f>_xlfn.IFNA(IF(VLOOKUP($A36,'BU Raw After'!A:H,1,FALSE)=$A36,VLOOKUP($A36,'BU Raw After'!A:H,8,FALSE),0),0)</f>
        <v>0</v>
      </c>
      <c r="S36" s="6">
        <f t="shared" si="6"/>
        <v>0</v>
      </c>
      <c r="T36" s="7">
        <f t="shared" si="7"/>
        <v>0</v>
      </c>
    </row>
    <row r="37" spans="1:20" ht="15" x14ac:dyDescent="0.25">
      <c r="A37" t="s">
        <v>345</v>
      </c>
      <c r="B37" t="s">
        <v>5</v>
      </c>
      <c r="C37" t="s">
        <v>286</v>
      </c>
      <c r="D37" t="s">
        <v>9</v>
      </c>
      <c r="E37" s="6">
        <f>_xlfn.IFNA(IF(VLOOKUP($A37,'BU Raw Before'!A:H,1,FALSE)=$A37,VLOOKUP($A37,'BU Raw Before'!A:H,5,FALSE),0),0)</f>
        <v>0</v>
      </c>
      <c r="F37" s="6">
        <f>_xlfn.IFNA(IF(VLOOKUP($A37,'BU Raw After'!A:H,1,FALSE)=$A37,VLOOKUP($A37,'BU Raw After'!A:H,5,FALSE),0),0)</f>
        <v>0</v>
      </c>
      <c r="G37" s="6">
        <f t="shared" si="0"/>
        <v>0</v>
      </c>
      <c r="H37" s="7">
        <f t="shared" si="1"/>
        <v>0</v>
      </c>
      <c r="I37" s="6">
        <f>_xlfn.IFNA(IF(VLOOKUP($A37,'BU Raw Before'!A:H,1,FALSE)=$A37,VLOOKUP($A37,'BU Raw Before'!A:H,6,FALSE),0),0)</f>
        <v>0</v>
      </c>
      <c r="J37" s="6">
        <f>_xlfn.IFNA(IF(VLOOKUP($A37,'BU Raw After'!A:H,1,FALSE)=$A37,VLOOKUP($A37,'BU Raw After'!A:H,6,FALSE),0),0)</f>
        <v>0</v>
      </c>
      <c r="K37" s="6">
        <f t="shared" si="2"/>
        <v>0</v>
      </c>
      <c r="L37" s="7">
        <f t="shared" si="3"/>
        <v>0</v>
      </c>
      <c r="M37" s="6">
        <f>_xlfn.IFNA(IF(VLOOKUP($A37,'BU Raw Before'!A:H,1,FALSE)=$A37,VLOOKUP($A37,'BU Raw Before'!A:H,7,FALSE),0),0)</f>
        <v>0</v>
      </c>
      <c r="N37" s="6">
        <f>_xlfn.IFNA(IF(VLOOKUP($A37,'BU Raw After'!A:H,1,FALSE)=$A37,VLOOKUP($A37,'BU Raw After'!A:H,7,FALSE),0),0)</f>
        <v>0</v>
      </c>
      <c r="O37" s="6">
        <f t="shared" si="4"/>
        <v>0</v>
      </c>
      <c r="P37" s="7">
        <f t="shared" si="5"/>
        <v>0</v>
      </c>
      <c r="Q37" s="6">
        <f>_xlfn.IFNA(IF(VLOOKUP($A37,'BU Raw Before'!A:H,1,FALSE)=$A37,VLOOKUP($A37,'BU Raw Before'!A:H,8,FALSE),0),0)</f>
        <v>0</v>
      </c>
      <c r="R37" s="6">
        <f>_xlfn.IFNA(IF(VLOOKUP($A37,'BU Raw After'!A:H,1,FALSE)=$A37,VLOOKUP($A37,'BU Raw After'!A:H,8,FALSE),0),0)</f>
        <v>0</v>
      </c>
      <c r="S37" s="6">
        <f t="shared" si="6"/>
        <v>0</v>
      </c>
      <c r="T37" s="7">
        <f t="shared" si="7"/>
        <v>0</v>
      </c>
    </row>
    <row r="38" spans="1:20" ht="15" x14ac:dyDescent="0.25">
      <c r="A38" t="s">
        <v>346</v>
      </c>
      <c r="B38" t="s">
        <v>5</v>
      </c>
      <c r="C38" t="s">
        <v>286</v>
      </c>
      <c r="D38" t="s">
        <v>11</v>
      </c>
      <c r="E38" s="6">
        <f>_xlfn.IFNA(IF(VLOOKUP($A38,'BU Raw Before'!A:H,1,FALSE)=$A38,VLOOKUP($A38,'BU Raw Before'!A:H,5,FALSE),0),0)</f>
        <v>0</v>
      </c>
      <c r="F38" s="6">
        <f>_xlfn.IFNA(IF(VLOOKUP($A38,'BU Raw After'!A:H,1,FALSE)=$A38,VLOOKUP($A38,'BU Raw After'!A:H,5,FALSE),0),0)</f>
        <v>0</v>
      </c>
      <c r="G38" s="6">
        <f t="shared" si="0"/>
        <v>0</v>
      </c>
      <c r="H38" s="7">
        <f t="shared" si="1"/>
        <v>0</v>
      </c>
      <c r="I38" s="6">
        <f>_xlfn.IFNA(IF(VLOOKUP($A38,'BU Raw Before'!A:H,1,FALSE)=$A38,VLOOKUP($A38,'BU Raw Before'!A:H,6,FALSE),0),0)</f>
        <v>0</v>
      </c>
      <c r="J38" s="6">
        <f>_xlfn.IFNA(IF(VLOOKUP($A38,'BU Raw After'!A:H,1,FALSE)=$A38,VLOOKUP($A38,'BU Raw After'!A:H,6,FALSE),0),0)</f>
        <v>0</v>
      </c>
      <c r="K38" s="6">
        <f t="shared" si="2"/>
        <v>0</v>
      </c>
      <c r="L38" s="7">
        <f t="shared" si="3"/>
        <v>0</v>
      </c>
      <c r="M38" s="6">
        <f>_xlfn.IFNA(IF(VLOOKUP($A38,'BU Raw Before'!A:H,1,FALSE)=$A38,VLOOKUP($A38,'BU Raw Before'!A:H,7,FALSE),0),0)</f>
        <v>0</v>
      </c>
      <c r="N38" s="6">
        <f>_xlfn.IFNA(IF(VLOOKUP($A38,'BU Raw After'!A:H,1,FALSE)=$A38,VLOOKUP($A38,'BU Raw After'!A:H,7,FALSE),0),0)</f>
        <v>0</v>
      </c>
      <c r="O38" s="6">
        <f t="shared" si="4"/>
        <v>0</v>
      </c>
      <c r="P38" s="7">
        <f t="shared" si="5"/>
        <v>0</v>
      </c>
      <c r="Q38" s="6">
        <f>_xlfn.IFNA(IF(VLOOKUP($A38,'BU Raw Before'!A:H,1,FALSE)=$A38,VLOOKUP($A38,'BU Raw Before'!A:H,8,FALSE),0),0)</f>
        <v>0</v>
      </c>
      <c r="R38" s="6">
        <f>_xlfn.IFNA(IF(VLOOKUP($A38,'BU Raw After'!A:H,1,FALSE)=$A38,VLOOKUP($A38,'BU Raw After'!A:H,8,FALSE),0),0)</f>
        <v>0</v>
      </c>
      <c r="S38" s="6">
        <f t="shared" si="6"/>
        <v>0</v>
      </c>
      <c r="T38" s="7">
        <f t="shared" si="7"/>
        <v>0</v>
      </c>
    </row>
    <row r="39" spans="1:20" ht="15" x14ac:dyDescent="0.25">
      <c r="A39" t="s">
        <v>347</v>
      </c>
      <c r="B39" t="s">
        <v>5</v>
      </c>
      <c r="C39" t="s">
        <v>286</v>
      </c>
      <c r="D39" t="s">
        <v>13</v>
      </c>
      <c r="E39" s="6">
        <f>_xlfn.IFNA(IF(VLOOKUP($A39,'BU Raw Before'!A:H,1,FALSE)=$A39,VLOOKUP($A39,'BU Raw Before'!A:H,5,FALSE),0),0)</f>
        <v>0</v>
      </c>
      <c r="F39" s="6">
        <f>_xlfn.IFNA(IF(VLOOKUP($A39,'BU Raw After'!A:H,1,FALSE)=$A39,VLOOKUP($A39,'BU Raw After'!A:H,5,FALSE),0),0)</f>
        <v>0</v>
      </c>
      <c r="G39" s="6">
        <f t="shared" si="0"/>
        <v>0</v>
      </c>
      <c r="H39" s="7">
        <f t="shared" si="1"/>
        <v>0</v>
      </c>
      <c r="I39" s="6">
        <f>_xlfn.IFNA(IF(VLOOKUP($A39,'BU Raw Before'!A:H,1,FALSE)=$A39,VLOOKUP($A39,'BU Raw Before'!A:H,6,FALSE),0),0)</f>
        <v>0</v>
      </c>
      <c r="J39" s="6">
        <f>_xlfn.IFNA(IF(VLOOKUP($A39,'BU Raw After'!A:H,1,FALSE)=$A39,VLOOKUP($A39,'BU Raw After'!A:H,6,FALSE),0),0)</f>
        <v>0</v>
      </c>
      <c r="K39" s="6">
        <f t="shared" si="2"/>
        <v>0</v>
      </c>
      <c r="L39" s="7">
        <f t="shared" si="3"/>
        <v>0</v>
      </c>
      <c r="M39" s="6">
        <f>_xlfn.IFNA(IF(VLOOKUP($A39,'BU Raw Before'!A:H,1,FALSE)=$A39,VLOOKUP($A39,'BU Raw Before'!A:H,7,FALSE),0),0)</f>
        <v>0</v>
      </c>
      <c r="N39" s="6">
        <f>_xlfn.IFNA(IF(VLOOKUP($A39,'BU Raw After'!A:H,1,FALSE)=$A39,VLOOKUP($A39,'BU Raw After'!A:H,7,FALSE),0),0)</f>
        <v>0</v>
      </c>
      <c r="O39" s="6">
        <f t="shared" si="4"/>
        <v>0</v>
      </c>
      <c r="P39" s="7">
        <f t="shared" si="5"/>
        <v>0</v>
      </c>
      <c r="Q39" s="6">
        <f>_xlfn.IFNA(IF(VLOOKUP($A39,'BU Raw Before'!A:H,1,FALSE)=$A39,VLOOKUP($A39,'BU Raw Before'!A:H,8,FALSE),0),0)</f>
        <v>0</v>
      </c>
      <c r="R39" s="6">
        <f>_xlfn.IFNA(IF(VLOOKUP($A39,'BU Raw After'!A:H,1,FALSE)=$A39,VLOOKUP($A39,'BU Raw After'!A:H,8,FALSE),0),0)</f>
        <v>0</v>
      </c>
      <c r="S39" s="6">
        <f t="shared" si="6"/>
        <v>0</v>
      </c>
      <c r="T39" s="7">
        <f t="shared" si="7"/>
        <v>0</v>
      </c>
    </row>
    <row r="40" spans="1:20" ht="15" x14ac:dyDescent="0.25">
      <c r="A40" t="s">
        <v>348</v>
      </c>
      <c r="B40" t="s">
        <v>5</v>
      </c>
      <c r="C40" t="s">
        <v>286</v>
      </c>
      <c r="D40" t="s">
        <v>15</v>
      </c>
      <c r="E40" s="6">
        <f>_xlfn.IFNA(IF(VLOOKUP($A40,'BU Raw Before'!A:H,1,FALSE)=$A40,VLOOKUP($A40,'BU Raw Before'!A:H,5,FALSE),0),0)</f>
        <v>0</v>
      </c>
      <c r="F40" s="6">
        <f>_xlfn.IFNA(IF(VLOOKUP($A40,'BU Raw After'!A:H,1,FALSE)=$A40,VLOOKUP($A40,'BU Raw After'!A:H,5,FALSE),0),0)</f>
        <v>0</v>
      </c>
      <c r="G40" s="6">
        <f t="shared" si="0"/>
        <v>0</v>
      </c>
      <c r="H40" s="7">
        <f t="shared" si="1"/>
        <v>0</v>
      </c>
      <c r="I40" s="6">
        <f>_xlfn.IFNA(IF(VLOOKUP($A40,'BU Raw Before'!A:H,1,FALSE)=$A40,VLOOKUP($A40,'BU Raw Before'!A:H,6,FALSE),0),0)</f>
        <v>0</v>
      </c>
      <c r="J40" s="6">
        <f>_xlfn.IFNA(IF(VLOOKUP($A40,'BU Raw After'!A:H,1,FALSE)=$A40,VLOOKUP($A40,'BU Raw After'!A:H,6,FALSE),0),0)</f>
        <v>0</v>
      </c>
      <c r="K40" s="6">
        <f t="shared" si="2"/>
        <v>0</v>
      </c>
      <c r="L40" s="7">
        <f t="shared" si="3"/>
        <v>0</v>
      </c>
      <c r="M40" s="6">
        <f>_xlfn.IFNA(IF(VLOOKUP($A40,'BU Raw Before'!A:H,1,FALSE)=$A40,VLOOKUP($A40,'BU Raw Before'!A:H,7,FALSE),0),0)</f>
        <v>0</v>
      </c>
      <c r="N40" s="6">
        <f>_xlfn.IFNA(IF(VLOOKUP($A40,'BU Raw After'!A:H,1,FALSE)=$A40,VLOOKUP($A40,'BU Raw After'!A:H,7,FALSE),0),0)</f>
        <v>0</v>
      </c>
      <c r="O40" s="6">
        <f t="shared" si="4"/>
        <v>0</v>
      </c>
      <c r="P40" s="7">
        <f t="shared" si="5"/>
        <v>0</v>
      </c>
      <c r="Q40" s="6">
        <f>_xlfn.IFNA(IF(VLOOKUP($A40,'BU Raw Before'!A:H,1,FALSE)=$A40,VLOOKUP($A40,'BU Raw Before'!A:H,8,FALSE),0),0)</f>
        <v>0</v>
      </c>
      <c r="R40" s="6">
        <f>_xlfn.IFNA(IF(VLOOKUP($A40,'BU Raw After'!A:H,1,FALSE)=$A40,VLOOKUP($A40,'BU Raw After'!A:H,8,FALSE),0),0)</f>
        <v>0</v>
      </c>
      <c r="S40" s="6">
        <f t="shared" si="6"/>
        <v>0</v>
      </c>
      <c r="T40" s="7">
        <f t="shared" si="7"/>
        <v>0</v>
      </c>
    </row>
    <row r="41" spans="1:20" ht="15" x14ac:dyDescent="0.25">
      <c r="A41" t="s">
        <v>349</v>
      </c>
      <c r="B41" t="s">
        <v>5</v>
      </c>
      <c r="C41" t="s">
        <v>286</v>
      </c>
      <c r="D41" t="s">
        <v>17</v>
      </c>
      <c r="E41" s="6">
        <f>_xlfn.IFNA(IF(VLOOKUP($A41,'BU Raw Before'!A:H,1,FALSE)=$A41,VLOOKUP($A41,'BU Raw Before'!A:H,5,FALSE),0),0)</f>
        <v>0</v>
      </c>
      <c r="F41" s="6">
        <f>_xlfn.IFNA(IF(VLOOKUP($A41,'BU Raw After'!A:H,1,FALSE)=$A41,VLOOKUP($A41,'BU Raw After'!A:H,5,FALSE),0),0)</f>
        <v>0</v>
      </c>
      <c r="G41" s="6">
        <f t="shared" si="0"/>
        <v>0</v>
      </c>
      <c r="H41" s="7">
        <f t="shared" si="1"/>
        <v>0</v>
      </c>
      <c r="I41" s="6">
        <f>_xlfn.IFNA(IF(VLOOKUP($A41,'BU Raw Before'!A:H,1,FALSE)=$A41,VLOOKUP($A41,'BU Raw Before'!A:H,6,FALSE),0),0)</f>
        <v>0</v>
      </c>
      <c r="J41" s="6">
        <f>_xlfn.IFNA(IF(VLOOKUP($A41,'BU Raw After'!A:H,1,FALSE)=$A41,VLOOKUP($A41,'BU Raw After'!A:H,6,FALSE),0),0)</f>
        <v>0</v>
      </c>
      <c r="K41" s="6">
        <f t="shared" si="2"/>
        <v>0</v>
      </c>
      <c r="L41" s="7">
        <f t="shared" si="3"/>
        <v>0</v>
      </c>
      <c r="M41" s="6">
        <f>_xlfn.IFNA(IF(VLOOKUP($A41,'BU Raw Before'!A:H,1,FALSE)=$A41,VLOOKUP($A41,'BU Raw Before'!A:H,7,FALSE),0),0)</f>
        <v>0</v>
      </c>
      <c r="N41" s="6">
        <f>_xlfn.IFNA(IF(VLOOKUP($A41,'BU Raw After'!A:H,1,FALSE)=$A41,VLOOKUP($A41,'BU Raw After'!A:H,7,FALSE),0),0)</f>
        <v>0</v>
      </c>
      <c r="O41" s="6">
        <f t="shared" si="4"/>
        <v>0</v>
      </c>
      <c r="P41" s="7">
        <f t="shared" si="5"/>
        <v>0</v>
      </c>
      <c r="Q41" s="6">
        <f>_xlfn.IFNA(IF(VLOOKUP($A41,'BU Raw Before'!A:H,1,FALSE)=$A41,VLOOKUP($A41,'BU Raw Before'!A:H,8,FALSE),0),0)</f>
        <v>0</v>
      </c>
      <c r="R41" s="6">
        <f>_xlfn.IFNA(IF(VLOOKUP($A41,'BU Raw After'!A:H,1,FALSE)=$A41,VLOOKUP($A41,'BU Raw After'!A:H,8,FALSE),0),0)</f>
        <v>0</v>
      </c>
      <c r="S41" s="6">
        <f t="shared" si="6"/>
        <v>0</v>
      </c>
      <c r="T41" s="7">
        <f t="shared" si="7"/>
        <v>0</v>
      </c>
    </row>
    <row r="42" spans="1:20" ht="15" x14ac:dyDescent="0.25">
      <c r="A42" t="s">
        <v>350</v>
      </c>
      <c r="B42" t="s">
        <v>5</v>
      </c>
      <c r="C42" t="s">
        <v>286</v>
      </c>
      <c r="D42" t="s">
        <v>19</v>
      </c>
      <c r="E42" s="6">
        <f>_xlfn.IFNA(IF(VLOOKUP($A42,'BU Raw Before'!A:H,1,FALSE)=$A42,VLOOKUP($A42,'BU Raw Before'!A:H,5,FALSE),0),0)</f>
        <v>0</v>
      </c>
      <c r="F42" s="6">
        <f>_xlfn.IFNA(IF(VLOOKUP($A42,'BU Raw After'!A:H,1,FALSE)=$A42,VLOOKUP($A42,'BU Raw After'!A:H,5,FALSE),0),0)</f>
        <v>0</v>
      </c>
      <c r="G42" s="6">
        <f t="shared" si="0"/>
        <v>0</v>
      </c>
      <c r="H42" s="7">
        <f t="shared" si="1"/>
        <v>0</v>
      </c>
      <c r="I42" s="6">
        <f>_xlfn.IFNA(IF(VLOOKUP($A42,'BU Raw Before'!A:H,1,FALSE)=$A42,VLOOKUP($A42,'BU Raw Before'!A:H,6,FALSE),0),0)</f>
        <v>0</v>
      </c>
      <c r="J42" s="6">
        <f>_xlfn.IFNA(IF(VLOOKUP($A42,'BU Raw After'!A:H,1,FALSE)=$A42,VLOOKUP($A42,'BU Raw After'!A:H,6,FALSE),0),0)</f>
        <v>0</v>
      </c>
      <c r="K42" s="6">
        <f t="shared" si="2"/>
        <v>0</v>
      </c>
      <c r="L42" s="7">
        <f t="shared" si="3"/>
        <v>0</v>
      </c>
      <c r="M42" s="6">
        <f>_xlfn.IFNA(IF(VLOOKUP($A42,'BU Raw Before'!A:H,1,FALSE)=$A42,VLOOKUP($A42,'BU Raw Before'!A:H,7,FALSE),0),0)</f>
        <v>0</v>
      </c>
      <c r="N42" s="6">
        <f>_xlfn.IFNA(IF(VLOOKUP($A42,'BU Raw After'!A:H,1,FALSE)=$A42,VLOOKUP($A42,'BU Raw After'!A:H,7,FALSE),0),0)</f>
        <v>0</v>
      </c>
      <c r="O42" s="6">
        <f t="shared" si="4"/>
        <v>0</v>
      </c>
      <c r="P42" s="7">
        <f t="shared" si="5"/>
        <v>0</v>
      </c>
      <c r="Q42" s="6">
        <f>_xlfn.IFNA(IF(VLOOKUP($A42,'BU Raw Before'!A:H,1,FALSE)=$A42,VLOOKUP($A42,'BU Raw Before'!A:H,8,FALSE),0),0)</f>
        <v>0</v>
      </c>
      <c r="R42" s="6">
        <f>_xlfn.IFNA(IF(VLOOKUP($A42,'BU Raw After'!A:H,1,FALSE)=$A42,VLOOKUP($A42,'BU Raw After'!A:H,8,FALSE),0),0)</f>
        <v>0</v>
      </c>
      <c r="S42" s="6">
        <f t="shared" si="6"/>
        <v>0</v>
      </c>
      <c r="T42" s="7">
        <f t="shared" si="7"/>
        <v>0</v>
      </c>
    </row>
    <row r="43" spans="1:20" ht="15" x14ac:dyDescent="0.25">
      <c r="A43" t="s">
        <v>351</v>
      </c>
      <c r="B43" t="s">
        <v>5</v>
      </c>
      <c r="C43" t="s">
        <v>286</v>
      </c>
      <c r="D43" t="s">
        <v>21</v>
      </c>
      <c r="E43" s="6">
        <f>_xlfn.IFNA(IF(VLOOKUP($A43,'BU Raw Before'!A:H,1,FALSE)=$A43,VLOOKUP($A43,'BU Raw Before'!A:H,5,FALSE),0),0)</f>
        <v>0</v>
      </c>
      <c r="F43" s="6">
        <f>_xlfn.IFNA(IF(VLOOKUP($A43,'BU Raw After'!A:H,1,FALSE)=$A43,VLOOKUP($A43,'BU Raw After'!A:H,5,FALSE),0),0)</f>
        <v>0</v>
      </c>
      <c r="G43" s="6">
        <f t="shared" si="0"/>
        <v>0</v>
      </c>
      <c r="H43" s="7">
        <f t="shared" si="1"/>
        <v>0</v>
      </c>
      <c r="I43" s="6">
        <f>_xlfn.IFNA(IF(VLOOKUP($A43,'BU Raw Before'!A:H,1,FALSE)=$A43,VLOOKUP($A43,'BU Raw Before'!A:H,6,FALSE),0),0)</f>
        <v>0</v>
      </c>
      <c r="J43" s="6">
        <f>_xlfn.IFNA(IF(VLOOKUP($A43,'BU Raw After'!A:H,1,FALSE)=$A43,VLOOKUP($A43,'BU Raw After'!A:H,6,FALSE),0),0)</f>
        <v>0</v>
      </c>
      <c r="K43" s="6">
        <f t="shared" si="2"/>
        <v>0</v>
      </c>
      <c r="L43" s="7">
        <f t="shared" si="3"/>
        <v>0</v>
      </c>
      <c r="M43" s="6">
        <f>_xlfn.IFNA(IF(VLOOKUP($A43,'BU Raw Before'!A:H,1,FALSE)=$A43,VLOOKUP($A43,'BU Raw Before'!A:H,7,FALSE),0),0)</f>
        <v>0</v>
      </c>
      <c r="N43" s="6">
        <f>_xlfn.IFNA(IF(VLOOKUP($A43,'BU Raw After'!A:H,1,FALSE)=$A43,VLOOKUP($A43,'BU Raw After'!A:H,7,FALSE),0),0)</f>
        <v>0</v>
      </c>
      <c r="O43" s="6">
        <f t="shared" si="4"/>
        <v>0</v>
      </c>
      <c r="P43" s="7">
        <f t="shared" si="5"/>
        <v>0</v>
      </c>
      <c r="Q43" s="6">
        <f>_xlfn.IFNA(IF(VLOOKUP($A43,'BU Raw Before'!A:H,1,FALSE)=$A43,VLOOKUP($A43,'BU Raw Before'!A:H,8,FALSE),0),0)</f>
        <v>0</v>
      </c>
      <c r="R43" s="6">
        <f>_xlfn.IFNA(IF(VLOOKUP($A43,'BU Raw After'!A:H,1,FALSE)=$A43,VLOOKUP($A43,'BU Raw After'!A:H,8,FALSE),0),0)</f>
        <v>0</v>
      </c>
      <c r="S43" s="6">
        <f t="shared" si="6"/>
        <v>0</v>
      </c>
      <c r="T43" s="7">
        <f t="shared" si="7"/>
        <v>0</v>
      </c>
    </row>
    <row r="44" spans="1:20" ht="15" x14ac:dyDescent="0.25">
      <c r="A44" t="s">
        <v>49</v>
      </c>
      <c r="B44" t="s">
        <v>50</v>
      </c>
      <c r="C44" t="s">
        <v>6</v>
      </c>
      <c r="D44" t="s">
        <v>7</v>
      </c>
      <c r="E44" s="6">
        <f>_xlfn.IFNA(IF(VLOOKUP($A44,'BU Raw Before'!A:H,1,FALSE)=$A44,VLOOKUP($A44,'BU Raw Before'!A:H,5,FALSE),0),0)</f>
        <v>5494538403.2799997</v>
      </c>
      <c r="F44" s="6">
        <f>_xlfn.IFNA(IF(VLOOKUP($A44,'BU Raw After'!A:H,1,FALSE)=$A44,VLOOKUP($A44,'BU Raw After'!A:H,5,FALSE),0),0)</f>
        <v>5030074469.71</v>
      </c>
      <c r="G44" s="6">
        <f t="shared" si="0"/>
        <v>-464463933.56999969</v>
      </c>
      <c r="H44" s="7">
        <f t="shared" si="1"/>
        <v>-9.2337387123570272E-2</v>
      </c>
      <c r="I44" s="6">
        <f>_xlfn.IFNA(IF(VLOOKUP($A44,'BU Raw Before'!A:H,1,FALSE)=$A44,VLOOKUP($A44,'BU Raw Before'!A:H,6,FALSE),0),0)</f>
        <v>16852</v>
      </c>
      <c r="J44" s="6">
        <f>_xlfn.IFNA(IF(VLOOKUP($A44,'BU Raw After'!A:H,1,FALSE)=$A44,VLOOKUP($A44,'BU Raw After'!A:H,6,FALSE),0),0)</f>
        <v>15681</v>
      </c>
      <c r="K44" s="6">
        <f t="shared" si="2"/>
        <v>-1171</v>
      </c>
      <c r="L44" s="7">
        <f t="shared" si="3"/>
        <v>-7.4676359926025129E-2</v>
      </c>
      <c r="M44" s="6">
        <f>_xlfn.IFNA(IF(VLOOKUP($A44,'BU Raw Before'!A:H,1,FALSE)=$A44,VLOOKUP($A44,'BU Raw Before'!A:H,7,FALSE),0),0)</f>
        <v>19809</v>
      </c>
      <c r="N44" s="6">
        <f>_xlfn.IFNA(IF(VLOOKUP($A44,'BU Raw After'!A:H,1,FALSE)=$A44,VLOOKUP($A44,'BU Raw After'!A:H,7,FALSE),0),0)</f>
        <v>18308</v>
      </c>
      <c r="O44" s="6">
        <f t="shared" si="4"/>
        <v>-1501</v>
      </c>
      <c r="P44" s="7">
        <f t="shared" si="5"/>
        <v>-8.1986017041730391E-2</v>
      </c>
      <c r="Q44" s="6">
        <f>_xlfn.IFNA(IF(VLOOKUP($A44,'BU Raw Before'!A:H,1,FALSE)=$A44,VLOOKUP($A44,'BU Raw Before'!A:H,8,FALSE),0),0)</f>
        <v>-28327250</v>
      </c>
      <c r="R44" s="6">
        <f>_xlfn.IFNA(IF(VLOOKUP($A44,'BU Raw After'!A:H,1,FALSE)=$A44,VLOOKUP($A44,'BU Raw After'!A:H,8,FALSE),0),0)</f>
        <v>-30592750</v>
      </c>
      <c r="S44" s="6">
        <f t="shared" si="6"/>
        <v>-2265500</v>
      </c>
      <c r="T44" s="7">
        <f t="shared" si="7"/>
        <v>7.4053493066167639E-2</v>
      </c>
    </row>
    <row r="45" spans="1:20" ht="15" x14ac:dyDescent="0.25">
      <c r="A45" t="s">
        <v>51</v>
      </c>
      <c r="B45" t="s">
        <v>50</v>
      </c>
      <c r="C45" t="s">
        <v>6</v>
      </c>
      <c r="D45" t="s">
        <v>9</v>
      </c>
      <c r="E45" s="6">
        <f>_xlfn.IFNA(IF(VLOOKUP($A45,'BU Raw Before'!A:H,1,FALSE)=$A45,VLOOKUP($A45,'BU Raw Before'!A:H,5,FALSE),0),0)</f>
        <v>344599169.98000002</v>
      </c>
      <c r="F45" s="6">
        <f>_xlfn.IFNA(IF(VLOOKUP($A45,'BU Raw After'!A:H,1,FALSE)=$A45,VLOOKUP($A45,'BU Raw After'!A:H,5,FALSE),0),0)</f>
        <v>274329840.58999997</v>
      </c>
      <c r="G45" s="6">
        <f t="shared" si="0"/>
        <v>-70269329.390000045</v>
      </c>
      <c r="H45" s="7">
        <f t="shared" si="1"/>
        <v>-0.25614905487085221</v>
      </c>
      <c r="I45" s="6">
        <f>_xlfn.IFNA(IF(VLOOKUP($A45,'BU Raw Before'!A:H,1,FALSE)=$A45,VLOOKUP($A45,'BU Raw Before'!A:H,6,FALSE),0),0)</f>
        <v>508</v>
      </c>
      <c r="J45" s="6">
        <f>_xlfn.IFNA(IF(VLOOKUP($A45,'BU Raw After'!A:H,1,FALSE)=$A45,VLOOKUP($A45,'BU Raw After'!A:H,6,FALSE),0),0)</f>
        <v>519</v>
      </c>
      <c r="K45" s="6">
        <f t="shared" si="2"/>
        <v>11</v>
      </c>
      <c r="L45" s="7">
        <f t="shared" si="3"/>
        <v>2.119460500963391E-2</v>
      </c>
      <c r="M45" s="6">
        <f>_xlfn.IFNA(IF(VLOOKUP($A45,'BU Raw Before'!A:H,1,FALSE)=$A45,VLOOKUP($A45,'BU Raw Before'!A:H,7,FALSE),0),0)</f>
        <v>819</v>
      </c>
      <c r="N45" s="6">
        <f>_xlfn.IFNA(IF(VLOOKUP($A45,'BU Raw After'!A:H,1,FALSE)=$A45,VLOOKUP($A45,'BU Raw After'!A:H,7,FALSE),0),0)</f>
        <v>848</v>
      </c>
      <c r="O45" s="6">
        <f t="shared" si="4"/>
        <v>29</v>
      </c>
      <c r="P45" s="7">
        <f t="shared" si="5"/>
        <v>3.4198113207547169E-2</v>
      </c>
      <c r="Q45" s="6">
        <f>_xlfn.IFNA(IF(VLOOKUP($A45,'BU Raw Before'!A:H,1,FALSE)=$A45,VLOOKUP($A45,'BU Raw Before'!A:H,8,FALSE),0),0)</f>
        <v>-5559750</v>
      </c>
      <c r="R45" s="6">
        <f>_xlfn.IFNA(IF(VLOOKUP($A45,'BU Raw After'!A:H,1,FALSE)=$A45,VLOOKUP($A45,'BU Raw After'!A:H,8,FALSE),0),0)</f>
        <v>-4491200</v>
      </c>
      <c r="S45" s="6">
        <f t="shared" si="6"/>
        <v>1068550</v>
      </c>
      <c r="T45" s="7">
        <f t="shared" si="7"/>
        <v>-0.23792082294264338</v>
      </c>
    </row>
    <row r="46" spans="1:20" ht="15" x14ac:dyDescent="0.25">
      <c r="A46" t="s">
        <v>52</v>
      </c>
      <c r="B46" t="s">
        <v>50</v>
      </c>
      <c r="C46" t="s">
        <v>6</v>
      </c>
      <c r="D46" t="s">
        <v>11</v>
      </c>
      <c r="E46" s="6">
        <f>_xlfn.IFNA(IF(VLOOKUP($A46,'BU Raw Before'!A:H,1,FALSE)=$A46,VLOOKUP($A46,'BU Raw Before'!A:H,5,FALSE),0),0)</f>
        <v>234768251.99000001</v>
      </c>
      <c r="F46" s="6">
        <f>_xlfn.IFNA(IF(VLOOKUP($A46,'BU Raw After'!A:H,1,FALSE)=$A46,VLOOKUP($A46,'BU Raw After'!A:H,5,FALSE),0),0)</f>
        <v>204691466.75999999</v>
      </c>
      <c r="G46" s="6">
        <f t="shared" si="0"/>
        <v>-30076785.230000019</v>
      </c>
      <c r="H46" s="7">
        <f t="shared" si="1"/>
        <v>-0.14693717186200508</v>
      </c>
      <c r="I46" s="6">
        <f>_xlfn.IFNA(IF(VLOOKUP($A46,'BU Raw Before'!A:H,1,FALSE)=$A46,VLOOKUP($A46,'BU Raw Before'!A:H,6,FALSE),0),0)</f>
        <v>279</v>
      </c>
      <c r="J46" s="6">
        <f>_xlfn.IFNA(IF(VLOOKUP($A46,'BU Raw After'!A:H,1,FALSE)=$A46,VLOOKUP($A46,'BU Raw After'!A:H,6,FALSE),0),0)</f>
        <v>290</v>
      </c>
      <c r="K46" s="6">
        <f t="shared" si="2"/>
        <v>11</v>
      </c>
      <c r="L46" s="7">
        <f t="shared" si="3"/>
        <v>3.793103448275862E-2</v>
      </c>
      <c r="M46" s="6">
        <f>_xlfn.IFNA(IF(VLOOKUP($A46,'BU Raw Before'!A:H,1,FALSE)=$A46,VLOOKUP($A46,'BU Raw Before'!A:H,7,FALSE),0),0)</f>
        <v>476</v>
      </c>
      <c r="N46" s="6">
        <f>_xlfn.IFNA(IF(VLOOKUP($A46,'BU Raw After'!A:H,1,FALSE)=$A46,VLOOKUP($A46,'BU Raw After'!A:H,7,FALSE),0),0)</f>
        <v>541</v>
      </c>
      <c r="O46" s="6">
        <f t="shared" si="4"/>
        <v>65</v>
      </c>
      <c r="P46" s="7">
        <f t="shared" si="5"/>
        <v>0.12014787430683918</v>
      </c>
      <c r="Q46" s="6">
        <f>_xlfn.IFNA(IF(VLOOKUP($A46,'BU Raw Before'!A:H,1,FALSE)=$A46,VLOOKUP($A46,'BU Raw Before'!A:H,8,FALSE),0),0)</f>
        <v>-5377400</v>
      </c>
      <c r="R46" s="6">
        <f>_xlfn.IFNA(IF(VLOOKUP($A46,'BU Raw After'!A:H,1,FALSE)=$A46,VLOOKUP($A46,'BU Raw After'!A:H,8,FALSE),0),0)</f>
        <v>-5881400</v>
      </c>
      <c r="S46" s="6">
        <f t="shared" si="6"/>
        <v>-504000</v>
      </c>
      <c r="T46" s="7">
        <f t="shared" si="7"/>
        <v>8.5693882408950248E-2</v>
      </c>
    </row>
    <row r="47" spans="1:20" ht="15" x14ac:dyDescent="0.25">
      <c r="A47" t="s">
        <v>53</v>
      </c>
      <c r="B47" t="s">
        <v>50</v>
      </c>
      <c r="C47" t="s">
        <v>6</v>
      </c>
      <c r="D47" t="s">
        <v>13</v>
      </c>
      <c r="E47" s="6">
        <f>_xlfn.IFNA(IF(VLOOKUP($A47,'BU Raw Before'!A:H,1,FALSE)=$A47,VLOOKUP($A47,'BU Raw Before'!A:H,5,FALSE),0),0)</f>
        <v>179585289.55000001</v>
      </c>
      <c r="F47" s="6">
        <f>_xlfn.IFNA(IF(VLOOKUP($A47,'BU Raw After'!A:H,1,FALSE)=$A47,VLOOKUP($A47,'BU Raw After'!A:H,5,FALSE),0),0)</f>
        <v>253057414</v>
      </c>
      <c r="G47" s="6">
        <f t="shared" si="0"/>
        <v>73472124.449999988</v>
      </c>
      <c r="H47" s="7">
        <f t="shared" si="1"/>
        <v>0.29033776678836998</v>
      </c>
      <c r="I47" s="6">
        <f>_xlfn.IFNA(IF(VLOOKUP($A47,'BU Raw Before'!A:H,1,FALSE)=$A47,VLOOKUP($A47,'BU Raw Before'!A:H,6,FALSE),0),0)</f>
        <v>130</v>
      </c>
      <c r="J47" s="6">
        <f>_xlfn.IFNA(IF(VLOOKUP($A47,'BU Raw After'!A:H,1,FALSE)=$A47,VLOOKUP($A47,'BU Raw After'!A:H,6,FALSE),0),0)</f>
        <v>161</v>
      </c>
      <c r="K47" s="6">
        <f t="shared" si="2"/>
        <v>31</v>
      </c>
      <c r="L47" s="7">
        <f t="shared" si="3"/>
        <v>0.19254658385093168</v>
      </c>
      <c r="M47" s="6">
        <f>_xlfn.IFNA(IF(VLOOKUP($A47,'BU Raw Before'!A:H,1,FALSE)=$A47,VLOOKUP($A47,'BU Raw Before'!A:H,7,FALSE),0),0)</f>
        <v>242</v>
      </c>
      <c r="N47" s="6">
        <f>_xlfn.IFNA(IF(VLOOKUP($A47,'BU Raw After'!A:H,1,FALSE)=$A47,VLOOKUP($A47,'BU Raw After'!A:H,7,FALSE),0),0)</f>
        <v>311</v>
      </c>
      <c r="O47" s="6">
        <f t="shared" si="4"/>
        <v>69</v>
      </c>
      <c r="P47" s="7">
        <f t="shared" si="5"/>
        <v>0.22186495176848875</v>
      </c>
      <c r="Q47" s="6">
        <f>_xlfn.IFNA(IF(VLOOKUP($A47,'BU Raw Before'!A:H,1,FALSE)=$A47,VLOOKUP($A47,'BU Raw Before'!A:H,8,FALSE),0),0)</f>
        <v>-3992000</v>
      </c>
      <c r="R47" s="6">
        <f>_xlfn.IFNA(IF(VLOOKUP($A47,'BU Raw After'!A:H,1,FALSE)=$A47,VLOOKUP($A47,'BU Raw After'!A:H,8,FALSE),0),0)</f>
        <v>-4822900</v>
      </c>
      <c r="S47" s="6">
        <f t="shared" si="6"/>
        <v>-830900</v>
      </c>
      <c r="T47" s="7">
        <f t="shared" si="7"/>
        <v>0.17228223682846419</v>
      </c>
    </row>
    <row r="48" spans="1:20" ht="15" x14ac:dyDescent="0.25">
      <c r="A48" t="s">
        <v>54</v>
      </c>
      <c r="B48" t="s">
        <v>50</v>
      </c>
      <c r="C48" t="s">
        <v>6</v>
      </c>
      <c r="D48" t="s">
        <v>15</v>
      </c>
      <c r="E48" s="6">
        <f>_xlfn.IFNA(IF(VLOOKUP($A48,'BU Raw Before'!A:H,1,FALSE)=$A48,VLOOKUP($A48,'BU Raw Before'!A:H,5,FALSE),0),0)</f>
        <v>149778381</v>
      </c>
      <c r="F48" s="6">
        <f>_xlfn.IFNA(IF(VLOOKUP($A48,'BU Raw After'!A:H,1,FALSE)=$A48,VLOOKUP($A48,'BU Raw After'!A:H,5,FALSE),0),0)</f>
        <v>112698632</v>
      </c>
      <c r="G48" s="6">
        <f t="shared" si="0"/>
        <v>-37079749</v>
      </c>
      <c r="H48" s="7">
        <f t="shared" si="1"/>
        <v>-0.32901685088777299</v>
      </c>
      <c r="I48" s="6">
        <f>_xlfn.IFNA(IF(VLOOKUP($A48,'BU Raw Before'!A:H,1,FALSE)=$A48,VLOOKUP($A48,'BU Raw Before'!A:H,6,FALSE),0),0)</f>
        <v>88</v>
      </c>
      <c r="J48" s="6">
        <f>_xlfn.IFNA(IF(VLOOKUP($A48,'BU Raw After'!A:H,1,FALSE)=$A48,VLOOKUP($A48,'BU Raw After'!A:H,6,FALSE),0),0)</f>
        <v>71</v>
      </c>
      <c r="K48" s="6">
        <f t="shared" si="2"/>
        <v>-17</v>
      </c>
      <c r="L48" s="7">
        <f t="shared" si="3"/>
        <v>-0.23943661971830985</v>
      </c>
      <c r="M48" s="6">
        <f>_xlfn.IFNA(IF(VLOOKUP($A48,'BU Raw Before'!A:H,1,FALSE)=$A48,VLOOKUP($A48,'BU Raw Before'!A:H,7,FALSE),0),0)</f>
        <v>152</v>
      </c>
      <c r="N48" s="6">
        <f>_xlfn.IFNA(IF(VLOOKUP($A48,'BU Raw After'!A:H,1,FALSE)=$A48,VLOOKUP($A48,'BU Raw After'!A:H,7,FALSE),0),0)</f>
        <v>147</v>
      </c>
      <c r="O48" s="6">
        <f t="shared" si="4"/>
        <v>-5</v>
      </c>
      <c r="P48" s="7">
        <f t="shared" si="5"/>
        <v>-3.4013605442176874E-2</v>
      </c>
      <c r="Q48" s="6">
        <f>_xlfn.IFNA(IF(VLOOKUP($A48,'BU Raw Before'!A:H,1,FALSE)=$A48,VLOOKUP($A48,'BU Raw Before'!A:H,8,FALSE),0),0)</f>
        <v>-3225850</v>
      </c>
      <c r="R48" s="6">
        <f>_xlfn.IFNA(IF(VLOOKUP($A48,'BU Raw After'!A:H,1,FALSE)=$A48,VLOOKUP($A48,'BU Raw After'!A:H,8,FALSE),0),0)</f>
        <v>-2721500</v>
      </c>
      <c r="S48" s="6">
        <f t="shared" si="6"/>
        <v>504350</v>
      </c>
      <c r="T48" s="7">
        <f t="shared" si="7"/>
        <v>-0.18532059525996694</v>
      </c>
    </row>
    <row r="49" spans="1:20" ht="15" x14ac:dyDescent="0.25">
      <c r="A49" t="s">
        <v>55</v>
      </c>
      <c r="B49" t="s">
        <v>50</v>
      </c>
      <c r="C49" t="s">
        <v>6</v>
      </c>
      <c r="D49" t="s">
        <v>17</v>
      </c>
      <c r="E49" s="6">
        <f>_xlfn.IFNA(IF(VLOOKUP($A49,'BU Raw Before'!A:H,1,FALSE)=$A49,VLOOKUP($A49,'BU Raw Before'!A:H,5,FALSE),0),0)</f>
        <v>80468534</v>
      </c>
      <c r="F49" s="6">
        <f>_xlfn.IFNA(IF(VLOOKUP($A49,'BU Raw After'!A:H,1,FALSE)=$A49,VLOOKUP($A49,'BU Raw After'!A:H,5,FALSE),0),0)</f>
        <v>72423750</v>
      </c>
      <c r="G49" s="6">
        <f t="shared" si="0"/>
        <v>-8044784</v>
      </c>
      <c r="H49" s="7">
        <f t="shared" si="1"/>
        <v>-0.1110793627780942</v>
      </c>
      <c r="I49" s="6">
        <f>_xlfn.IFNA(IF(VLOOKUP($A49,'BU Raw Before'!A:H,1,FALSE)=$A49,VLOOKUP($A49,'BU Raw Before'!A:H,6,FALSE),0),0)</f>
        <v>40</v>
      </c>
      <c r="J49" s="6">
        <f>_xlfn.IFNA(IF(VLOOKUP($A49,'BU Raw After'!A:H,1,FALSE)=$A49,VLOOKUP($A49,'BU Raw After'!A:H,6,FALSE),0),0)</f>
        <v>39</v>
      </c>
      <c r="K49" s="6">
        <f t="shared" si="2"/>
        <v>-1</v>
      </c>
      <c r="L49" s="7">
        <f t="shared" si="3"/>
        <v>-2.564102564102564E-2</v>
      </c>
      <c r="M49" s="6">
        <f>_xlfn.IFNA(IF(VLOOKUP($A49,'BU Raw Before'!A:H,1,FALSE)=$A49,VLOOKUP($A49,'BU Raw Before'!A:H,7,FALSE),0),0)</f>
        <v>65</v>
      </c>
      <c r="N49" s="6">
        <f>_xlfn.IFNA(IF(VLOOKUP($A49,'BU Raw After'!A:H,1,FALSE)=$A49,VLOOKUP($A49,'BU Raw After'!A:H,7,FALSE),0),0)</f>
        <v>74</v>
      </c>
      <c r="O49" s="6">
        <f t="shared" si="4"/>
        <v>9</v>
      </c>
      <c r="P49" s="7">
        <f t="shared" si="5"/>
        <v>0.12162162162162163</v>
      </c>
      <c r="Q49" s="6">
        <f>_xlfn.IFNA(IF(VLOOKUP($A49,'BU Raw Before'!A:H,1,FALSE)=$A49,VLOOKUP($A49,'BU Raw Before'!A:H,8,FALSE),0),0)</f>
        <v>-1519950</v>
      </c>
      <c r="R49" s="6">
        <f>_xlfn.IFNA(IF(VLOOKUP($A49,'BU Raw After'!A:H,1,FALSE)=$A49,VLOOKUP($A49,'BU Raw After'!A:H,8,FALSE),0),0)</f>
        <v>-1706650</v>
      </c>
      <c r="S49" s="6">
        <f t="shared" si="6"/>
        <v>-186700</v>
      </c>
      <c r="T49" s="7">
        <f t="shared" si="7"/>
        <v>0.10939559956640202</v>
      </c>
    </row>
    <row r="50" spans="1:20" ht="15" x14ac:dyDescent="0.25">
      <c r="A50" t="s">
        <v>56</v>
      </c>
      <c r="B50" t="s">
        <v>50</v>
      </c>
      <c r="C50" t="s">
        <v>6</v>
      </c>
      <c r="D50" t="s">
        <v>19</v>
      </c>
      <c r="E50" s="6">
        <f>_xlfn.IFNA(IF(VLOOKUP($A50,'BU Raw Before'!A:H,1,FALSE)=$A50,VLOOKUP($A50,'BU Raw Before'!A:H,5,FALSE),0),0)</f>
        <v>440267014.44</v>
      </c>
      <c r="F50" s="6">
        <f>_xlfn.IFNA(IF(VLOOKUP($A50,'BU Raw After'!A:H,1,FALSE)=$A50,VLOOKUP($A50,'BU Raw After'!A:H,5,FALSE),0),0)</f>
        <v>330115653</v>
      </c>
      <c r="G50" s="6">
        <f t="shared" si="0"/>
        <v>-110151361.44</v>
      </c>
      <c r="H50" s="7">
        <f t="shared" si="1"/>
        <v>-0.3336750633875577</v>
      </c>
      <c r="I50" s="6">
        <f>_xlfn.IFNA(IF(VLOOKUP($A50,'BU Raw Before'!A:H,1,FALSE)=$A50,VLOOKUP($A50,'BU Raw Before'!A:H,6,FALSE),0),0)</f>
        <v>173</v>
      </c>
      <c r="J50" s="6">
        <f>_xlfn.IFNA(IF(VLOOKUP($A50,'BU Raw After'!A:H,1,FALSE)=$A50,VLOOKUP($A50,'BU Raw After'!A:H,6,FALSE),0),0)</f>
        <v>165</v>
      </c>
      <c r="K50" s="6">
        <f t="shared" si="2"/>
        <v>-8</v>
      </c>
      <c r="L50" s="7">
        <f t="shared" si="3"/>
        <v>-4.8484848484848485E-2</v>
      </c>
      <c r="M50" s="6">
        <f>_xlfn.IFNA(IF(VLOOKUP($A50,'BU Raw Before'!A:H,1,FALSE)=$A50,VLOOKUP($A50,'BU Raw Before'!A:H,7,FALSE),0),0)</f>
        <v>316</v>
      </c>
      <c r="N50" s="6">
        <f>_xlfn.IFNA(IF(VLOOKUP($A50,'BU Raw After'!A:H,1,FALSE)=$A50,VLOOKUP($A50,'BU Raw After'!A:H,7,FALSE),0),0)</f>
        <v>300</v>
      </c>
      <c r="O50" s="6">
        <f t="shared" si="4"/>
        <v>-16</v>
      </c>
      <c r="P50" s="7">
        <f t="shared" si="5"/>
        <v>-5.3333333333333337E-2</v>
      </c>
      <c r="Q50" s="6">
        <f>_xlfn.IFNA(IF(VLOOKUP($A50,'BU Raw Before'!A:H,1,FALSE)=$A50,VLOOKUP($A50,'BU Raw Before'!A:H,8,FALSE),0),0)</f>
        <v>-24767950</v>
      </c>
      <c r="R50" s="6">
        <f>_xlfn.IFNA(IF(VLOOKUP($A50,'BU Raw After'!A:H,1,FALSE)=$A50,VLOOKUP($A50,'BU Raw After'!A:H,8,FALSE),0),0)</f>
        <v>-25639900</v>
      </c>
      <c r="S50" s="6">
        <f t="shared" si="6"/>
        <v>-871950</v>
      </c>
      <c r="T50" s="7">
        <f t="shared" si="7"/>
        <v>3.4007542931134678E-2</v>
      </c>
    </row>
    <row r="51" spans="1:20" ht="15" x14ac:dyDescent="0.25">
      <c r="A51" t="s">
        <v>57</v>
      </c>
      <c r="B51" t="s">
        <v>50</v>
      </c>
      <c r="C51" t="s">
        <v>6</v>
      </c>
      <c r="D51" t="s">
        <v>21</v>
      </c>
      <c r="E51" s="6">
        <f>_xlfn.IFNA(IF(VLOOKUP($A51,'BU Raw Before'!A:H,1,FALSE)=$A51,VLOOKUP($A51,'BU Raw Before'!A:H,5,FALSE),0),0)</f>
        <v>63103114.119999997</v>
      </c>
      <c r="F51" s="6">
        <f>_xlfn.IFNA(IF(VLOOKUP($A51,'BU Raw After'!A:H,1,FALSE)=$A51,VLOOKUP($A51,'BU Raw After'!A:H,5,FALSE),0),0)</f>
        <v>68543212.430000007</v>
      </c>
      <c r="G51" s="6">
        <f t="shared" si="0"/>
        <v>5440098.3100000098</v>
      </c>
      <c r="H51" s="7">
        <f t="shared" si="1"/>
        <v>7.9367425557355209E-2</v>
      </c>
      <c r="I51" s="6">
        <f>_xlfn.IFNA(IF(VLOOKUP($A51,'BU Raw Before'!A:H,1,FALSE)=$A51,VLOOKUP($A51,'BU Raw Before'!A:H,6,FALSE),0),0)</f>
        <v>529</v>
      </c>
      <c r="J51" s="6">
        <f>_xlfn.IFNA(IF(VLOOKUP($A51,'BU Raw After'!A:H,1,FALSE)=$A51,VLOOKUP($A51,'BU Raw After'!A:H,6,FALSE),0),0)</f>
        <v>609</v>
      </c>
      <c r="K51" s="6">
        <f t="shared" si="2"/>
        <v>80</v>
      </c>
      <c r="L51" s="7">
        <f t="shared" si="3"/>
        <v>0.13136288998357964</v>
      </c>
      <c r="M51" s="6">
        <f>_xlfn.IFNA(IF(VLOOKUP($A51,'BU Raw Before'!A:H,1,FALSE)=$A51,VLOOKUP($A51,'BU Raw Before'!A:H,7,FALSE),0),0)</f>
        <v>721</v>
      </c>
      <c r="N51" s="6">
        <f>_xlfn.IFNA(IF(VLOOKUP($A51,'BU Raw After'!A:H,1,FALSE)=$A51,VLOOKUP($A51,'BU Raw After'!A:H,7,FALSE),0),0)</f>
        <v>862</v>
      </c>
      <c r="O51" s="6">
        <f t="shared" si="4"/>
        <v>141</v>
      </c>
      <c r="P51" s="7">
        <f t="shared" si="5"/>
        <v>0.16357308584686775</v>
      </c>
      <c r="Q51" s="6">
        <f>_xlfn.IFNA(IF(VLOOKUP($A51,'BU Raw Before'!A:H,1,FALSE)=$A51,VLOOKUP($A51,'BU Raw Before'!A:H,8,FALSE),0),0)</f>
        <v>0</v>
      </c>
      <c r="R51" s="6">
        <f>_xlfn.IFNA(IF(VLOOKUP($A51,'BU Raw After'!A:H,1,FALSE)=$A51,VLOOKUP($A51,'BU Raw After'!A:H,8,FALSE),0),0)</f>
        <v>0</v>
      </c>
      <c r="S51" s="6">
        <f t="shared" si="6"/>
        <v>0</v>
      </c>
      <c r="T51" s="7">
        <f t="shared" si="7"/>
        <v>0</v>
      </c>
    </row>
    <row r="52" spans="1:20" ht="15" x14ac:dyDescent="0.25">
      <c r="A52" t="s">
        <v>58</v>
      </c>
      <c r="B52" t="s">
        <v>50</v>
      </c>
      <c r="C52" t="s">
        <v>23</v>
      </c>
      <c r="D52" t="s">
        <v>7</v>
      </c>
      <c r="E52" s="6">
        <f>_xlfn.IFNA(IF(VLOOKUP($A52,'BU Raw Before'!A:H,1,FALSE)=$A52,VLOOKUP($A52,'BU Raw Before'!A:H,5,FALSE),0),0)</f>
        <v>1225520166.1800001</v>
      </c>
      <c r="F52" s="6">
        <f>_xlfn.IFNA(IF(VLOOKUP($A52,'BU Raw After'!A:H,1,FALSE)=$A52,VLOOKUP($A52,'BU Raw After'!A:H,5,FALSE),0),0)</f>
        <v>1123808714.3900001</v>
      </c>
      <c r="G52" s="6">
        <f t="shared" si="0"/>
        <v>-101711451.78999996</v>
      </c>
      <c r="H52" s="7">
        <f t="shared" si="1"/>
        <v>-9.0506018050597353E-2</v>
      </c>
      <c r="I52" s="6">
        <f>_xlfn.IFNA(IF(VLOOKUP($A52,'BU Raw Before'!A:H,1,FALSE)=$A52,VLOOKUP($A52,'BU Raw Before'!A:H,6,FALSE),0),0)</f>
        <v>4614</v>
      </c>
      <c r="J52" s="6">
        <f>_xlfn.IFNA(IF(VLOOKUP($A52,'BU Raw After'!A:H,1,FALSE)=$A52,VLOOKUP($A52,'BU Raw After'!A:H,6,FALSE),0),0)</f>
        <v>4008</v>
      </c>
      <c r="K52" s="6">
        <f t="shared" si="2"/>
        <v>-606</v>
      </c>
      <c r="L52" s="7">
        <f t="shared" si="3"/>
        <v>-0.15119760479041916</v>
      </c>
      <c r="M52" s="6">
        <f>_xlfn.IFNA(IF(VLOOKUP($A52,'BU Raw Before'!A:H,1,FALSE)=$A52,VLOOKUP($A52,'BU Raw Before'!A:H,7,FALSE),0),0)</f>
        <v>5354</v>
      </c>
      <c r="N52" s="6">
        <f>_xlfn.IFNA(IF(VLOOKUP($A52,'BU Raw After'!A:H,1,FALSE)=$A52,VLOOKUP($A52,'BU Raw After'!A:H,7,FALSE),0),0)</f>
        <v>4610</v>
      </c>
      <c r="O52" s="6">
        <f t="shared" si="4"/>
        <v>-744</v>
      </c>
      <c r="P52" s="7">
        <f t="shared" si="5"/>
        <v>-0.16138828633405639</v>
      </c>
      <c r="Q52" s="6">
        <f>_xlfn.IFNA(IF(VLOOKUP($A52,'BU Raw Before'!A:H,1,FALSE)=$A52,VLOOKUP($A52,'BU Raw Before'!A:H,8,FALSE),0),0)</f>
        <v>7144500</v>
      </c>
      <c r="R52" s="6">
        <f>_xlfn.IFNA(IF(VLOOKUP($A52,'BU Raw After'!A:H,1,FALSE)=$A52,VLOOKUP($A52,'BU Raw After'!A:H,8,FALSE),0),0)</f>
        <v>6089333.3300000001</v>
      </c>
      <c r="S52" s="6">
        <f t="shared" si="6"/>
        <v>-1055166.67</v>
      </c>
      <c r="T52" s="7">
        <f t="shared" si="7"/>
        <v>-0.17328114800376676</v>
      </c>
    </row>
    <row r="53" spans="1:20" ht="15" x14ac:dyDescent="0.25">
      <c r="A53" t="s">
        <v>59</v>
      </c>
      <c r="B53" t="s">
        <v>50</v>
      </c>
      <c r="C53" t="s">
        <v>23</v>
      </c>
      <c r="D53" t="s">
        <v>9</v>
      </c>
      <c r="E53" s="6">
        <f>_xlfn.IFNA(IF(VLOOKUP($A53,'BU Raw Before'!A:H,1,FALSE)=$A53,VLOOKUP($A53,'BU Raw Before'!A:H,5,FALSE),0),0)</f>
        <v>56141924.130000003</v>
      </c>
      <c r="F53" s="6">
        <f>_xlfn.IFNA(IF(VLOOKUP($A53,'BU Raw After'!A:H,1,FALSE)=$A53,VLOOKUP($A53,'BU Raw After'!A:H,5,FALSE),0),0)</f>
        <v>71621109.299999997</v>
      </c>
      <c r="G53" s="6">
        <f t="shared" si="0"/>
        <v>15479185.169999994</v>
      </c>
      <c r="H53" s="7">
        <f t="shared" si="1"/>
        <v>0.21612601817101421</v>
      </c>
      <c r="I53" s="6">
        <f>_xlfn.IFNA(IF(VLOOKUP($A53,'BU Raw Before'!A:H,1,FALSE)=$A53,VLOOKUP($A53,'BU Raw Before'!A:H,6,FALSE),0),0)</f>
        <v>132</v>
      </c>
      <c r="J53" s="6">
        <f>_xlfn.IFNA(IF(VLOOKUP($A53,'BU Raw After'!A:H,1,FALSE)=$A53,VLOOKUP($A53,'BU Raw After'!A:H,6,FALSE),0),0)</f>
        <v>139</v>
      </c>
      <c r="K53" s="6">
        <f t="shared" si="2"/>
        <v>7</v>
      </c>
      <c r="L53" s="7">
        <f t="shared" si="3"/>
        <v>5.0359712230215826E-2</v>
      </c>
      <c r="M53" s="6">
        <f>_xlfn.IFNA(IF(VLOOKUP($A53,'BU Raw Before'!A:H,1,FALSE)=$A53,VLOOKUP($A53,'BU Raw Before'!A:H,7,FALSE),0),0)</f>
        <v>200</v>
      </c>
      <c r="N53" s="6">
        <f>_xlfn.IFNA(IF(VLOOKUP($A53,'BU Raw After'!A:H,1,FALSE)=$A53,VLOOKUP($A53,'BU Raw After'!A:H,7,FALSE),0),0)</f>
        <v>217</v>
      </c>
      <c r="O53" s="6">
        <f t="shared" si="4"/>
        <v>17</v>
      </c>
      <c r="P53" s="7">
        <f t="shared" si="5"/>
        <v>7.8341013824884786E-2</v>
      </c>
      <c r="Q53" s="6">
        <f>_xlfn.IFNA(IF(VLOOKUP($A53,'BU Raw Before'!A:H,1,FALSE)=$A53,VLOOKUP($A53,'BU Raw Before'!A:H,8,FALSE),0),0)</f>
        <v>-405750</v>
      </c>
      <c r="R53" s="6">
        <f>_xlfn.IFNA(IF(VLOOKUP($A53,'BU Raw After'!A:H,1,FALSE)=$A53,VLOOKUP($A53,'BU Raw After'!A:H,8,FALSE),0),0)</f>
        <v>-463500</v>
      </c>
      <c r="S53" s="6">
        <f t="shared" si="6"/>
        <v>-57750</v>
      </c>
      <c r="T53" s="7">
        <f t="shared" si="7"/>
        <v>0.12459546925566344</v>
      </c>
    </row>
    <row r="54" spans="1:20" ht="15" x14ac:dyDescent="0.25">
      <c r="A54" t="s">
        <v>60</v>
      </c>
      <c r="B54" t="s">
        <v>50</v>
      </c>
      <c r="C54" t="s">
        <v>23</v>
      </c>
      <c r="D54" t="s">
        <v>11</v>
      </c>
      <c r="E54" s="6">
        <f>_xlfn.IFNA(IF(VLOOKUP($A54,'BU Raw Before'!A:H,1,FALSE)=$A54,VLOOKUP($A54,'BU Raw Before'!A:H,5,FALSE),0),0)</f>
        <v>32865661.600000001</v>
      </c>
      <c r="F54" s="6">
        <f>_xlfn.IFNA(IF(VLOOKUP($A54,'BU Raw After'!A:H,1,FALSE)=$A54,VLOOKUP($A54,'BU Raw After'!A:H,5,FALSE),0),0)</f>
        <v>40007700</v>
      </c>
      <c r="G54" s="6">
        <f t="shared" si="0"/>
        <v>7142038.3999999985</v>
      </c>
      <c r="H54" s="7">
        <f t="shared" si="1"/>
        <v>0.17851659555535557</v>
      </c>
      <c r="I54" s="6">
        <f>_xlfn.IFNA(IF(VLOOKUP($A54,'BU Raw Before'!A:H,1,FALSE)=$A54,VLOOKUP($A54,'BU Raw Before'!A:H,6,FALSE),0),0)</f>
        <v>57</v>
      </c>
      <c r="J54" s="6">
        <f>_xlfn.IFNA(IF(VLOOKUP($A54,'BU Raw After'!A:H,1,FALSE)=$A54,VLOOKUP($A54,'BU Raw After'!A:H,6,FALSE),0),0)</f>
        <v>52</v>
      </c>
      <c r="K54" s="6">
        <f t="shared" si="2"/>
        <v>-5</v>
      </c>
      <c r="L54" s="7">
        <f t="shared" si="3"/>
        <v>-9.6153846153846159E-2</v>
      </c>
      <c r="M54" s="6">
        <f>_xlfn.IFNA(IF(VLOOKUP($A54,'BU Raw Before'!A:H,1,FALSE)=$A54,VLOOKUP($A54,'BU Raw Before'!A:H,7,FALSE),0),0)</f>
        <v>85</v>
      </c>
      <c r="N54" s="6">
        <f>_xlfn.IFNA(IF(VLOOKUP($A54,'BU Raw After'!A:H,1,FALSE)=$A54,VLOOKUP($A54,'BU Raw After'!A:H,7,FALSE),0),0)</f>
        <v>101</v>
      </c>
      <c r="O54" s="6">
        <f t="shared" si="4"/>
        <v>16</v>
      </c>
      <c r="P54" s="7">
        <f t="shared" si="5"/>
        <v>0.15841584158415842</v>
      </c>
      <c r="Q54" s="6">
        <f>_xlfn.IFNA(IF(VLOOKUP($A54,'BU Raw Before'!A:H,1,FALSE)=$A54,VLOOKUP($A54,'BU Raw Before'!A:H,8,FALSE),0),0)</f>
        <v>-692000</v>
      </c>
      <c r="R54" s="6">
        <f>_xlfn.IFNA(IF(VLOOKUP($A54,'BU Raw After'!A:H,1,FALSE)=$A54,VLOOKUP($A54,'BU Raw After'!A:H,8,FALSE),0),0)</f>
        <v>-423500</v>
      </c>
      <c r="S54" s="6">
        <f t="shared" si="6"/>
        <v>268500</v>
      </c>
      <c r="T54" s="7">
        <f t="shared" si="7"/>
        <v>-0.63400236127508858</v>
      </c>
    </row>
    <row r="55" spans="1:20" ht="15" x14ac:dyDescent="0.25">
      <c r="A55" t="s">
        <v>61</v>
      </c>
      <c r="B55" t="s">
        <v>50</v>
      </c>
      <c r="C55" t="s">
        <v>23</v>
      </c>
      <c r="D55" t="s">
        <v>13</v>
      </c>
      <c r="E55" s="6">
        <f>_xlfn.IFNA(IF(VLOOKUP($A55,'BU Raw Before'!A:H,1,FALSE)=$A55,VLOOKUP($A55,'BU Raw Before'!A:H,5,FALSE),0),0)</f>
        <v>38474120</v>
      </c>
      <c r="F55" s="6">
        <f>_xlfn.IFNA(IF(VLOOKUP($A55,'BU Raw After'!A:H,1,FALSE)=$A55,VLOOKUP($A55,'BU Raw After'!A:H,5,FALSE),0),0)</f>
        <v>28216810</v>
      </c>
      <c r="G55" s="6">
        <f t="shared" si="0"/>
        <v>-10257310</v>
      </c>
      <c r="H55" s="7">
        <f t="shared" si="1"/>
        <v>-0.36351770451727178</v>
      </c>
      <c r="I55" s="6">
        <f>_xlfn.IFNA(IF(VLOOKUP($A55,'BU Raw Before'!A:H,1,FALSE)=$A55,VLOOKUP($A55,'BU Raw Before'!A:H,6,FALSE),0),0)</f>
        <v>49</v>
      </c>
      <c r="J55" s="6">
        <f>_xlfn.IFNA(IF(VLOOKUP($A55,'BU Raw After'!A:H,1,FALSE)=$A55,VLOOKUP($A55,'BU Raw After'!A:H,6,FALSE),0),0)</f>
        <v>30</v>
      </c>
      <c r="K55" s="6">
        <f t="shared" si="2"/>
        <v>-19</v>
      </c>
      <c r="L55" s="7">
        <f t="shared" si="3"/>
        <v>-0.6333333333333333</v>
      </c>
      <c r="M55" s="6">
        <f>_xlfn.IFNA(IF(VLOOKUP($A55,'BU Raw Before'!A:H,1,FALSE)=$A55,VLOOKUP($A55,'BU Raw Before'!A:H,7,FALSE),0),0)</f>
        <v>86</v>
      </c>
      <c r="N55" s="6">
        <f>_xlfn.IFNA(IF(VLOOKUP($A55,'BU Raw After'!A:H,1,FALSE)=$A55,VLOOKUP($A55,'BU Raw After'!A:H,7,FALSE),0),0)</f>
        <v>55</v>
      </c>
      <c r="O55" s="6">
        <f t="shared" si="4"/>
        <v>-31</v>
      </c>
      <c r="P55" s="7">
        <f t="shared" si="5"/>
        <v>-0.5636363636363636</v>
      </c>
      <c r="Q55" s="6">
        <f>_xlfn.IFNA(IF(VLOOKUP($A55,'BU Raw Before'!A:H,1,FALSE)=$A55,VLOOKUP($A55,'BU Raw Before'!A:H,8,FALSE),0),0)</f>
        <v>-748000</v>
      </c>
      <c r="R55" s="6">
        <f>_xlfn.IFNA(IF(VLOOKUP($A55,'BU Raw After'!A:H,1,FALSE)=$A55,VLOOKUP($A55,'BU Raw After'!A:H,8,FALSE),0),0)</f>
        <v>-512500</v>
      </c>
      <c r="S55" s="6">
        <f t="shared" si="6"/>
        <v>235500</v>
      </c>
      <c r="T55" s="7">
        <f t="shared" si="7"/>
        <v>-0.45951219512195124</v>
      </c>
    </row>
    <row r="56" spans="1:20" ht="15" x14ac:dyDescent="0.25">
      <c r="A56" t="s">
        <v>62</v>
      </c>
      <c r="B56" t="s">
        <v>50</v>
      </c>
      <c r="C56" t="s">
        <v>23</v>
      </c>
      <c r="D56" t="s">
        <v>15</v>
      </c>
      <c r="E56" s="6">
        <f>_xlfn.IFNA(IF(VLOOKUP($A56,'BU Raw Before'!A:H,1,FALSE)=$A56,VLOOKUP($A56,'BU Raw Before'!A:H,5,FALSE),0),0)</f>
        <v>23853590</v>
      </c>
      <c r="F56" s="6">
        <f>_xlfn.IFNA(IF(VLOOKUP($A56,'BU Raw After'!A:H,1,FALSE)=$A56,VLOOKUP($A56,'BU Raw After'!A:H,5,FALSE),0),0)</f>
        <v>23608573</v>
      </c>
      <c r="G56" s="6">
        <f t="shared" si="0"/>
        <v>-245017</v>
      </c>
      <c r="H56" s="7">
        <f t="shared" si="1"/>
        <v>-1.0378306219524578E-2</v>
      </c>
      <c r="I56" s="6">
        <f>_xlfn.IFNA(IF(VLOOKUP($A56,'BU Raw Before'!A:H,1,FALSE)=$A56,VLOOKUP($A56,'BU Raw Before'!A:H,6,FALSE),0),0)</f>
        <v>17</v>
      </c>
      <c r="J56" s="6">
        <f>_xlfn.IFNA(IF(VLOOKUP($A56,'BU Raw After'!A:H,1,FALSE)=$A56,VLOOKUP($A56,'BU Raw After'!A:H,6,FALSE),0),0)</f>
        <v>18</v>
      </c>
      <c r="K56" s="6">
        <f t="shared" si="2"/>
        <v>1</v>
      </c>
      <c r="L56" s="7">
        <f t="shared" si="3"/>
        <v>5.5555555555555552E-2</v>
      </c>
      <c r="M56" s="6">
        <f>_xlfn.IFNA(IF(VLOOKUP($A56,'BU Raw Before'!A:H,1,FALSE)=$A56,VLOOKUP($A56,'BU Raw Before'!A:H,7,FALSE),0),0)</f>
        <v>19</v>
      </c>
      <c r="N56" s="6">
        <f>_xlfn.IFNA(IF(VLOOKUP($A56,'BU Raw After'!A:H,1,FALSE)=$A56,VLOOKUP($A56,'BU Raw After'!A:H,7,FALSE),0),0)</f>
        <v>24</v>
      </c>
      <c r="O56" s="6">
        <f t="shared" si="4"/>
        <v>5</v>
      </c>
      <c r="P56" s="7">
        <f t="shared" si="5"/>
        <v>0.20833333333333334</v>
      </c>
      <c r="Q56" s="6">
        <f>_xlfn.IFNA(IF(VLOOKUP($A56,'BU Raw Before'!A:H,1,FALSE)=$A56,VLOOKUP($A56,'BU Raw Before'!A:H,8,FALSE),0),0)</f>
        <v>-369500</v>
      </c>
      <c r="R56" s="6">
        <f>_xlfn.IFNA(IF(VLOOKUP($A56,'BU Raw After'!A:H,1,FALSE)=$A56,VLOOKUP($A56,'BU Raw After'!A:H,8,FALSE),0),0)</f>
        <v>-309000</v>
      </c>
      <c r="S56" s="6">
        <f t="shared" si="6"/>
        <v>60500</v>
      </c>
      <c r="T56" s="7">
        <f t="shared" si="7"/>
        <v>-0.19579288025889968</v>
      </c>
    </row>
    <row r="57" spans="1:20" ht="15" x14ac:dyDescent="0.25">
      <c r="A57" t="s">
        <v>63</v>
      </c>
      <c r="B57" t="s">
        <v>50</v>
      </c>
      <c r="C57" t="s">
        <v>23</v>
      </c>
      <c r="D57" t="s">
        <v>17</v>
      </c>
      <c r="E57" s="6">
        <f>_xlfn.IFNA(IF(VLOOKUP($A57,'BU Raw Before'!A:H,1,FALSE)=$A57,VLOOKUP($A57,'BU Raw Before'!A:H,5,FALSE),0),0)</f>
        <v>25130230</v>
      </c>
      <c r="F57" s="6">
        <f>_xlfn.IFNA(IF(VLOOKUP($A57,'BU Raw After'!A:H,1,FALSE)=$A57,VLOOKUP($A57,'BU Raw After'!A:H,5,FALSE),0),0)</f>
        <v>3042649.55</v>
      </c>
      <c r="G57" s="6">
        <f t="shared" si="0"/>
        <v>-22087580.449999999</v>
      </c>
      <c r="H57" s="7">
        <f t="shared" si="1"/>
        <v>-7.2593245087985903</v>
      </c>
      <c r="I57" s="6">
        <f>_xlfn.IFNA(IF(VLOOKUP($A57,'BU Raw Before'!A:H,1,FALSE)=$A57,VLOOKUP($A57,'BU Raw Before'!A:H,6,FALSE),0),0)</f>
        <v>19</v>
      </c>
      <c r="J57" s="6">
        <f>_xlfn.IFNA(IF(VLOOKUP($A57,'BU Raw After'!A:H,1,FALSE)=$A57,VLOOKUP($A57,'BU Raw After'!A:H,6,FALSE),0),0)</f>
        <v>4</v>
      </c>
      <c r="K57" s="6">
        <f t="shared" si="2"/>
        <v>-15</v>
      </c>
      <c r="L57" s="7">
        <f t="shared" si="3"/>
        <v>-3.75</v>
      </c>
      <c r="M57" s="6">
        <f>_xlfn.IFNA(IF(VLOOKUP($A57,'BU Raw Before'!A:H,1,FALSE)=$A57,VLOOKUP($A57,'BU Raw Before'!A:H,7,FALSE),0),0)</f>
        <v>32</v>
      </c>
      <c r="N57" s="6">
        <f>_xlfn.IFNA(IF(VLOOKUP($A57,'BU Raw After'!A:H,1,FALSE)=$A57,VLOOKUP($A57,'BU Raw After'!A:H,7,FALSE),0),0)</f>
        <v>5</v>
      </c>
      <c r="O57" s="6">
        <f t="shared" si="4"/>
        <v>-27</v>
      </c>
      <c r="P57" s="7">
        <f t="shared" si="5"/>
        <v>-5.4</v>
      </c>
      <c r="Q57" s="6">
        <f>_xlfn.IFNA(IF(VLOOKUP($A57,'BU Raw Before'!A:H,1,FALSE)=$A57,VLOOKUP($A57,'BU Raw Before'!A:H,8,FALSE),0),0)</f>
        <v>-329500</v>
      </c>
      <c r="R57" s="6">
        <f>_xlfn.IFNA(IF(VLOOKUP($A57,'BU Raw After'!A:H,1,FALSE)=$A57,VLOOKUP($A57,'BU Raw After'!A:H,8,FALSE),0),0)</f>
        <v>-160250</v>
      </c>
      <c r="S57" s="6">
        <f t="shared" si="6"/>
        <v>169250</v>
      </c>
      <c r="T57" s="7">
        <f t="shared" si="7"/>
        <v>-1.0561622464898597</v>
      </c>
    </row>
    <row r="58" spans="1:20" ht="15" x14ac:dyDescent="0.25">
      <c r="A58" t="s">
        <v>64</v>
      </c>
      <c r="B58" t="s">
        <v>50</v>
      </c>
      <c r="C58" t="s">
        <v>23</v>
      </c>
      <c r="D58" t="s">
        <v>19</v>
      </c>
      <c r="E58" s="6">
        <f>_xlfn.IFNA(IF(VLOOKUP($A58,'BU Raw Before'!A:H,1,FALSE)=$A58,VLOOKUP($A58,'BU Raw Before'!A:H,5,FALSE),0),0)</f>
        <v>73183549.319999993</v>
      </c>
      <c r="F58" s="6">
        <f>_xlfn.IFNA(IF(VLOOKUP($A58,'BU Raw After'!A:H,1,FALSE)=$A58,VLOOKUP($A58,'BU Raw After'!A:H,5,FALSE),0),0)</f>
        <v>99150685</v>
      </c>
      <c r="G58" s="6">
        <f t="shared" si="0"/>
        <v>25967135.680000007</v>
      </c>
      <c r="H58" s="7">
        <f t="shared" si="1"/>
        <v>0.26189567606113873</v>
      </c>
      <c r="I58" s="6">
        <f>_xlfn.IFNA(IF(VLOOKUP($A58,'BU Raw Before'!A:H,1,FALSE)=$A58,VLOOKUP($A58,'BU Raw Before'!A:H,6,FALSE),0),0)</f>
        <v>49</v>
      </c>
      <c r="J58" s="6">
        <f>_xlfn.IFNA(IF(VLOOKUP($A58,'BU Raw After'!A:H,1,FALSE)=$A58,VLOOKUP($A58,'BU Raw After'!A:H,6,FALSE),0),0)</f>
        <v>42</v>
      </c>
      <c r="K58" s="6">
        <f t="shared" si="2"/>
        <v>-7</v>
      </c>
      <c r="L58" s="7">
        <f t="shared" si="3"/>
        <v>-0.16666666666666666</v>
      </c>
      <c r="M58" s="6">
        <f>_xlfn.IFNA(IF(VLOOKUP($A58,'BU Raw Before'!A:H,1,FALSE)=$A58,VLOOKUP($A58,'BU Raw Before'!A:H,7,FALSE),0),0)</f>
        <v>66</v>
      </c>
      <c r="N58" s="6">
        <f>_xlfn.IFNA(IF(VLOOKUP($A58,'BU Raw After'!A:H,1,FALSE)=$A58,VLOOKUP($A58,'BU Raw After'!A:H,7,FALSE),0),0)</f>
        <v>66</v>
      </c>
      <c r="O58" s="6">
        <f t="shared" si="4"/>
        <v>0</v>
      </c>
      <c r="P58" s="7">
        <f t="shared" si="5"/>
        <v>0</v>
      </c>
      <c r="Q58" s="6">
        <f>_xlfn.IFNA(IF(VLOOKUP($A58,'BU Raw Before'!A:H,1,FALSE)=$A58,VLOOKUP($A58,'BU Raw Before'!A:H,8,FALSE),0),0)</f>
        <v>-5063500</v>
      </c>
      <c r="R58" s="6">
        <f>_xlfn.IFNA(IF(VLOOKUP($A58,'BU Raw After'!A:H,1,FALSE)=$A58,VLOOKUP($A58,'BU Raw After'!A:H,8,FALSE),0),0)</f>
        <v>-3940500</v>
      </c>
      <c r="S58" s="6">
        <f t="shared" si="6"/>
        <v>1123000</v>
      </c>
      <c r="T58" s="7">
        <f t="shared" si="7"/>
        <v>-0.28498921456667936</v>
      </c>
    </row>
    <row r="59" spans="1:20" ht="15" x14ac:dyDescent="0.25">
      <c r="A59" t="s">
        <v>65</v>
      </c>
      <c r="B59" t="s">
        <v>50</v>
      </c>
      <c r="C59" t="s">
        <v>23</v>
      </c>
      <c r="D59" t="s">
        <v>21</v>
      </c>
      <c r="E59" s="6">
        <f>_xlfn.IFNA(IF(VLOOKUP($A59,'BU Raw Before'!A:H,1,FALSE)=$A59,VLOOKUP($A59,'BU Raw Before'!A:H,5,FALSE),0),0)</f>
        <v>18938203.07</v>
      </c>
      <c r="F59" s="6">
        <f>_xlfn.IFNA(IF(VLOOKUP($A59,'BU Raw After'!A:H,1,FALSE)=$A59,VLOOKUP($A59,'BU Raw After'!A:H,5,FALSE),0),0)</f>
        <v>24758235.809999999</v>
      </c>
      <c r="G59" s="6">
        <f t="shared" si="0"/>
        <v>5820032.7399999984</v>
      </c>
      <c r="H59" s="7">
        <f t="shared" si="1"/>
        <v>0.23507461455105991</v>
      </c>
      <c r="I59" s="6">
        <f>_xlfn.IFNA(IF(VLOOKUP($A59,'BU Raw Before'!A:H,1,FALSE)=$A59,VLOOKUP($A59,'BU Raw Before'!A:H,6,FALSE),0),0)</f>
        <v>150</v>
      </c>
      <c r="J59" s="6">
        <f>_xlfn.IFNA(IF(VLOOKUP($A59,'BU Raw After'!A:H,1,FALSE)=$A59,VLOOKUP($A59,'BU Raw After'!A:H,6,FALSE),0),0)</f>
        <v>179</v>
      </c>
      <c r="K59" s="6">
        <f t="shared" si="2"/>
        <v>29</v>
      </c>
      <c r="L59" s="7">
        <f t="shared" si="3"/>
        <v>0.16201117318435754</v>
      </c>
      <c r="M59" s="6">
        <f>_xlfn.IFNA(IF(VLOOKUP($A59,'BU Raw Before'!A:H,1,FALSE)=$A59,VLOOKUP($A59,'BU Raw Before'!A:H,7,FALSE),0),0)</f>
        <v>192</v>
      </c>
      <c r="N59" s="6">
        <f>_xlfn.IFNA(IF(VLOOKUP($A59,'BU Raw After'!A:H,1,FALSE)=$A59,VLOOKUP($A59,'BU Raw After'!A:H,7,FALSE),0),0)</f>
        <v>284</v>
      </c>
      <c r="O59" s="6">
        <f t="shared" si="4"/>
        <v>92</v>
      </c>
      <c r="P59" s="7">
        <f t="shared" si="5"/>
        <v>0.323943661971831</v>
      </c>
      <c r="Q59" s="6">
        <f>_xlfn.IFNA(IF(VLOOKUP($A59,'BU Raw Before'!A:H,1,FALSE)=$A59,VLOOKUP($A59,'BU Raw Before'!A:H,8,FALSE),0),0)</f>
        <v>49999.99</v>
      </c>
      <c r="R59" s="6">
        <f>_xlfn.IFNA(IF(VLOOKUP($A59,'BU Raw After'!A:H,1,FALSE)=$A59,VLOOKUP($A59,'BU Raw After'!A:H,8,FALSE),0),0)</f>
        <v>50000</v>
      </c>
      <c r="S59" s="6">
        <f t="shared" si="6"/>
        <v>1.0000000002037268E-2</v>
      </c>
      <c r="T59" s="7">
        <f t="shared" si="7"/>
        <v>2.0000000004074537E-7</v>
      </c>
    </row>
    <row r="60" spans="1:20" ht="15" x14ac:dyDescent="0.25">
      <c r="A60" t="s">
        <v>66</v>
      </c>
      <c r="B60" t="s">
        <v>50</v>
      </c>
      <c r="C60" t="s">
        <v>32</v>
      </c>
      <c r="D60" t="s">
        <v>7</v>
      </c>
      <c r="E60" s="6">
        <f>_xlfn.IFNA(IF(VLOOKUP($A60,'BU Raw Before'!A:H,1,FALSE)=$A60,VLOOKUP($A60,'BU Raw Before'!A:H,5,FALSE),0),0)</f>
        <v>3195114376.3000002</v>
      </c>
      <c r="F60" s="6">
        <f>_xlfn.IFNA(IF(VLOOKUP($A60,'BU Raw After'!A:H,1,FALSE)=$A60,VLOOKUP($A60,'BU Raw After'!A:H,5,FALSE),0),0)</f>
        <v>2804364246.75</v>
      </c>
      <c r="G60" s="6">
        <f t="shared" si="0"/>
        <v>-390750129.55000019</v>
      </c>
      <c r="H60" s="7">
        <f t="shared" si="1"/>
        <v>-0.13933643962364861</v>
      </c>
      <c r="I60" s="6">
        <f>_xlfn.IFNA(IF(VLOOKUP($A60,'BU Raw Before'!A:H,1,FALSE)=$A60,VLOOKUP($A60,'BU Raw Before'!A:H,6,FALSE),0),0)</f>
        <v>13376</v>
      </c>
      <c r="J60" s="6">
        <f>_xlfn.IFNA(IF(VLOOKUP($A60,'BU Raw After'!A:H,1,FALSE)=$A60,VLOOKUP($A60,'BU Raw After'!A:H,6,FALSE),0),0)</f>
        <v>11957</v>
      </c>
      <c r="K60" s="6">
        <f t="shared" si="2"/>
        <v>-1419</v>
      </c>
      <c r="L60" s="7">
        <f t="shared" si="3"/>
        <v>-0.11867525298988041</v>
      </c>
      <c r="M60" s="6">
        <f>_xlfn.IFNA(IF(VLOOKUP($A60,'BU Raw Before'!A:H,1,FALSE)=$A60,VLOOKUP($A60,'BU Raw Before'!A:H,7,FALSE),0),0)</f>
        <v>15819</v>
      </c>
      <c r="N60" s="6">
        <f>_xlfn.IFNA(IF(VLOOKUP($A60,'BU Raw After'!A:H,1,FALSE)=$A60,VLOOKUP($A60,'BU Raw After'!A:H,7,FALSE),0),0)</f>
        <v>14028</v>
      </c>
      <c r="O60" s="6">
        <f t="shared" si="4"/>
        <v>-1791</v>
      </c>
      <c r="P60" s="7">
        <f t="shared" si="5"/>
        <v>-0.12767322497861419</v>
      </c>
      <c r="Q60" s="6">
        <f>_xlfn.IFNA(IF(VLOOKUP($A60,'BU Raw Before'!A:H,1,FALSE)=$A60,VLOOKUP($A60,'BU Raw Before'!A:H,8,FALSE),0),0)</f>
        <v>-73890400</v>
      </c>
      <c r="R60" s="6">
        <f>_xlfn.IFNA(IF(VLOOKUP($A60,'BU Raw After'!A:H,1,FALSE)=$A60,VLOOKUP($A60,'BU Raw After'!A:H,8,FALSE),0),0)</f>
        <v>-65434100</v>
      </c>
      <c r="S60" s="6">
        <f t="shared" si="6"/>
        <v>8456300</v>
      </c>
      <c r="T60" s="7">
        <f t="shared" si="7"/>
        <v>-0.1292338398480303</v>
      </c>
    </row>
    <row r="61" spans="1:20" ht="15" x14ac:dyDescent="0.25">
      <c r="A61" t="s">
        <v>67</v>
      </c>
      <c r="B61" t="s">
        <v>50</v>
      </c>
      <c r="C61" t="s">
        <v>32</v>
      </c>
      <c r="D61" t="s">
        <v>9</v>
      </c>
      <c r="E61" s="6">
        <f>_xlfn.IFNA(IF(VLOOKUP($A61,'BU Raw Before'!A:H,1,FALSE)=$A61,VLOOKUP($A61,'BU Raw Before'!A:H,5,FALSE),0),0)</f>
        <v>219652517.31999999</v>
      </c>
      <c r="F61" s="6">
        <f>_xlfn.IFNA(IF(VLOOKUP($A61,'BU Raw After'!A:H,1,FALSE)=$A61,VLOOKUP($A61,'BU Raw After'!A:H,5,FALSE),0),0)</f>
        <v>158205819.63999999</v>
      </c>
      <c r="G61" s="6">
        <f t="shared" si="0"/>
        <v>-61446697.680000007</v>
      </c>
      <c r="H61" s="7">
        <f t="shared" si="1"/>
        <v>-0.38839720194758326</v>
      </c>
      <c r="I61" s="6">
        <f>_xlfn.IFNA(IF(VLOOKUP($A61,'BU Raw Before'!A:H,1,FALSE)=$A61,VLOOKUP($A61,'BU Raw Before'!A:H,6,FALSE),0),0)</f>
        <v>464</v>
      </c>
      <c r="J61" s="6">
        <f>_xlfn.IFNA(IF(VLOOKUP($A61,'BU Raw After'!A:H,1,FALSE)=$A61,VLOOKUP($A61,'BU Raw After'!A:H,6,FALSE),0),0)</f>
        <v>384</v>
      </c>
      <c r="K61" s="6">
        <f t="shared" si="2"/>
        <v>-80</v>
      </c>
      <c r="L61" s="7">
        <f t="shared" si="3"/>
        <v>-0.20833333333333334</v>
      </c>
      <c r="M61" s="6">
        <f>_xlfn.IFNA(IF(VLOOKUP($A61,'BU Raw Before'!A:H,1,FALSE)=$A61,VLOOKUP($A61,'BU Raw Before'!A:H,7,FALSE),0),0)</f>
        <v>764</v>
      </c>
      <c r="N61" s="6">
        <f>_xlfn.IFNA(IF(VLOOKUP($A61,'BU Raw After'!A:H,1,FALSE)=$A61,VLOOKUP($A61,'BU Raw After'!A:H,7,FALSE),0),0)</f>
        <v>621</v>
      </c>
      <c r="O61" s="6">
        <f t="shared" si="4"/>
        <v>-143</v>
      </c>
      <c r="P61" s="7">
        <f t="shared" si="5"/>
        <v>-0.23027375201288244</v>
      </c>
      <c r="Q61" s="6">
        <f>_xlfn.IFNA(IF(VLOOKUP($A61,'BU Raw Before'!A:H,1,FALSE)=$A61,VLOOKUP($A61,'BU Raw Before'!A:H,8,FALSE),0),0)</f>
        <v>-8382200</v>
      </c>
      <c r="R61" s="6">
        <f>_xlfn.IFNA(IF(VLOOKUP($A61,'BU Raw After'!A:H,1,FALSE)=$A61,VLOOKUP($A61,'BU Raw After'!A:H,8,FALSE),0),0)</f>
        <v>-7226000</v>
      </c>
      <c r="S61" s="6">
        <f t="shared" si="6"/>
        <v>1156200</v>
      </c>
      <c r="T61" s="7">
        <f t="shared" si="7"/>
        <v>-0.16000553556601163</v>
      </c>
    </row>
    <row r="62" spans="1:20" ht="15" x14ac:dyDescent="0.25">
      <c r="A62" t="s">
        <v>68</v>
      </c>
      <c r="B62" t="s">
        <v>50</v>
      </c>
      <c r="C62" t="s">
        <v>32</v>
      </c>
      <c r="D62" t="s">
        <v>11</v>
      </c>
      <c r="E62" s="6">
        <f>_xlfn.IFNA(IF(VLOOKUP($A62,'BU Raw Before'!A:H,1,FALSE)=$A62,VLOOKUP($A62,'BU Raw Before'!A:H,5,FALSE),0),0)</f>
        <v>148682509.81999999</v>
      </c>
      <c r="F62" s="6">
        <f>_xlfn.IFNA(IF(VLOOKUP($A62,'BU Raw After'!A:H,1,FALSE)=$A62,VLOOKUP($A62,'BU Raw After'!A:H,5,FALSE),0),0)</f>
        <v>129811151.66</v>
      </c>
      <c r="G62" s="6">
        <f t="shared" si="0"/>
        <v>-18871358.159999996</v>
      </c>
      <c r="H62" s="7">
        <f t="shared" si="1"/>
        <v>-0.14537547752004898</v>
      </c>
      <c r="I62" s="6">
        <f>_xlfn.IFNA(IF(VLOOKUP($A62,'BU Raw Before'!A:H,1,FALSE)=$A62,VLOOKUP($A62,'BU Raw Before'!A:H,6,FALSE),0),0)</f>
        <v>244</v>
      </c>
      <c r="J62" s="6">
        <f>_xlfn.IFNA(IF(VLOOKUP($A62,'BU Raw After'!A:H,1,FALSE)=$A62,VLOOKUP($A62,'BU Raw After'!A:H,6,FALSE),0),0)</f>
        <v>232</v>
      </c>
      <c r="K62" s="6">
        <f t="shared" si="2"/>
        <v>-12</v>
      </c>
      <c r="L62" s="7">
        <f t="shared" si="3"/>
        <v>-5.1724137931034482E-2</v>
      </c>
      <c r="M62" s="6">
        <f>_xlfn.IFNA(IF(VLOOKUP($A62,'BU Raw Before'!A:H,1,FALSE)=$A62,VLOOKUP($A62,'BU Raw Before'!A:H,7,FALSE),0),0)</f>
        <v>396</v>
      </c>
      <c r="N62" s="6">
        <f>_xlfn.IFNA(IF(VLOOKUP($A62,'BU Raw After'!A:H,1,FALSE)=$A62,VLOOKUP($A62,'BU Raw After'!A:H,7,FALSE),0),0)</f>
        <v>413</v>
      </c>
      <c r="O62" s="6">
        <f t="shared" si="4"/>
        <v>17</v>
      </c>
      <c r="P62" s="7">
        <f t="shared" si="5"/>
        <v>4.1162227602905568E-2</v>
      </c>
      <c r="Q62" s="6">
        <f>_xlfn.IFNA(IF(VLOOKUP($A62,'BU Raw Before'!A:H,1,FALSE)=$A62,VLOOKUP($A62,'BU Raw Before'!A:H,8,FALSE),0),0)</f>
        <v>-7785000</v>
      </c>
      <c r="R62" s="6">
        <f>_xlfn.IFNA(IF(VLOOKUP($A62,'BU Raw After'!A:H,1,FALSE)=$A62,VLOOKUP($A62,'BU Raw After'!A:H,8,FALSE),0),0)</f>
        <v>-8026400</v>
      </c>
      <c r="S62" s="6">
        <f t="shared" si="6"/>
        <v>-241400</v>
      </c>
      <c r="T62" s="7">
        <f t="shared" si="7"/>
        <v>3.0075750024917771E-2</v>
      </c>
    </row>
    <row r="63" spans="1:20" ht="15" x14ac:dyDescent="0.25">
      <c r="A63" t="s">
        <v>69</v>
      </c>
      <c r="B63" t="s">
        <v>50</v>
      </c>
      <c r="C63" t="s">
        <v>32</v>
      </c>
      <c r="D63" t="s">
        <v>13</v>
      </c>
      <c r="E63" s="6">
        <f>_xlfn.IFNA(IF(VLOOKUP($A63,'BU Raw Before'!A:H,1,FALSE)=$A63,VLOOKUP($A63,'BU Raw Before'!A:H,5,FALSE),0),0)</f>
        <v>118321634</v>
      </c>
      <c r="F63" s="6">
        <f>_xlfn.IFNA(IF(VLOOKUP($A63,'BU Raw After'!A:H,1,FALSE)=$A63,VLOOKUP($A63,'BU Raw After'!A:H,5,FALSE),0),0)</f>
        <v>111998233.23</v>
      </c>
      <c r="G63" s="6">
        <f t="shared" si="0"/>
        <v>-6323400.7699999958</v>
      </c>
      <c r="H63" s="7">
        <f t="shared" si="1"/>
        <v>-5.6459826085061858E-2</v>
      </c>
      <c r="I63" s="6">
        <f>_xlfn.IFNA(IF(VLOOKUP($A63,'BU Raw Before'!A:H,1,FALSE)=$A63,VLOOKUP($A63,'BU Raw Before'!A:H,6,FALSE),0),0)</f>
        <v>153</v>
      </c>
      <c r="J63" s="6">
        <f>_xlfn.IFNA(IF(VLOOKUP($A63,'BU Raw After'!A:H,1,FALSE)=$A63,VLOOKUP($A63,'BU Raw After'!A:H,6,FALSE),0),0)</f>
        <v>126</v>
      </c>
      <c r="K63" s="6">
        <f t="shared" si="2"/>
        <v>-27</v>
      </c>
      <c r="L63" s="7">
        <f t="shared" si="3"/>
        <v>-0.21428571428571427</v>
      </c>
      <c r="M63" s="6">
        <f>_xlfn.IFNA(IF(VLOOKUP($A63,'BU Raw Before'!A:H,1,FALSE)=$A63,VLOOKUP($A63,'BU Raw Before'!A:H,7,FALSE),0),0)</f>
        <v>336</v>
      </c>
      <c r="N63" s="6">
        <f>_xlfn.IFNA(IF(VLOOKUP($A63,'BU Raw After'!A:H,1,FALSE)=$A63,VLOOKUP($A63,'BU Raw After'!A:H,7,FALSE),0),0)</f>
        <v>255</v>
      </c>
      <c r="O63" s="6">
        <f t="shared" si="4"/>
        <v>-81</v>
      </c>
      <c r="P63" s="7">
        <f t="shared" si="5"/>
        <v>-0.31764705882352939</v>
      </c>
      <c r="Q63" s="6">
        <f>_xlfn.IFNA(IF(VLOOKUP($A63,'BU Raw Before'!A:H,1,FALSE)=$A63,VLOOKUP($A63,'BU Raw Before'!A:H,8,FALSE),0),0)</f>
        <v>-6663000</v>
      </c>
      <c r="R63" s="6">
        <f>_xlfn.IFNA(IF(VLOOKUP($A63,'BU Raw After'!A:H,1,FALSE)=$A63,VLOOKUP($A63,'BU Raw After'!A:H,8,FALSE),0),0)</f>
        <v>-5286000</v>
      </c>
      <c r="S63" s="6">
        <f t="shared" si="6"/>
        <v>1377000</v>
      </c>
      <c r="T63" s="7">
        <f t="shared" si="7"/>
        <v>-0.26049943246311008</v>
      </c>
    </row>
    <row r="64" spans="1:20" ht="15" x14ac:dyDescent="0.25">
      <c r="A64" t="s">
        <v>70</v>
      </c>
      <c r="B64" t="s">
        <v>50</v>
      </c>
      <c r="C64" t="s">
        <v>32</v>
      </c>
      <c r="D64" t="s">
        <v>15</v>
      </c>
      <c r="E64" s="6">
        <f>_xlfn.IFNA(IF(VLOOKUP($A64,'BU Raw Before'!A:H,1,FALSE)=$A64,VLOOKUP($A64,'BU Raw Before'!A:H,5,FALSE),0),0)</f>
        <v>74629290</v>
      </c>
      <c r="F64" s="6">
        <f>_xlfn.IFNA(IF(VLOOKUP($A64,'BU Raw After'!A:H,1,FALSE)=$A64,VLOOKUP($A64,'BU Raw After'!A:H,5,FALSE),0),0)</f>
        <v>67346123.769999996</v>
      </c>
      <c r="G64" s="6">
        <f t="shared" si="0"/>
        <v>-7283166.2300000042</v>
      </c>
      <c r="H64" s="7">
        <f t="shared" si="1"/>
        <v>-0.1081452921458913</v>
      </c>
      <c r="I64" s="6">
        <f>_xlfn.IFNA(IF(VLOOKUP($A64,'BU Raw Before'!A:H,1,FALSE)=$A64,VLOOKUP($A64,'BU Raw Before'!A:H,6,FALSE),0),0)</f>
        <v>70</v>
      </c>
      <c r="J64" s="6">
        <f>_xlfn.IFNA(IF(VLOOKUP($A64,'BU Raw After'!A:H,1,FALSE)=$A64,VLOOKUP($A64,'BU Raw After'!A:H,6,FALSE),0),0)</f>
        <v>72</v>
      </c>
      <c r="K64" s="6">
        <f t="shared" si="2"/>
        <v>2</v>
      </c>
      <c r="L64" s="7">
        <f t="shared" si="3"/>
        <v>2.7777777777777776E-2</v>
      </c>
      <c r="M64" s="6">
        <f>_xlfn.IFNA(IF(VLOOKUP($A64,'BU Raw Before'!A:H,1,FALSE)=$A64,VLOOKUP($A64,'BU Raw Before'!A:H,7,FALSE),0),0)</f>
        <v>132</v>
      </c>
      <c r="N64" s="6">
        <f>_xlfn.IFNA(IF(VLOOKUP($A64,'BU Raw After'!A:H,1,FALSE)=$A64,VLOOKUP($A64,'BU Raw After'!A:H,7,FALSE),0),0)</f>
        <v>160</v>
      </c>
      <c r="O64" s="6">
        <f t="shared" si="4"/>
        <v>28</v>
      </c>
      <c r="P64" s="7">
        <f t="shared" si="5"/>
        <v>0.17499999999999999</v>
      </c>
      <c r="Q64" s="6">
        <f>_xlfn.IFNA(IF(VLOOKUP($A64,'BU Raw Before'!A:H,1,FALSE)=$A64,VLOOKUP($A64,'BU Raw Before'!A:H,8,FALSE),0),0)</f>
        <v>-3769000</v>
      </c>
      <c r="R64" s="6">
        <f>_xlfn.IFNA(IF(VLOOKUP($A64,'BU Raw After'!A:H,1,FALSE)=$A64,VLOOKUP($A64,'BU Raw After'!A:H,8,FALSE),0),0)</f>
        <v>-3454200</v>
      </c>
      <c r="S64" s="6">
        <f t="shared" si="6"/>
        <v>314800</v>
      </c>
      <c r="T64" s="7">
        <f t="shared" si="7"/>
        <v>-9.1135429332406925E-2</v>
      </c>
    </row>
    <row r="65" spans="1:20" ht="15" x14ac:dyDescent="0.25">
      <c r="A65" t="s">
        <v>71</v>
      </c>
      <c r="B65" t="s">
        <v>50</v>
      </c>
      <c r="C65" t="s">
        <v>32</v>
      </c>
      <c r="D65" t="s">
        <v>17</v>
      </c>
      <c r="E65" s="6">
        <f>_xlfn.IFNA(IF(VLOOKUP($A65,'BU Raw Before'!A:H,1,FALSE)=$A65,VLOOKUP($A65,'BU Raw Before'!A:H,5,FALSE),0),0)</f>
        <v>47250503.119999997</v>
      </c>
      <c r="F65" s="6">
        <f>_xlfn.IFNA(IF(VLOOKUP($A65,'BU Raw After'!A:H,1,FALSE)=$A65,VLOOKUP($A65,'BU Raw After'!A:H,5,FALSE),0),0)</f>
        <v>60358866</v>
      </c>
      <c r="G65" s="6">
        <f t="shared" si="0"/>
        <v>13108362.880000003</v>
      </c>
      <c r="H65" s="7">
        <f t="shared" si="1"/>
        <v>0.21717377659149531</v>
      </c>
      <c r="I65" s="6">
        <f>_xlfn.IFNA(IF(VLOOKUP($A65,'BU Raw Before'!A:H,1,FALSE)=$A65,VLOOKUP($A65,'BU Raw Before'!A:H,6,FALSE),0),0)</f>
        <v>40</v>
      </c>
      <c r="J65" s="6">
        <f>_xlfn.IFNA(IF(VLOOKUP($A65,'BU Raw After'!A:H,1,FALSE)=$A65,VLOOKUP($A65,'BU Raw After'!A:H,6,FALSE),0),0)</f>
        <v>39</v>
      </c>
      <c r="K65" s="6">
        <f t="shared" si="2"/>
        <v>-1</v>
      </c>
      <c r="L65" s="7">
        <f t="shared" si="3"/>
        <v>-2.564102564102564E-2</v>
      </c>
      <c r="M65" s="6">
        <f>_xlfn.IFNA(IF(VLOOKUP($A65,'BU Raw Before'!A:H,1,FALSE)=$A65,VLOOKUP($A65,'BU Raw Before'!A:H,7,FALSE),0),0)</f>
        <v>76</v>
      </c>
      <c r="N65" s="6">
        <f>_xlfn.IFNA(IF(VLOOKUP($A65,'BU Raw After'!A:H,1,FALSE)=$A65,VLOOKUP($A65,'BU Raw After'!A:H,7,FALSE),0),0)</f>
        <v>70</v>
      </c>
      <c r="O65" s="6">
        <f t="shared" si="4"/>
        <v>-6</v>
      </c>
      <c r="P65" s="7">
        <f t="shared" si="5"/>
        <v>-8.5714285714285715E-2</v>
      </c>
      <c r="Q65" s="6">
        <f>_xlfn.IFNA(IF(VLOOKUP($A65,'BU Raw Before'!A:H,1,FALSE)=$A65,VLOOKUP($A65,'BU Raw Before'!A:H,8,FALSE),0),0)</f>
        <v>-2386900</v>
      </c>
      <c r="R65" s="6">
        <f>_xlfn.IFNA(IF(VLOOKUP($A65,'BU Raw After'!A:H,1,FALSE)=$A65,VLOOKUP($A65,'BU Raw After'!A:H,8,FALSE),0),0)</f>
        <v>-2272000</v>
      </c>
      <c r="S65" s="6">
        <f t="shared" si="6"/>
        <v>114900</v>
      </c>
      <c r="T65" s="7">
        <f t="shared" si="7"/>
        <v>-5.0572183098591551E-2</v>
      </c>
    </row>
    <row r="66" spans="1:20" ht="15" x14ac:dyDescent="0.25">
      <c r="A66" t="s">
        <v>72</v>
      </c>
      <c r="B66" t="s">
        <v>50</v>
      </c>
      <c r="C66" t="s">
        <v>32</v>
      </c>
      <c r="D66" t="s">
        <v>19</v>
      </c>
      <c r="E66" s="6">
        <f>_xlfn.IFNA(IF(VLOOKUP($A66,'BU Raw Before'!A:H,1,FALSE)=$A66,VLOOKUP($A66,'BU Raw Before'!A:H,5,FALSE),0),0)</f>
        <v>223404115.72999999</v>
      </c>
      <c r="F66" s="6">
        <f>_xlfn.IFNA(IF(VLOOKUP($A66,'BU Raw After'!A:H,1,FALSE)=$A66,VLOOKUP($A66,'BU Raw After'!A:H,5,FALSE),0),0)</f>
        <v>251193371.19999999</v>
      </c>
      <c r="G66" s="6">
        <f t="shared" si="0"/>
        <v>27789255.469999999</v>
      </c>
      <c r="H66" s="7">
        <f t="shared" si="1"/>
        <v>0.11062893633396963</v>
      </c>
      <c r="I66" s="6">
        <f>_xlfn.IFNA(IF(VLOOKUP($A66,'BU Raw Before'!A:H,1,FALSE)=$A66,VLOOKUP($A66,'BU Raw Before'!A:H,6,FALSE),0),0)</f>
        <v>173</v>
      </c>
      <c r="J66" s="6">
        <f>_xlfn.IFNA(IF(VLOOKUP($A66,'BU Raw After'!A:H,1,FALSE)=$A66,VLOOKUP($A66,'BU Raw After'!A:H,6,FALSE),0),0)</f>
        <v>190</v>
      </c>
      <c r="K66" s="6">
        <f t="shared" si="2"/>
        <v>17</v>
      </c>
      <c r="L66" s="7">
        <f t="shared" si="3"/>
        <v>8.9473684210526316E-2</v>
      </c>
      <c r="M66" s="6">
        <f>_xlfn.IFNA(IF(VLOOKUP($A66,'BU Raw Before'!A:H,1,FALSE)=$A66,VLOOKUP($A66,'BU Raw Before'!A:H,7,FALSE),0),0)</f>
        <v>286</v>
      </c>
      <c r="N66" s="6">
        <f>_xlfn.IFNA(IF(VLOOKUP($A66,'BU Raw After'!A:H,1,FALSE)=$A66,VLOOKUP($A66,'BU Raw After'!A:H,7,FALSE),0),0)</f>
        <v>287</v>
      </c>
      <c r="O66" s="6">
        <f t="shared" si="4"/>
        <v>1</v>
      </c>
      <c r="P66" s="7">
        <f t="shared" si="5"/>
        <v>3.4843205574912892E-3</v>
      </c>
      <c r="Q66" s="6">
        <f>_xlfn.IFNA(IF(VLOOKUP($A66,'BU Raw Before'!A:H,1,FALSE)=$A66,VLOOKUP($A66,'BU Raw Before'!A:H,8,FALSE),0),0)</f>
        <v>-29900500</v>
      </c>
      <c r="R66" s="6">
        <f>_xlfn.IFNA(IF(VLOOKUP($A66,'BU Raw After'!A:H,1,FALSE)=$A66,VLOOKUP($A66,'BU Raw After'!A:H,8,FALSE),0),0)</f>
        <v>-29746000</v>
      </c>
      <c r="S66" s="6">
        <f t="shared" si="6"/>
        <v>154500</v>
      </c>
      <c r="T66" s="7">
        <f t="shared" si="7"/>
        <v>-5.1939756605930212E-3</v>
      </c>
    </row>
    <row r="67" spans="1:20" ht="15" x14ac:dyDescent="0.25">
      <c r="A67" t="s">
        <v>73</v>
      </c>
      <c r="B67" t="s">
        <v>50</v>
      </c>
      <c r="C67" t="s">
        <v>32</v>
      </c>
      <c r="D67" t="s">
        <v>21</v>
      </c>
      <c r="E67" s="6">
        <f>_xlfn.IFNA(IF(VLOOKUP($A67,'BU Raw Before'!A:H,1,FALSE)=$A67,VLOOKUP($A67,'BU Raw Before'!A:H,5,FALSE),0),0)</f>
        <v>36863762.130000003</v>
      </c>
      <c r="F67" s="6">
        <f>_xlfn.IFNA(IF(VLOOKUP($A67,'BU Raw After'!A:H,1,FALSE)=$A67,VLOOKUP($A67,'BU Raw After'!A:H,5,FALSE),0),0)</f>
        <v>46821477.359999999</v>
      </c>
      <c r="G67" s="6">
        <f t="shared" si="0"/>
        <v>9957715.2299999967</v>
      </c>
      <c r="H67" s="7">
        <f t="shared" si="1"/>
        <v>0.21267409299021736</v>
      </c>
      <c r="I67" s="6">
        <f>_xlfn.IFNA(IF(VLOOKUP($A67,'BU Raw Before'!A:H,1,FALSE)=$A67,VLOOKUP($A67,'BU Raw Before'!A:H,6,FALSE),0),0)</f>
        <v>376</v>
      </c>
      <c r="J67" s="6">
        <f>_xlfn.IFNA(IF(VLOOKUP($A67,'BU Raw After'!A:H,1,FALSE)=$A67,VLOOKUP($A67,'BU Raw After'!A:H,6,FALSE),0),0)</f>
        <v>452</v>
      </c>
      <c r="K67" s="6">
        <f t="shared" si="2"/>
        <v>76</v>
      </c>
      <c r="L67" s="7">
        <f t="shared" si="3"/>
        <v>0.16814159292035399</v>
      </c>
      <c r="M67" s="6">
        <f>_xlfn.IFNA(IF(VLOOKUP($A67,'BU Raw Before'!A:H,1,FALSE)=$A67,VLOOKUP($A67,'BU Raw Before'!A:H,7,FALSE),0),0)</f>
        <v>491</v>
      </c>
      <c r="N67" s="6">
        <f>_xlfn.IFNA(IF(VLOOKUP($A67,'BU Raw After'!A:H,1,FALSE)=$A67,VLOOKUP($A67,'BU Raw After'!A:H,7,FALSE),0),0)</f>
        <v>594</v>
      </c>
      <c r="O67" s="6">
        <f t="shared" si="4"/>
        <v>103</v>
      </c>
      <c r="P67" s="7">
        <f t="shared" si="5"/>
        <v>0.17340067340067339</v>
      </c>
      <c r="Q67" s="6">
        <f>_xlfn.IFNA(IF(VLOOKUP($A67,'BU Raw Before'!A:H,1,FALSE)=$A67,VLOOKUP($A67,'BU Raw Before'!A:H,8,FALSE),0),0)</f>
        <v>0</v>
      </c>
      <c r="R67" s="6">
        <f>_xlfn.IFNA(IF(VLOOKUP($A67,'BU Raw After'!A:H,1,FALSE)=$A67,VLOOKUP($A67,'BU Raw After'!A:H,8,FALSE),0),0)</f>
        <v>0</v>
      </c>
      <c r="S67" s="6">
        <f t="shared" si="6"/>
        <v>0</v>
      </c>
      <c r="T67" s="7">
        <f t="shared" si="7"/>
        <v>0</v>
      </c>
    </row>
    <row r="68" spans="1:20" ht="15" x14ac:dyDescent="0.25">
      <c r="A68" t="s">
        <v>74</v>
      </c>
      <c r="B68" t="s">
        <v>50</v>
      </c>
      <c r="C68" t="s">
        <v>41</v>
      </c>
      <c r="D68" t="s">
        <v>7</v>
      </c>
      <c r="E68" s="6">
        <f>_xlfn.IFNA(IF(VLOOKUP($A68,'BU Raw Before'!A:H,1,FALSE)=$A68,VLOOKUP($A68,'BU Raw Before'!A:H,5,FALSE),0),0)</f>
        <v>11634854403.75</v>
      </c>
      <c r="F68" s="6">
        <f>_xlfn.IFNA(IF(VLOOKUP($A68,'BU Raw After'!A:H,1,FALSE)=$A68,VLOOKUP($A68,'BU Raw After'!A:H,5,FALSE),0),0)</f>
        <v>10040032943.57</v>
      </c>
      <c r="G68" s="6">
        <f t="shared" ref="G68:G131" si="8">F68-E68</f>
        <v>-1594821460.1800003</v>
      </c>
      <c r="H68" s="7">
        <f t="shared" ref="H68:H131" si="9">IFERROR(G68/F68,0)</f>
        <v>-0.15884623777070189</v>
      </c>
      <c r="I68" s="6">
        <f>_xlfn.IFNA(IF(VLOOKUP($A68,'BU Raw Before'!A:H,1,FALSE)=$A68,VLOOKUP($A68,'BU Raw Before'!A:H,6,FALSE),0),0)</f>
        <v>61502</v>
      </c>
      <c r="J68" s="6">
        <f>_xlfn.IFNA(IF(VLOOKUP($A68,'BU Raw After'!A:H,1,FALSE)=$A68,VLOOKUP($A68,'BU Raw After'!A:H,6,FALSE),0),0)</f>
        <v>52758</v>
      </c>
      <c r="K68" s="6">
        <f t="shared" ref="K68:K131" si="10">J68-I68</f>
        <v>-8744</v>
      </c>
      <c r="L68" s="7">
        <f t="shared" ref="L68:L131" si="11">IFERROR(K68/J68,0)</f>
        <v>-0.16573789757003676</v>
      </c>
      <c r="M68" s="6">
        <f>_xlfn.IFNA(IF(VLOOKUP($A68,'BU Raw Before'!A:H,1,FALSE)=$A68,VLOOKUP($A68,'BU Raw Before'!A:H,7,FALSE),0),0)</f>
        <v>75075</v>
      </c>
      <c r="N68" s="6">
        <f>_xlfn.IFNA(IF(VLOOKUP($A68,'BU Raw After'!A:H,1,FALSE)=$A68,VLOOKUP($A68,'BU Raw After'!A:H,7,FALSE),0),0)</f>
        <v>64396</v>
      </c>
      <c r="O68" s="6">
        <f t="shared" ref="O68:O131" si="12">N68-M68</f>
        <v>-10679</v>
      </c>
      <c r="P68" s="7">
        <f t="shared" ref="P68:P131" si="13">IFERROR(O68/N68,0)</f>
        <v>-0.16583328157028387</v>
      </c>
      <c r="Q68" s="6">
        <f>_xlfn.IFNA(IF(VLOOKUP($A68,'BU Raw Before'!A:H,1,FALSE)=$A68,VLOOKUP($A68,'BU Raw Before'!A:H,8,FALSE),0),0)</f>
        <v>-1026595136.41</v>
      </c>
      <c r="R68" s="6">
        <f>_xlfn.IFNA(IF(VLOOKUP($A68,'BU Raw After'!A:H,1,FALSE)=$A68,VLOOKUP($A68,'BU Raw After'!A:H,8,FALSE),0),0)</f>
        <v>-862488777.82000005</v>
      </c>
      <c r="S68" s="6">
        <f t="shared" ref="S68:S131" si="14">R68-Q68</f>
        <v>164106358.58999991</v>
      </c>
      <c r="T68" s="7">
        <f t="shared" ref="T68:T131" si="15">IFERROR(S68/R68,0)</f>
        <v>-0.19027071749824973</v>
      </c>
    </row>
    <row r="69" spans="1:20" ht="15" x14ac:dyDescent="0.25">
      <c r="A69" t="s">
        <v>75</v>
      </c>
      <c r="B69" t="s">
        <v>50</v>
      </c>
      <c r="C69" t="s">
        <v>41</v>
      </c>
      <c r="D69" t="s">
        <v>9</v>
      </c>
      <c r="E69" s="6">
        <f>_xlfn.IFNA(IF(VLOOKUP($A69,'BU Raw Before'!A:H,1,FALSE)=$A69,VLOOKUP($A69,'BU Raw Before'!A:H,5,FALSE),0),0)</f>
        <v>852138390.50999999</v>
      </c>
      <c r="F69" s="6">
        <f>_xlfn.IFNA(IF(VLOOKUP($A69,'BU Raw After'!A:H,1,FALSE)=$A69,VLOOKUP($A69,'BU Raw After'!A:H,5,FALSE),0),0)</f>
        <v>709766196.97000003</v>
      </c>
      <c r="G69" s="6">
        <f t="shared" si="8"/>
        <v>-142372193.53999996</v>
      </c>
      <c r="H69" s="7">
        <f t="shared" si="9"/>
        <v>-0.20059027063811785</v>
      </c>
      <c r="I69" s="6">
        <f>_xlfn.IFNA(IF(VLOOKUP($A69,'BU Raw Before'!A:H,1,FALSE)=$A69,VLOOKUP($A69,'BU Raw Before'!A:H,6,FALSE),0),0)</f>
        <v>2272</v>
      </c>
      <c r="J69" s="6">
        <f>_xlfn.IFNA(IF(VLOOKUP($A69,'BU Raw After'!A:H,1,FALSE)=$A69,VLOOKUP($A69,'BU Raw After'!A:H,6,FALSE),0),0)</f>
        <v>2157</v>
      </c>
      <c r="K69" s="6">
        <f t="shared" si="10"/>
        <v>-115</v>
      </c>
      <c r="L69" s="7">
        <f t="shared" si="11"/>
        <v>-5.331478905887807E-2</v>
      </c>
      <c r="M69" s="6">
        <f>_xlfn.IFNA(IF(VLOOKUP($A69,'BU Raw Before'!A:H,1,FALSE)=$A69,VLOOKUP($A69,'BU Raw Before'!A:H,7,FALSE),0),0)</f>
        <v>4167</v>
      </c>
      <c r="N69" s="6">
        <f>_xlfn.IFNA(IF(VLOOKUP($A69,'BU Raw After'!A:H,1,FALSE)=$A69,VLOOKUP($A69,'BU Raw After'!A:H,7,FALSE),0),0)</f>
        <v>4059</v>
      </c>
      <c r="O69" s="6">
        <f t="shared" si="12"/>
        <v>-108</v>
      </c>
      <c r="P69" s="7">
        <f t="shared" si="13"/>
        <v>-2.6607538802660754E-2</v>
      </c>
      <c r="Q69" s="6">
        <f>_xlfn.IFNA(IF(VLOOKUP($A69,'BU Raw Before'!A:H,1,FALSE)=$A69,VLOOKUP($A69,'BU Raw Before'!A:H,8,FALSE),0),0)</f>
        <v>-75850110.189999998</v>
      </c>
      <c r="R69" s="6">
        <f>_xlfn.IFNA(IF(VLOOKUP($A69,'BU Raw After'!A:H,1,FALSE)=$A69,VLOOKUP($A69,'BU Raw After'!A:H,8,FALSE),0),0)</f>
        <v>-72999303.510000005</v>
      </c>
      <c r="S69" s="6">
        <f t="shared" si="14"/>
        <v>2850806.6799999923</v>
      </c>
      <c r="T69" s="7">
        <f t="shared" si="15"/>
        <v>-3.9052518899847677E-2</v>
      </c>
    </row>
    <row r="70" spans="1:20" ht="15" x14ac:dyDescent="0.25">
      <c r="A70" t="s">
        <v>76</v>
      </c>
      <c r="B70" t="s">
        <v>50</v>
      </c>
      <c r="C70" t="s">
        <v>41</v>
      </c>
      <c r="D70" t="s">
        <v>11</v>
      </c>
      <c r="E70" s="6">
        <f>_xlfn.IFNA(IF(VLOOKUP($A70,'BU Raw Before'!A:H,1,FALSE)=$A70,VLOOKUP($A70,'BU Raw Before'!A:H,5,FALSE),0),0)</f>
        <v>570383406.87</v>
      </c>
      <c r="F70" s="6">
        <f>_xlfn.IFNA(IF(VLOOKUP($A70,'BU Raw After'!A:H,1,FALSE)=$A70,VLOOKUP($A70,'BU Raw After'!A:H,5,FALSE),0),0)</f>
        <v>587369078.25999999</v>
      </c>
      <c r="G70" s="6">
        <f t="shared" si="8"/>
        <v>16985671.389999986</v>
      </c>
      <c r="H70" s="7">
        <f t="shared" si="9"/>
        <v>2.8918225386187674E-2</v>
      </c>
      <c r="I70" s="6">
        <f>_xlfn.IFNA(IF(VLOOKUP($A70,'BU Raw Before'!A:H,1,FALSE)=$A70,VLOOKUP($A70,'BU Raw Before'!A:H,6,FALSE),0),0)</f>
        <v>1687</v>
      </c>
      <c r="J70" s="6">
        <f>_xlfn.IFNA(IF(VLOOKUP($A70,'BU Raw After'!A:H,1,FALSE)=$A70,VLOOKUP($A70,'BU Raw After'!A:H,6,FALSE),0),0)</f>
        <v>1967</v>
      </c>
      <c r="K70" s="6">
        <f t="shared" si="10"/>
        <v>280</v>
      </c>
      <c r="L70" s="7">
        <f t="shared" si="11"/>
        <v>0.14234875444839859</v>
      </c>
      <c r="M70" s="6">
        <f>_xlfn.IFNA(IF(VLOOKUP($A70,'BU Raw Before'!A:H,1,FALSE)=$A70,VLOOKUP($A70,'BU Raw Before'!A:H,7,FALSE),0),0)</f>
        <v>3610</v>
      </c>
      <c r="N70" s="6">
        <f>_xlfn.IFNA(IF(VLOOKUP($A70,'BU Raw After'!A:H,1,FALSE)=$A70,VLOOKUP($A70,'BU Raw After'!A:H,7,FALSE),0),0)</f>
        <v>4194</v>
      </c>
      <c r="O70" s="6">
        <f t="shared" si="12"/>
        <v>584</v>
      </c>
      <c r="P70" s="7">
        <f t="shared" si="13"/>
        <v>0.13924654268001907</v>
      </c>
      <c r="Q70" s="6">
        <f>_xlfn.IFNA(IF(VLOOKUP($A70,'BU Raw Before'!A:H,1,FALSE)=$A70,VLOOKUP($A70,'BU Raw Before'!A:H,8,FALSE),0),0)</f>
        <v>-112322272.72</v>
      </c>
      <c r="R70" s="6">
        <f>_xlfn.IFNA(IF(VLOOKUP($A70,'BU Raw After'!A:H,1,FALSE)=$A70,VLOOKUP($A70,'BU Raw After'!A:H,8,FALSE),0),0)</f>
        <v>-144363668.44999999</v>
      </c>
      <c r="S70" s="6">
        <f t="shared" si="14"/>
        <v>-32041395.729999989</v>
      </c>
      <c r="T70" s="7">
        <f t="shared" si="15"/>
        <v>0.22194916542382995</v>
      </c>
    </row>
    <row r="71" spans="1:20" ht="15" x14ac:dyDescent="0.25">
      <c r="A71" t="s">
        <v>77</v>
      </c>
      <c r="B71" t="s">
        <v>50</v>
      </c>
      <c r="C71" t="s">
        <v>41</v>
      </c>
      <c r="D71" t="s">
        <v>13</v>
      </c>
      <c r="E71" s="6">
        <f>_xlfn.IFNA(IF(VLOOKUP($A71,'BU Raw Before'!A:H,1,FALSE)=$A71,VLOOKUP($A71,'BU Raw Before'!A:H,5,FALSE),0),0)</f>
        <v>495382185.63</v>
      </c>
      <c r="F71" s="6">
        <f>_xlfn.IFNA(IF(VLOOKUP($A71,'BU Raw After'!A:H,1,FALSE)=$A71,VLOOKUP($A71,'BU Raw After'!A:H,5,FALSE),0),0)</f>
        <v>500931303.07999998</v>
      </c>
      <c r="G71" s="6">
        <f t="shared" si="8"/>
        <v>5549117.4499999881</v>
      </c>
      <c r="H71" s="7">
        <f t="shared" si="9"/>
        <v>1.1077601690852567E-2</v>
      </c>
      <c r="I71" s="6">
        <f>_xlfn.IFNA(IF(VLOOKUP($A71,'BU Raw Before'!A:H,1,FALSE)=$A71,VLOOKUP($A71,'BU Raw Before'!A:H,6,FALSE),0),0)</f>
        <v>680</v>
      </c>
      <c r="J71" s="6">
        <f>_xlfn.IFNA(IF(VLOOKUP($A71,'BU Raw After'!A:H,1,FALSE)=$A71,VLOOKUP($A71,'BU Raw After'!A:H,6,FALSE),0),0)</f>
        <v>645</v>
      </c>
      <c r="K71" s="6">
        <f t="shared" si="10"/>
        <v>-35</v>
      </c>
      <c r="L71" s="7">
        <f t="shared" si="11"/>
        <v>-5.4263565891472867E-2</v>
      </c>
      <c r="M71" s="6">
        <f>_xlfn.IFNA(IF(VLOOKUP($A71,'BU Raw Before'!A:H,1,FALSE)=$A71,VLOOKUP($A71,'BU Raw Before'!A:H,7,FALSE),0),0)</f>
        <v>2169</v>
      </c>
      <c r="N71" s="6">
        <f>_xlfn.IFNA(IF(VLOOKUP($A71,'BU Raw After'!A:H,1,FALSE)=$A71,VLOOKUP($A71,'BU Raw After'!A:H,7,FALSE),0),0)</f>
        <v>1909</v>
      </c>
      <c r="O71" s="6">
        <f t="shared" si="12"/>
        <v>-260</v>
      </c>
      <c r="P71" s="7">
        <f t="shared" si="13"/>
        <v>-0.13619696176008381</v>
      </c>
      <c r="Q71" s="6">
        <f>_xlfn.IFNA(IF(VLOOKUP($A71,'BU Raw Before'!A:H,1,FALSE)=$A71,VLOOKUP($A71,'BU Raw Before'!A:H,8,FALSE),0),0)</f>
        <v>-39179333.32</v>
      </c>
      <c r="R71" s="6">
        <f>_xlfn.IFNA(IF(VLOOKUP($A71,'BU Raw After'!A:H,1,FALSE)=$A71,VLOOKUP($A71,'BU Raw After'!A:H,8,FALSE),0),0)</f>
        <v>-35685633.329999998</v>
      </c>
      <c r="S71" s="6">
        <f t="shared" si="14"/>
        <v>3493699.9900000021</v>
      </c>
      <c r="T71" s="7">
        <f t="shared" si="15"/>
        <v>-9.7902143355346818E-2</v>
      </c>
    </row>
    <row r="72" spans="1:20" ht="15" x14ac:dyDescent="0.25">
      <c r="A72" t="s">
        <v>78</v>
      </c>
      <c r="B72" t="s">
        <v>50</v>
      </c>
      <c r="C72" t="s">
        <v>41</v>
      </c>
      <c r="D72" t="s">
        <v>15</v>
      </c>
      <c r="E72" s="6">
        <f>_xlfn.IFNA(IF(VLOOKUP($A72,'BU Raw Before'!A:H,1,FALSE)=$A72,VLOOKUP($A72,'BU Raw Before'!A:H,5,FALSE),0),0)</f>
        <v>255816701.75999999</v>
      </c>
      <c r="F72" s="6">
        <f>_xlfn.IFNA(IF(VLOOKUP($A72,'BU Raw After'!A:H,1,FALSE)=$A72,VLOOKUP($A72,'BU Raw After'!A:H,5,FALSE),0),0)</f>
        <v>227526560.19999999</v>
      </c>
      <c r="G72" s="6">
        <f t="shared" si="8"/>
        <v>-28290141.560000002</v>
      </c>
      <c r="H72" s="7">
        <f t="shared" si="9"/>
        <v>-0.12433775439286057</v>
      </c>
      <c r="I72" s="6">
        <f>_xlfn.IFNA(IF(VLOOKUP($A72,'BU Raw Before'!A:H,1,FALSE)=$A72,VLOOKUP($A72,'BU Raw Before'!A:H,6,FALSE),0),0)</f>
        <v>289</v>
      </c>
      <c r="J72" s="6">
        <f>_xlfn.IFNA(IF(VLOOKUP($A72,'BU Raw After'!A:H,1,FALSE)=$A72,VLOOKUP($A72,'BU Raw After'!A:H,6,FALSE),0),0)</f>
        <v>1041</v>
      </c>
      <c r="K72" s="6">
        <f t="shared" si="10"/>
        <v>752</v>
      </c>
      <c r="L72" s="7">
        <f t="shared" si="11"/>
        <v>0.72238232468780017</v>
      </c>
      <c r="M72" s="6">
        <f>_xlfn.IFNA(IF(VLOOKUP($A72,'BU Raw Before'!A:H,1,FALSE)=$A72,VLOOKUP($A72,'BU Raw Before'!A:H,7,FALSE),0),0)</f>
        <v>740</v>
      </c>
      <c r="N72" s="6">
        <f>_xlfn.IFNA(IF(VLOOKUP($A72,'BU Raw After'!A:H,1,FALSE)=$A72,VLOOKUP($A72,'BU Raw After'!A:H,7,FALSE),0),0)</f>
        <v>2981</v>
      </c>
      <c r="O72" s="6">
        <f t="shared" si="12"/>
        <v>2241</v>
      </c>
      <c r="P72" s="7">
        <f t="shared" si="13"/>
        <v>0.75176115397517607</v>
      </c>
      <c r="Q72" s="6">
        <f>_xlfn.IFNA(IF(VLOOKUP($A72,'BU Raw Before'!A:H,1,FALSE)=$A72,VLOOKUP($A72,'BU Raw Before'!A:H,8,FALSE),0),0)</f>
        <v>-19432827.600000001</v>
      </c>
      <c r="R72" s="6">
        <f>_xlfn.IFNA(IF(VLOOKUP($A72,'BU Raw After'!A:H,1,FALSE)=$A72,VLOOKUP($A72,'BU Raw After'!A:H,8,FALSE),0),0)</f>
        <v>-151978666.63999999</v>
      </c>
      <c r="S72" s="6">
        <f t="shared" si="14"/>
        <v>-132545839.03999999</v>
      </c>
      <c r="T72" s="7">
        <f t="shared" si="15"/>
        <v>0.87213450394303316</v>
      </c>
    </row>
    <row r="73" spans="1:20" ht="15" x14ac:dyDescent="0.25">
      <c r="A73" t="s">
        <v>79</v>
      </c>
      <c r="B73" t="s">
        <v>50</v>
      </c>
      <c r="C73" t="s">
        <v>41</v>
      </c>
      <c r="D73" t="s">
        <v>17</v>
      </c>
      <c r="E73" s="6">
        <f>_xlfn.IFNA(IF(VLOOKUP($A73,'BU Raw Before'!A:H,1,FALSE)=$A73,VLOOKUP($A73,'BU Raw Before'!A:H,5,FALSE),0),0)</f>
        <v>163411558.21000001</v>
      </c>
      <c r="F73" s="6">
        <f>_xlfn.IFNA(IF(VLOOKUP($A73,'BU Raw After'!A:H,1,FALSE)=$A73,VLOOKUP($A73,'BU Raw After'!A:H,5,FALSE),0),0)</f>
        <v>196490908.66999999</v>
      </c>
      <c r="G73" s="6">
        <f t="shared" si="8"/>
        <v>33079350.459999979</v>
      </c>
      <c r="H73" s="7">
        <f t="shared" si="9"/>
        <v>0.16835053939088682</v>
      </c>
      <c r="I73" s="6">
        <f>_xlfn.IFNA(IF(VLOOKUP($A73,'BU Raw Before'!A:H,1,FALSE)=$A73,VLOOKUP($A73,'BU Raw Before'!A:H,6,FALSE),0),0)</f>
        <v>145</v>
      </c>
      <c r="J73" s="6">
        <f>_xlfn.IFNA(IF(VLOOKUP($A73,'BU Raw After'!A:H,1,FALSE)=$A73,VLOOKUP($A73,'BU Raw After'!A:H,6,FALSE),0),0)</f>
        <v>137</v>
      </c>
      <c r="K73" s="6">
        <f t="shared" si="10"/>
        <v>-8</v>
      </c>
      <c r="L73" s="7">
        <f t="shared" si="11"/>
        <v>-5.8394160583941604E-2</v>
      </c>
      <c r="M73" s="6">
        <f>_xlfn.IFNA(IF(VLOOKUP($A73,'BU Raw Before'!A:H,1,FALSE)=$A73,VLOOKUP($A73,'BU Raw Before'!A:H,7,FALSE),0),0)</f>
        <v>352</v>
      </c>
      <c r="N73" s="6">
        <f>_xlfn.IFNA(IF(VLOOKUP($A73,'BU Raw After'!A:H,1,FALSE)=$A73,VLOOKUP($A73,'BU Raw After'!A:H,7,FALSE),0),0)</f>
        <v>400</v>
      </c>
      <c r="O73" s="6">
        <f t="shared" si="12"/>
        <v>48</v>
      </c>
      <c r="P73" s="7">
        <f t="shared" si="13"/>
        <v>0.12</v>
      </c>
      <c r="Q73" s="6">
        <f>_xlfn.IFNA(IF(VLOOKUP($A73,'BU Raw Before'!A:H,1,FALSE)=$A73,VLOOKUP($A73,'BU Raw Before'!A:H,8,FALSE),0),0)</f>
        <v>-6539000</v>
      </c>
      <c r="R73" s="6">
        <f>_xlfn.IFNA(IF(VLOOKUP($A73,'BU Raw After'!A:H,1,FALSE)=$A73,VLOOKUP($A73,'BU Raw After'!A:H,8,FALSE),0),0)</f>
        <v>-7882000</v>
      </c>
      <c r="S73" s="6">
        <f t="shared" si="14"/>
        <v>-1343000</v>
      </c>
      <c r="T73" s="7">
        <f t="shared" si="15"/>
        <v>0.17038822633849277</v>
      </c>
    </row>
    <row r="74" spans="1:20" ht="15" x14ac:dyDescent="0.25">
      <c r="A74" t="s">
        <v>80</v>
      </c>
      <c r="B74" t="s">
        <v>50</v>
      </c>
      <c r="C74" t="s">
        <v>41</v>
      </c>
      <c r="D74" t="s">
        <v>19</v>
      </c>
      <c r="E74" s="6">
        <f>_xlfn.IFNA(IF(VLOOKUP($A74,'BU Raw Before'!A:H,1,FALSE)=$A74,VLOOKUP($A74,'BU Raw Before'!A:H,5,FALSE),0),0)</f>
        <v>863499751.28999996</v>
      </c>
      <c r="F74" s="6">
        <f>_xlfn.IFNA(IF(VLOOKUP($A74,'BU Raw After'!A:H,1,FALSE)=$A74,VLOOKUP($A74,'BU Raw After'!A:H,5,FALSE),0),0)</f>
        <v>1232585536.8</v>
      </c>
      <c r="G74" s="6">
        <f t="shared" si="8"/>
        <v>369085785.50999999</v>
      </c>
      <c r="H74" s="7">
        <f t="shared" si="9"/>
        <v>0.29944030210528755</v>
      </c>
      <c r="I74" s="6">
        <f>_xlfn.IFNA(IF(VLOOKUP($A74,'BU Raw Before'!A:H,1,FALSE)=$A74,VLOOKUP($A74,'BU Raw Before'!A:H,6,FALSE),0),0)</f>
        <v>960</v>
      </c>
      <c r="J74" s="6">
        <f>_xlfn.IFNA(IF(VLOOKUP($A74,'BU Raw After'!A:H,1,FALSE)=$A74,VLOOKUP($A74,'BU Raw After'!A:H,6,FALSE),0),0)</f>
        <v>1141</v>
      </c>
      <c r="K74" s="6">
        <f t="shared" si="10"/>
        <v>181</v>
      </c>
      <c r="L74" s="7">
        <f t="shared" si="11"/>
        <v>0.15863277826468011</v>
      </c>
      <c r="M74" s="6">
        <f>_xlfn.IFNA(IF(VLOOKUP($A74,'BU Raw Before'!A:H,1,FALSE)=$A74,VLOOKUP($A74,'BU Raw Before'!A:H,7,FALSE),0),0)</f>
        <v>5213</v>
      </c>
      <c r="N74" s="6">
        <f>_xlfn.IFNA(IF(VLOOKUP($A74,'BU Raw After'!A:H,1,FALSE)=$A74,VLOOKUP($A74,'BU Raw After'!A:H,7,FALSE),0),0)</f>
        <v>8968</v>
      </c>
      <c r="O74" s="6">
        <f t="shared" si="12"/>
        <v>3755</v>
      </c>
      <c r="P74" s="7">
        <f t="shared" si="13"/>
        <v>0.41871097234611954</v>
      </c>
      <c r="Q74" s="6">
        <f>_xlfn.IFNA(IF(VLOOKUP($A74,'BU Raw Before'!A:H,1,FALSE)=$A74,VLOOKUP($A74,'BU Raw Before'!A:H,8,FALSE),0),0)</f>
        <v>-225942079.53</v>
      </c>
      <c r="R74" s="6">
        <f>_xlfn.IFNA(IF(VLOOKUP($A74,'BU Raw After'!A:H,1,FALSE)=$A74,VLOOKUP($A74,'BU Raw After'!A:H,8,FALSE),0),0)</f>
        <v>-414102479.44</v>
      </c>
      <c r="S74" s="6">
        <f t="shared" si="14"/>
        <v>-188160399.91</v>
      </c>
      <c r="T74" s="7">
        <f t="shared" si="15"/>
        <v>0.4543812443829206</v>
      </c>
    </row>
    <row r="75" spans="1:20" ht="15" x14ac:dyDescent="0.25">
      <c r="A75" t="s">
        <v>81</v>
      </c>
      <c r="B75" t="s">
        <v>50</v>
      </c>
      <c r="C75" t="s">
        <v>41</v>
      </c>
      <c r="D75" t="s">
        <v>21</v>
      </c>
      <c r="E75" s="6">
        <f>_xlfn.IFNA(IF(VLOOKUP($A75,'BU Raw Before'!A:H,1,FALSE)=$A75,VLOOKUP($A75,'BU Raw Before'!A:H,5,FALSE),0),0)</f>
        <v>152308532.53</v>
      </c>
      <c r="F75" s="6">
        <f>_xlfn.IFNA(IF(VLOOKUP($A75,'BU Raw After'!A:H,1,FALSE)=$A75,VLOOKUP($A75,'BU Raw After'!A:H,5,FALSE),0),0)</f>
        <v>136964051.03</v>
      </c>
      <c r="G75" s="6">
        <f t="shared" si="8"/>
        <v>-15344481.5</v>
      </c>
      <c r="H75" s="7">
        <f t="shared" si="9"/>
        <v>-0.11203291217371347</v>
      </c>
      <c r="I75" s="6">
        <f>_xlfn.IFNA(IF(VLOOKUP($A75,'BU Raw Before'!A:H,1,FALSE)=$A75,VLOOKUP($A75,'BU Raw Before'!A:H,6,FALSE),0),0)</f>
        <v>1241</v>
      </c>
      <c r="J75" s="6">
        <f>_xlfn.IFNA(IF(VLOOKUP($A75,'BU Raw After'!A:H,1,FALSE)=$A75,VLOOKUP($A75,'BU Raw After'!A:H,6,FALSE),0),0)</f>
        <v>1198</v>
      </c>
      <c r="K75" s="6">
        <f t="shared" si="10"/>
        <v>-43</v>
      </c>
      <c r="L75" s="7">
        <f t="shared" si="11"/>
        <v>-3.589315525876461E-2</v>
      </c>
      <c r="M75" s="6">
        <f>_xlfn.IFNA(IF(VLOOKUP($A75,'BU Raw Before'!A:H,1,FALSE)=$A75,VLOOKUP($A75,'BU Raw Before'!A:H,7,FALSE),0),0)</f>
        <v>1598</v>
      </c>
      <c r="N75" s="6">
        <f>_xlfn.IFNA(IF(VLOOKUP($A75,'BU Raw After'!A:H,1,FALSE)=$A75,VLOOKUP($A75,'BU Raw After'!A:H,7,FALSE),0),0)</f>
        <v>1547</v>
      </c>
      <c r="O75" s="6">
        <f t="shared" si="12"/>
        <v>-51</v>
      </c>
      <c r="P75" s="7">
        <f t="shared" si="13"/>
        <v>-3.2967032967032968E-2</v>
      </c>
      <c r="Q75" s="6">
        <f>_xlfn.IFNA(IF(VLOOKUP($A75,'BU Raw Before'!A:H,1,FALSE)=$A75,VLOOKUP($A75,'BU Raw Before'!A:H,8,FALSE),0),0)</f>
        <v>386666.67</v>
      </c>
      <c r="R75" s="6">
        <f>_xlfn.IFNA(IF(VLOOKUP($A75,'BU Raw After'!A:H,1,FALSE)=$A75,VLOOKUP($A75,'BU Raw After'!A:H,8,FALSE),0),0)</f>
        <v>1221666.67</v>
      </c>
      <c r="S75" s="6">
        <f t="shared" si="14"/>
        <v>835000</v>
      </c>
      <c r="T75" s="7">
        <f t="shared" si="15"/>
        <v>0.68349249472444074</v>
      </c>
    </row>
    <row r="76" spans="1:20" ht="15" x14ac:dyDescent="0.25">
      <c r="A76" t="s">
        <v>312</v>
      </c>
      <c r="B76" t="s">
        <v>50</v>
      </c>
      <c r="C76" t="s">
        <v>286</v>
      </c>
      <c r="D76" t="s">
        <v>7</v>
      </c>
      <c r="E76" s="6">
        <f>_xlfn.IFNA(IF(VLOOKUP($A76,'BU Raw Before'!A:H,1,FALSE)=$A76,VLOOKUP($A76,'BU Raw Before'!A:H,5,FALSE),0),0)</f>
        <v>27417298032.130001</v>
      </c>
      <c r="F76" s="6">
        <f>_xlfn.IFNA(IF(VLOOKUP($A76,'BU Raw After'!A:H,1,FALSE)=$A76,VLOOKUP($A76,'BU Raw After'!A:H,5,FALSE),0),0)</f>
        <v>25153814187.290001</v>
      </c>
      <c r="G76" s="6">
        <f t="shared" si="8"/>
        <v>-2263483844.8400002</v>
      </c>
      <c r="H76" s="7">
        <f t="shared" si="9"/>
        <v>-8.9985710635634666E-2</v>
      </c>
      <c r="I76" s="6">
        <f>_xlfn.IFNA(IF(VLOOKUP($A76,'BU Raw Before'!A:H,1,FALSE)=$A76,VLOOKUP($A76,'BU Raw Before'!A:H,6,FALSE),0),0)</f>
        <v>111312</v>
      </c>
      <c r="J76" s="6">
        <f>_xlfn.IFNA(IF(VLOOKUP($A76,'BU Raw After'!A:H,1,FALSE)=$A76,VLOOKUP($A76,'BU Raw After'!A:H,6,FALSE),0),0)</f>
        <v>99786</v>
      </c>
      <c r="K76" s="6">
        <f t="shared" si="10"/>
        <v>-11526</v>
      </c>
      <c r="L76" s="7">
        <f t="shared" si="11"/>
        <v>-0.11550718537670615</v>
      </c>
      <c r="M76" s="6">
        <f>_xlfn.IFNA(IF(VLOOKUP($A76,'BU Raw Before'!A:H,1,FALSE)=$A76,VLOOKUP($A76,'BU Raw Before'!A:H,7,FALSE),0),0)</f>
        <v>135024</v>
      </c>
      <c r="N76" s="6">
        <f>_xlfn.IFNA(IF(VLOOKUP($A76,'BU Raw After'!A:H,1,FALSE)=$A76,VLOOKUP($A76,'BU Raw After'!A:H,7,FALSE),0),0)</f>
        <v>119887</v>
      </c>
      <c r="O76" s="6">
        <f t="shared" si="12"/>
        <v>-15137</v>
      </c>
      <c r="P76" s="7">
        <f t="shared" si="13"/>
        <v>-0.12626056202924421</v>
      </c>
      <c r="Q76" s="6">
        <f>_xlfn.IFNA(IF(VLOOKUP($A76,'BU Raw Before'!A:H,1,FALSE)=$A76,VLOOKUP($A76,'BU Raw Before'!A:H,8,FALSE),0),0)</f>
        <v>-422266666.64999998</v>
      </c>
      <c r="R76" s="6">
        <f>_xlfn.IFNA(IF(VLOOKUP($A76,'BU Raw After'!A:H,1,FALSE)=$A76,VLOOKUP($A76,'BU Raw After'!A:H,8,FALSE),0),0)</f>
        <v>-359821999.93000001</v>
      </c>
      <c r="S76" s="6">
        <f t="shared" si="14"/>
        <v>62444666.719999969</v>
      </c>
      <c r="T76" s="7">
        <f t="shared" si="15"/>
        <v>-0.1735432150678613</v>
      </c>
    </row>
    <row r="77" spans="1:20" ht="15" x14ac:dyDescent="0.25">
      <c r="A77" t="s">
        <v>313</v>
      </c>
      <c r="B77" t="s">
        <v>50</v>
      </c>
      <c r="C77" t="s">
        <v>286</v>
      </c>
      <c r="D77" t="s">
        <v>9</v>
      </c>
      <c r="E77" s="6">
        <f>_xlfn.IFNA(IF(VLOOKUP($A77,'BU Raw Before'!A:H,1,FALSE)=$A77,VLOOKUP($A77,'BU Raw Before'!A:H,5,FALSE),0),0)</f>
        <v>1680184809.76</v>
      </c>
      <c r="F77" s="6">
        <f>_xlfn.IFNA(IF(VLOOKUP($A77,'BU Raw After'!A:H,1,FALSE)=$A77,VLOOKUP($A77,'BU Raw After'!A:H,5,FALSE),0),0)</f>
        <v>1839521678.1600001</v>
      </c>
      <c r="G77" s="6">
        <f t="shared" si="8"/>
        <v>159336868.4000001</v>
      </c>
      <c r="H77" s="7">
        <f t="shared" si="9"/>
        <v>8.6618641297763005E-2</v>
      </c>
      <c r="I77" s="6">
        <f>_xlfn.IFNA(IF(VLOOKUP($A77,'BU Raw Before'!A:H,1,FALSE)=$A77,VLOOKUP($A77,'BU Raw Before'!A:H,6,FALSE),0),0)</f>
        <v>4496</v>
      </c>
      <c r="J77" s="6">
        <f>_xlfn.IFNA(IF(VLOOKUP($A77,'BU Raw After'!A:H,1,FALSE)=$A77,VLOOKUP($A77,'BU Raw After'!A:H,6,FALSE),0),0)</f>
        <v>4589</v>
      </c>
      <c r="K77" s="6">
        <f t="shared" si="10"/>
        <v>93</v>
      </c>
      <c r="L77" s="7">
        <f t="shared" si="11"/>
        <v>2.0265853127042929E-2</v>
      </c>
      <c r="M77" s="6">
        <f>_xlfn.IFNA(IF(VLOOKUP($A77,'BU Raw Before'!A:H,1,FALSE)=$A77,VLOOKUP($A77,'BU Raw Before'!A:H,7,FALSE),0),0)</f>
        <v>7671</v>
      </c>
      <c r="N77" s="6">
        <f>_xlfn.IFNA(IF(VLOOKUP($A77,'BU Raw After'!A:H,1,FALSE)=$A77,VLOOKUP($A77,'BU Raw After'!A:H,7,FALSE),0),0)</f>
        <v>7776</v>
      </c>
      <c r="O77" s="6">
        <f t="shared" si="12"/>
        <v>105</v>
      </c>
      <c r="P77" s="7">
        <f t="shared" si="13"/>
        <v>1.3503086419753086E-2</v>
      </c>
      <c r="Q77" s="6">
        <f>_xlfn.IFNA(IF(VLOOKUP($A77,'BU Raw Before'!A:H,1,FALSE)=$A77,VLOOKUP($A77,'BU Raw Before'!A:H,8,FALSE),0),0)</f>
        <v>-46026999.939999998</v>
      </c>
      <c r="R77" s="6">
        <f>_xlfn.IFNA(IF(VLOOKUP($A77,'BU Raw After'!A:H,1,FALSE)=$A77,VLOOKUP($A77,'BU Raw After'!A:H,8,FALSE),0),0)</f>
        <v>-43252999.780000001</v>
      </c>
      <c r="S77" s="6">
        <f t="shared" si="14"/>
        <v>2774000.1599999964</v>
      </c>
      <c r="T77" s="7">
        <f t="shared" si="15"/>
        <v>-6.413428372851683E-2</v>
      </c>
    </row>
    <row r="78" spans="1:20" ht="15" x14ac:dyDescent="0.25">
      <c r="A78" t="s">
        <v>314</v>
      </c>
      <c r="B78" t="s">
        <v>50</v>
      </c>
      <c r="C78" t="s">
        <v>286</v>
      </c>
      <c r="D78" t="s">
        <v>11</v>
      </c>
      <c r="E78" s="6">
        <f>_xlfn.IFNA(IF(VLOOKUP($A78,'BU Raw Before'!A:H,1,FALSE)=$A78,VLOOKUP($A78,'BU Raw Before'!A:H,5,FALSE),0),0)</f>
        <v>1383030817.0599999</v>
      </c>
      <c r="F78" s="6">
        <f>_xlfn.IFNA(IF(VLOOKUP($A78,'BU Raw After'!A:H,1,FALSE)=$A78,VLOOKUP($A78,'BU Raw After'!A:H,5,FALSE),0),0)</f>
        <v>1442407647.9400001</v>
      </c>
      <c r="G78" s="6">
        <f t="shared" si="8"/>
        <v>59376830.880000114</v>
      </c>
      <c r="H78" s="7">
        <f t="shared" si="9"/>
        <v>4.1165083230666574E-2</v>
      </c>
      <c r="I78" s="6">
        <f>_xlfn.IFNA(IF(VLOOKUP($A78,'BU Raw Before'!A:H,1,FALSE)=$A78,VLOOKUP($A78,'BU Raw Before'!A:H,6,FALSE),0),0)</f>
        <v>2501</v>
      </c>
      <c r="J78" s="6">
        <f>_xlfn.IFNA(IF(VLOOKUP($A78,'BU Raw After'!A:H,1,FALSE)=$A78,VLOOKUP($A78,'BU Raw After'!A:H,6,FALSE),0),0)</f>
        <v>2579</v>
      </c>
      <c r="K78" s="6">
        <f t="shared" si="10"/>
        <v>78</v>
      </c>
      <c r="L78" s="7">
        <f t="shared" si="11"/>
        <v>3.0244280728964713E-2</v>
      </c>
      <c r="M78" s="6">
        <f>_xlfn.IFNA(IF(VLOOKUP($A78,'BU Raw Before'!A:H,1,FALSE)=$A78,VLOOKUP($A78,'BU Raw Before'!A:H,7,FALSE),0),0)</f>
        <v>4732</v>
      </c>
      <c r="N78" s="6">
        <f>_xlfn.IFNA(IF(VLOOKUP($A78,'BU Raw After'!A:H,1,FALSE)=$A78,VLOOKUP($A78,'BU Raw After'!A:H,7,FALSE),0),0)</f>
        <v>4894</v>
      </c>
      <c r="O78" s="6">
        <f t="shared" si="12"/>
        <v>162</v>
      </c>
      <c r="P78" s="7">
        <f t="shared" si="13"/>
        <v>3.3101757253780138E-2</v>
      </c>
      <c r="Q78" s="6">
        <f>_xlfn.IFNA(IF(VLOOKUP($A78,'BU Raw Before'!A:H,1,FALSE)=$A78,VLOOKUP($A78,'BU Raw Before'!A:H,8,FALSE),0),0)</f>
        <v>-37765500</v>
      </c>
      <c r="R78" s="6">
        <f>_xlfn.IFNA(IF(VLOOKUP($A78,'BU Raw After'!A:H,1,FALSE)=$A78,VLOOKUP($A78,'BU Raw After'!A:H,8,FALSE),0),0)</f>
        <v>-41418000</v>
      </c>
      <c r="S78" s="6">
        <f t="shared" si="14"/>
        <v>-3652500</v>
      </c>
      <c r="T78" s="7">
        <f t="shared" si="15"/>
        <v>8.8186295813414459E-2</v>
      </c>
    </row>
    <row r="79" spans="1:20" ht="15" x14ac:dyDescent="0.25">
      <c r="A79" t="s">
        <v>315</v>
      </c>
      <c r="B79" t="s">
        <v>50</v>
      </c>
      <c r="C79" t="s">
        <v>286</v>
      </c>
      <c r="D79" t="s">
        <v>13</v>
      </c>
      <c r="E79" s="6">
        <f>_xlfn.IFNA(IF(VLOOKUP($A79,'BU Raw Before'!A:H,1,FALSE)=$A79,VLOOKUP($A79,'BU Raw Before'!A:H,5,FALSE),0),0)</f>
        <v>1171881081.1500001</v>
      </c>
      <c r="F79" s="6">
        <f>_xlfn.IFNA(IF(VLOOKUP($A79,'BU Raw After'!A:H,1,FALSE)=$A79,VLOOKUP($A79,'BU Raw After'!A:H,5,FALSE),0),0)</f>
        <v>1663775118.22</v>
      </c>
      <c r="G79" s="6">
        <f t="shared" si="8"/>
        <v>491894037.06999993</v>
      </c>
      <c r="H79" s="7">
        <f t="shared" si="9"/>
        <v>0.29564935289827859</v>
      </c>
      <c r="I79" s="6">
        <f>_xlfn.IFNA(IF(VLOOKUP($A79,'BU Raw Before'!A:H,1,FALSE)=$A79,VLOOKUP($A79,'BU Raw Before'!A:H,6,FALSE),0),0)</f>
        <v>1557</v>
      </c>
      <c r="J79" s="6">
        <f>_xlfn.IFNA(IF(VLOOKUP($A79,'BU Raw After'!A:H,1,FALSE)=$A79,VLOOKUP($A79,'BU Raw After'!A:H,6,FALSE),0),0)</f>
        <v>1675</v>
      </c>
      <c r="K79" s="6">
        <f t="shared" si="10"/>
        <v>118</v>
      </c>
      <c r="L79" s="7">
        <f t="shared" si="11"/>
        <v>7.0447761194029845E-2</v>
      </c>
      <c r="M79" s="6">
        <f>_xlfn.IFNA(IF(VLOOKUP($A79,'BU Raw Before'!A:H,1,FALSE)=$A79,VLOOKUP($A79,'BU Raw Before'!A:H,7,FALSE),0),0)</f>
        <v>3764</v>
      </c>
      <c r="N79" s="6">
        <f>_xlfn.IFNA(IF(VLOOKUP($A79,'BU Raw After'!A:H,1,FALSE)=$A79,VLOOKUP($A79,'BU Raw After'!A:H,7,FALSE),0),0)</f>
        <v>3979</v>
      </c>
      <c r="O79" s="6">
        <f t="shared" si="12"/>
        <v>215</v>
      </c>
      <c r="P79" s="7">
        <f t="shared" si="13"/>
        <v>5.4033676803216892E-2</v>
      </c>
      <c r="Q79" s="6">
        <f>_xlfn.IFNA(IF(VLOOKUP($A79,'BU Raw Before'!A:H,1,FALSE)=$A79,VLOOKUP($A79,'BU Raw Before'!A:H,8,FALSE),0),0)</f>
        <v>-25615999.989999998</v>
      </c>
      <c r="R79" s="6">
        <f>_xlfn.IFNA(IF(VLOOKUP($A79,'BU Raw After'!A:H,1,FALSE)=$A79,VLOOKUP($A79,'BU Raw After'!A:H,8,FALSE),0),0)</f>
        <v>-27996000</v>
      </c>
      <c r="S79" s="6">
        <f t="shared" si="14"/>
        <v>-2380000.0100000016</v>
      </c>
      <c r="T79" s="7">
        <f t="shared" si="15"/>
        <v>8.5012144949278529E-2</v>
      </c>
    </row>
    <row r="80" spans="1:20" ht="15" x14ac:dyDescent="0.25">
      <c r="A80" t="s">
        <v>316</v>
      </c>
      <c r="B80" t="s">
        <v>50</v>
      </c>
      <c r="C80" t="s">
        <v>286</v>
      </c>
      <c r="D80" t="s">
        <v>15</v>
      </c>
      <c r="E80" s="6">
        <f>_xlfn.IFNA(IF(VLOOKUP($A80,'BU Raw Before'!A:H,1,FALSE)=$A80,VLOOKUP($A80,'BU Raw Before'!A:H,5,FALSE),0),0)</f>
        <v>919171139.07000005</v>
      </c>
      <c r="F80" s="6">
        <f>_xlfn.IFNA(IF(VLOOKUP($A80,'BU Raw After'!A:H,1,FALSE)=$A80,VLOOKUP($A80,'BU Raw After'!A:H,5,FALSE),0),0)</f>
        <v>1034410547</v>
      </c>
      <c r="G80" s="6">
        <f t="shared" si="8"/>
        <v>115239407.92999995</v>
      </c>
      <c r="H80" s="7">
        <f t="shared" si="9"/>
        <v>0.11140587097088053</v>
      </c>
      <c r="I80" s="6">
        <f>_xlfn.IFNA(IF(VLOOKUP($A80,'BU Raw Before'!A:H,1,FALSE)=$A80,VLOOKUP($A80,'BU Raw Before'!A:H,6,FALSE),0),0)</f>
        <v>747</v>
      </c>
      <c r="J80" s="6">
        <f>_xlfn.IFNA(IF(VLOOKUP($A80,'BU Raw After'!A:H,1,FALSE)=$A80,VLOOKUP($A80,'BU Raw After'!A:H,6,FALSE),0),0)</f>
        <v>812</v>
      </c>
      <c r="K80" s="6">
        <f t="shared" si="10"/>
        <v>65</v>
      </c>
      <c r="L80" s="7">
        <f t="shared" si="11"/>
        <v>8.0049261083743842E-2</v>
      </c>
      <c r="M80" s="6">
        <f>_xlfn.IFNA(IF(VLOOKUP($A80,'BU Raw Before'!A:H,1,FALSE)=$A80,VLOOKUP($A80,'BU Raw Before'!A:H,7,FALSE),0),0)</f>
        <v>1518</v>
      </c>
      <c r="N80" s="6">
        <f>_xlfn.IFNA(IF(VLOOKUP($A80,'BU Raw After'!A:H,1,FALSE)=$A80,VLOOKUP($A80,'BU Raw After'!A:H,7,FALSE),0),0)</f>
        <v>1800</v>
      </c>
      <c r="O80" s="6">
        <f t="shared" si="12"/>
        <v>282</v>
      </c>
      <c r="P80" s="7">
        <f t="shared" si="13"/>
        <v>0.15666666666666668</v>
      </c>
      <c r="Q80" s="6">
        <f>_xlfn.IFNA(IF(VLOOKUP($A80,'BU Raw Before'!A:H,1,FALSE)=$A80,VLOOKUP($A80,'BU Raw Before'!A:H,8,FALSE),0),0)</f>
        <v>-16076000</v>
      </c>
      <c r="R80" s="6">
        <f>_xlfn.IFNA(IF(VLOOKUP($A80,'BU Raw After'!A:H,1,FALSE)=$A80,VLOOKUP($A80,'BU Raw After'!A:H,8,FALSE),0),0)</f>
        <v>-20366000</v>
      </c>
      <c r="S80" s="6">
        <f t="shared" si="14"/>
        <v>-4290000</v>
      </c>
      <c r="T80" s="7">
        <f t="shared" si="15"/>
        <v>0.21064519296867329</v>
      </c>
    </row>
    <row r="81" spans="1:20" ht="15" x14ac:dyDescent="0.25">
      <c r="A81" t="s">
        <v>317</v>
      </c>
      <c r="B81" t="s">
        <v>50</v>
      </c>
      <c r="C81" t="s">
        <v>286</v>
      </c>
      <c r="D81" t="s">
        <v>17</v>
      </c>
      <c r="E81" s="6">
        <f>_xlfn.IFNA(IF(VLOOKUP($A81,'BU Raw Before'!A:H,1,FALSE)=$A81,VLOOKUP($A81,'BU Raw Before'!A:H,5,FALSE),0),0)</f>
        <v>1742300601.76</v>
      </c>
      <c r="F81" s="6">
        <f>_xlfn.IFNA(IF(VLOOKUP($A81,'BU Raw After'!A:H,1,FALSE)=$A81,VLOOKUP($A81,'BU Raw After'!A:H,5,FALSE),0),0)</f>
        <v>1559952017.3099999</v>
      </c>
      <c r="G81" s="6">
        <f t="shared" si="8"/>
        <v>-182348584.45000005</v>
      </c>
      <c r="H81" s="7">
        <f t="shared" si="9"/>
        <v>-0.11689371366976027</v>
      </c>
      <c r="I81" s="6">
        <f>_xlfn.IFNA(IF(VLOOKUP($A81,'BU Raw Before'!A:H,1,FALSE)=$A81,VLOOKUP($A81,'BU Raw Before'!A:H,6,FALSE),0),0)</f>
        <v>592</v>
      </c>
      <c r="J81" s="6">
        <f>_xlfn.IFNA(IF(VLOOKUP($A81,'BU Raw After'!A:H,1,FALSE)=$A81,VLOOKUP($A81,'BU Raw After'!A:H,6,FALSE),0),0)</f>
        <v>662</v>
      </c>
      <c r="K81" s="6">
        <f t="shared" si="10"/>
        <v>70</v>
      </c>
      <c r="L81" s="7">
        <f t="shared" si="11"/>
        <v>0.10574018126888217</v>
      </c>
      <c r="M81" s="6">
        <f>_xlfn.IFNA(IF(VLOOKUP($A81,'BU Raw Before'!A:H,1,FALSE)=$A81,VLOOKUP($A81,'BU Raw Before'!A:H,7,FALSE),0),0)</f>
        <v>869</v>
      </c>
      <c r="N81" s="6">
        <f>_xlfn.IFNA(IF(VLOOKUP($A81,'BU Raw After'!A:H,1,FALSE)=$A81,VLOOKUP($A81,'BU Raw After'!A:H,7,FALSE),0),0)</f>
        <v>1081</v>
      </c>
      <c r="O81" s="6">
        <f t="shared" si="12"/>
        <v>212</v>
      </c>
      <c r="P81" s="7">
        <f t="shared" si="13"/>
        <v>0.19611470860314523</v>
      </c>
      <c r="Q81" s="6">
        <f>_xlfn.IFNA(IF(VLOOKUP($A81,'BU Raw Before'!A:H,1,FALSE)=$A81,VLOOKUP($A81,'BU Raw Before'!A:H,8,FALSE),0),0)</f>
        <v>-6182000</v>
      </c>
      <c r="R81" s="6">
        <f>_xlfn.IFNA(IF(VLOOKUP($A81,'BU Raw After'!A:H,1,FALSE)=$A81,VLOOKUP($A81,'BU Raw After'!A:H,8,FALSE),0),0)</f>
        <v>-7002000</v>
      </c>
      <c r="S81" s="6">
        <f t="shared" si="14"/>
        <v>-820000</v>
      </c>
      <c r="T81" s="7">
        <f t="shared" si="15"/>
        <v>0.11710939731505285</v>
      </c>
    </row>
    <row r="82" spans="1:20" ht="15" x14ac:dyDescent="0.25">
      <c r="A82" t="s">
        <v>318</v>
      </c>
      <c r="B82" t="s">
        <v>50</v>
      </c>
      <c r="C82" t="s">
        <v>286</v>
      </c>
      <c r="D82" t="s">
        <v>19</v>
      </c>
      <c r="E82" s="6">
        <f>_xlfn.IFNA(IF(VLOOKUP($A82,'BU Raw Before'!A:H,1,FALSE)=$A82,VLOOKUP($A82,'BU Raw Before'!A:H,5,FALSE),0),0)</f>
        <v>5823008717.5</v>
      </c>
      <c r="F82" s="6">
        <f>_xlfn.IFNA(IF(VLOOKUP($A82,'BU Raw After'!A:H,1,FALSE)=$A82,VLOOKUP($A82,'BU Raw After'!A:H,5,FALSE),0),0)</f>
        <v>6847044079.2399998</v>
      </c>
      <c r="G82" s="6">
        <f t="shared" si="8"/>
        <v>1024035361.7399998</v>
      </c>
      <c r="H82" s="7">
        <f t="shared" si="9"/>
        <v>0.14955875117626882</v>
      </c>
      <c r="I82" s="6">
        <f>_xlfn.IFNA(IF(VLOOKUP($A82,'BU Raw Before'!A:H,1,FALSE)=$A82,VLOOKUP($A82,'BU Raw Before'!A:H,6,FALSE),0),0)</f>
        <v>2164</v>
      </c>
      <c r="J82" s="6">
        <f>_xlfn.IFNA(IF(VLOOKUP($A82,'BU Raw After'!A:H,1,FALSE)=$A82,VLOOKUP($A82,'BU Raw After'!A:H,6,FALSE),0),0)</f>
        <v>2205</v>
      </c>
      <c r="K82" s="6">
        <f t="shared" si="10"/>
        <v>41</v>
      </c>
      <c r="L82" s="7">
        <f t="shared" si="11"/>
        <v>1.8594104308390022E-2</v>
      </c>
      <c r="M82" s="6">
        <f>_xlfn.IFNA(IF(VLOOKUP($A82,'BU Raw Before'!A:H,1,FALSE)=$A82,VLOOKUP($A82,'BU Raw Before'!A:H,7,FALSE),0),0)</f>
        <v>4273</v>
      </c>
      <c r="N82" s="6">
        <f>_xlfn.IFNA(IF(VLOOKUP($A82,'BU Raw After'!A:H,1,FALSE)=$A82,VLOOKUP($A82,'BU Raw After'!A:H,7,FALSE),0),0)</f>
        <v>5272</v>
      </c>
      <c r="O82" s="6">
        <f t="shared" si="12"/>
        <v>999</v>
      </c>
      <c r="P82" s="7">
        <f t="shared" si="13"/>
        <v>0.18949165402124432</v>
      </c>
      <c r="Q82" s="6">
        <f>_xlfn.IFNA(IF(VLOOKUP($A82,'BU Raw Before'!A:H,1,FALSE)=$A82,VLOOKUP($A82,'BU Raw Before'!A:H,8,FALSE),0),0)</f>
        <v>-47784000</v>
      </c>
      <c r="R82" s="6">
        <f>_xlfn.IFNA(IF(VLOOKUP($A82,'BU Raw After'!A:H,1,FALSE)=$A82,VLOOKUP($A82,'BU Raw After'!A:H,8,FALSE),0),0)</f>
        <v>-64610000</v>
      </c>
      <c r="S82" s="6">
        <f t="shared" si="14"/>
        <v>-16826000</v>
      </c>
      <c r="T82" s="7">
        <f t="shared" si="15"/>
        <v>0.2604240829592942</v>
      </c>
    </row>
    <row r="83" spans="1:20" ht="15" x14ac:dyDescent="0.25">
      <c r="A83" t="s">
        <v>319</v>
      </c>
      <c r="B83" t="s">
        <v>50</v>
      </c>
      <c r="C83" t="s">
        <v>286</v>
      </c>
      <c r="D83" t="s">
        <v>21</v>
      </c>
      <c r="E83" s="6">
        <f>_xlfn.IFNA(IF(VLOOKUP($A83,'BU Raw Before'!A:H,1,FALSE)=$A83,VLOOKUP($A83,'BU Raw Before'!A:H,5,FALSE),0),0)</f>
        <v>1590265965.5999999</v>
      </c>
      <c r="F83" s="6">
        <f>_xlfn.IFNA(IF(VLOOKUP($A83,'BU Raw After'!A:H,1,FALSE)=$A83,VLOOKUP($A83,'BU Raw After'!A:H,5,FALSE),0),0)</f>
        <v>1777082008.3699999</v>
      </c>
      <c r="G83" s="6">
        <f t="shared" si="8"/>
        <v>186816042.76999998</v>
      </c>
      <c r="H83" s="7">
        <f t="shared" si="9"/>
        <v>0.10512516692538799</v>
      </c>
      <c r="I83" s="6">
        <f>_xlfn.IFNA(IF(VLOOKUP($A83,'BU Raw Before'!A:H,1,FALSE)=$A83,VLOOKUP($A83,'BU Raw Before'!A:H,6,FALSE),0),0)</f>
        <v>2744</v>
      </c>
      <c r="J83" s="6">
        <f>_xlfn.IFNA(IF(VLOOKUP($A83,'BU Raw After'!A:H,1,FALSE)=$A83,VLOOKUP($A83,'BU Raw After'!A:H,6,FALSE),0),0)</f>
        <v>2737</v>
      </c>
      <c r="K83" s="6">
        <f t="shared" si="10"/>
        <v>-7</v>
      </c>
      <c r="L83" s="7">
        <f t="shared" si="11"/>
        <v>-2.5575447570332483E-3</v>
      </c>
      <c r="M83" s="6">
        <f>_xlfn.IFNA(IF(VLOOKUP($A83,'BU Raw Before'!A:H,1,FALSE)=$A83,VLOOKUP($A83,'BU Raw Before'!A:H,7,FALSE),0),0)</f>
        <v>3308</v>
      </c>
      <c r="N83" s="6">
        <f>_xlfn.IFNA(IF(VLOOKUP($A83,'BU Raw After'!A:H,1,FALSE)=$A83,VLOOKUP($A83,'BU Raw After'!A:H,7,FALSE),0),0)</f>
        <v>3359</v>
      </c>
      <c r="O83" s="6">
        <f t="shared" si="12"/>
        <v>51</v>
      </c>
      <c r="P83" s="7">
        <f t="shared" si="13"/>
        <v>1.5183090205418279E-2</v>
      </c>
      <c r="Q83" s="6">
        <f>_xlfn.IFNA(IF(VLOOKUP($A83,'BU Raw Before'!A:H,1,FALSE)=$A83,VLOOKUP($A83,'BU Raw Before'!A:H,8,FALSE),0),0)</f>
        <v>735833.39</v>
      </c>
      <c r="R83" s="6">
        <f>_xlfn.IFNA(IF(VLOOKUP($A83,'BU Raw After'!A:H,1,FALSE)=$A83,VLOOKUP($A83,'BU Raw After'!A:H,8,FALSE),0),0)</f>
        <v>1926666.69</v>
      </c>
      <c r="S83" s="6">
        <f t="shared" si="14"/>
        <v>1190833.2999999998</v>
      </c>
      <c r="T83" s="7">
        <f t="shared" si="15"/>
        <v>0.61807955998865582</v>
      </c>
    </row>
    <row r="84" spans="1:20" ht="15" x14ac:dyDescent="0.25">
      <c r="A84" t="s">
        <v>82</v>
      </c>
      <c r="B84" t="s">
        <v>83</v>
      </c>
      <c r="C84" t="s">
        <v>6</v>
      </c>
      <c r="D84" t="s">
        <v>7</v>
      </c>
      <c r="E84" s="6">
        <f>_xlfn.IFNA(IF(VLOOKUP($A84,'BU Raw Before'!A:H,1,FALSE)=$A84,VLOOKUP($A84,'BU Raw Before'!A:H,5,FALSE),0),0)</f>
        <v>7731996070.2299995</v>
      </c>
      <c r="F84" s="6">
        <f>_xlfn.IFNA(IF(VLOOKUP($A84,'BU Raw After'!A:H,1,FALSE)=$A84,VLOOKUP($A84,'BU Raw After'!A:H,5,FALSE),0),0)</f>
        <v>7673319660.6999998</v>
      </c>
      <c r="G84" s="6">
        <f t="shared" si="8"/>
        <v>-58676409.529999733</v>
      </c>
      <c r="H84" s="7">
        <f t="shared" si="9"/>
        <v>-7.6468089594285155E-3</v>
      </c>
      <c r="I84" s="6">
        <f>_xlfn.IFNA(IF(VLOOKUP($A84,'BU Raw Before'!A:H,1,FALSE)=$A84,VLOOKUP($A84,'BU Raw Before'!A:H,6,FALSE),0),0)</f>
        <v>38255</v>
      </c>
      <c r="J84" s="6">
        <f>_xlfn.IFNA(IF(VLOOKUP($A84,'BU Raw After'!A:H,1,FALSE)=$A84,VLOOKUP($A84,'BU Raw After'!A:H,6,FALSE),0),0)</f>
        <v>34793</v>
      </c>
      <c r="K84" s="6">
        <f t="shared" si="10"/>
        <v>-3462</v>
      </c>
      <c r="L84" s="7">
        <f t="shared" si="11"/>
        <v>-9.9502773546403009E-2</v>
      </c>
      <c r="M84" s="6">
        <f>_xlfn.IFNA(IF(VLOOKUP($A84,'BU Raw Before'!A:H,1,FALSE)=$A84,VLOOKUP($A84,'BU Raw Before'!A:H,7,FALSE),0),0)</f>
        <v>45192</v>
      </c>
      <c r="N84" s="6">
        <f>_xlfn.IFNA(IF(VLOOKUP($A84,'BU Raw After'!A:H,1,FALSE)=$A84,VLOOKUP($A84,'BU Raw After'!A:H,7,FALSE),0),0)</f>
        <v>41112</v>
      </c>
      <c r="O84" s="6">
        <f t="shared" si="12"/>
        <v>-4080</v>
      </c>
      <c r="P84" s="7">
        <f t="shared" si="13"/>
        <v>-9.9241097489784005E-2</v>
      </c>
      <c r="Q84" s="6">
        <f>_xlfn.IFNA(IF(VLOOKUP($A84,'BU Raw Before'!A:H,1,FALSE)=$A84,VLOOKUP($A84,'BU Raw Before'!A:H,8,FALSE),0),0)</f>
        <v>134413169.10820001</v>
      </c>
      <c r="R84" s="6">
        <f>_xlfn.IFNA(IF(VLOOKUP($A84,'BU Raw After'!A:H,1,FALSE)=$A84,VLOOKUP($A84,'BU Raw After'!A:H,8,FALSE),0),0)</f>
        <v>160063473.35569999</v>
      </c>
      <c r="S84" s="6">
        <f t="shared" si="14"/>
        <v>25650304.247499973</v>
      </c>
      <c r="T84" s="7">
        <f t="shared" si="15"/>
        <v>0.16025082868531007</v>
      </c>
    </row>
    <row r="85" spans="1:20" ht="15" x14ac:dyDescent="0.25">
      <c r="A85" t="s">
        <v>84</v>
      </c>
      <c r="B85" t="s">
        <v>83</v>
      </c>
      <c r="C85" t="s">
        <v>6</v>
      </c>
      <c r="D85" t="s">
        <v>9</v>
      </c>
      <c r="E85" s="6">
        <f>_xlfn.IFNA(IF(VLOOKUP($A85,'BU Raw Before'!A:H,1,FALSE)=$A85,VLOOKUP($A85,'BU Raw Before'!A:H,5,FALSE),0),0)</f>
        <v>426001380.60000002</v>
      </c>
      <c r="F85" s="6">
        <f>_xlfn.IFNA(IF(VLOOKUP($A85,'BU Raw After'!A:H,1,FALSE)=$A85,VLOOKUP($A85,'BU Raw After'!A:H,5,FALSE),0),0)</f>
        <v>466009538.04000002</v>
      </c>
      <c r="G85" s="6">
        <f t="shared" si="8"/>
        <v>40008157.439999998</v>
      </c>
      <c r="H85" s="7">
        <f t="shared" si="9"/>
        <v>8.5852657883937755E-2</v>
      </c>
      <c r="I85" s="6">
        <f>_xlfn.IFNA(IF(VLOOKUP($A85,'BU Raw Before'!A:H,1,FALSE)=$A85,VLOOKUP($A85,'BU Raw Before'!A:H,6,FALSE),0),0)</f>
        <v>1159</v>
      </c>
      <c r="J85" s="6">
        <f>_xlfn.IFNA(IF(VLOOKUP($A85,'BU Raw After'!A:H,1,FALSE)=$A85,VLOOKUP($A85,'BU Raw After'!A:H,6,FALSE),0),0)</f>
        <v>1098</v>
      </c>
      <c r="K85" s="6">
        <f t="shared" si="10"/>
        <v>-61</v>
      </c>
      <c r="L85" s="7">
        <f t="shared" si="11"/>
        <v>-5.5555555555555552E-2</v>
      </c>
      <c r="M85" s="6">
        <f>_xlfn.IFNA(IF(VLOOKUP($A85,'BU Raw Before'!A:H,1,FALSE)=$A85,VLOOKUP($A85,'BU Raw Before'!A:H,7,FALSE),0),0)</f>
        <v>1986</v>
      </c>
      <c r="N85" s="6">
        <f>_xlfn.IFNA(IF(VLOOKUP($A85,'BU Raw After'!A:H,1,FALSE)=$A85,VLOOKUP($A85,'BU Raw After'!A:H,7,FALSE),0),0)</f>
        <v>1863</v>
      </c>
      <c r="O85" s="6">
        <f t="shared" si="12"/>
        <v>-123</v>
      </c>
      <c r="P85" s="7">
        <f t="shared" si="13"/>
        <v>-6.602254428341385E-2</v>
      </c>
      <c r="Q85" s="6">
        <f>_xlfn.IFNA(IF(VLOOKUP($A85,'BU Raw Before'!A:H,1,FALSE)=$A85,VLOOKUP($A85,'BU Raw Before'!A:H,8,FALSE),0),0)</f>
        <v>9552079</v>
      </c>
      <c r="R85" s="6">
        <f>_xlfn.IFNA(IF(VLOOKUP($A85,'BU Raw After'!A:H,1,FALSE)=$A85,VLOOKUP($A85,'BU Raw After'!A:H,8,FALSE),0),0)</f>
        <v>10095308</v>
      </c>
      <c r="S85" s="6">
        <f t="shared" si="14"/>
        <v>543229</v>
      </c>
      <c r="T85" s="7">
        <f t="shared" si="15"/>
        <v>5.3810047202125975E-2</v>
      </c>
    </row>
    <row r="86" spans="1:20" ht="15" x14ac:dyDescent="0.25">
      <c r="A86" t="s">
        <v>85</v>
      </c>
      <c r="B86" t="s">
        <v>83</v>
      </c>
      <c r="C86" t="s">
        <v>6</v>
      </c>
      <c r="D86" t="s">
        <v>11</v>
      </c>
      <c r="E86" s="6">
        <f>_xlfn.IFNA(IF(VLOOKUP($A86,'BU Raw Before'!A:H,1,FALSE)=$A86,VLOOKUP($A86,'BU Raw Before'!A:H,5,FALSE),0),0)</f>
        <v>409794484.30000001</v>
      </c>
      <c r="F86" s="6">
        <f>_xlfn.IFNA(IF(VLOOKUP($A86,'BU Raw After'!A:H,1,FALSE)=$A86,VLOOKUP($A86,'BU Raw After'!A:H,5,FALSE),0),0)</f>
        <v>369305421.98000002</v>
      </c>
      <c r="G86" s="6">
        <f t="shared" si="8"/>
        <v>-40489062.319999993</v>
      </c>
      <c r="H86" s="7">
        <f t="shared" si="9"/>
        <v>-0.10963571047216497</v>
      </c>
      <c r="I86" s="6">
        <f>_xlfn.IFNA(IF(VLOOKUP($A86,'BU Raw Before'!A:H,1,FALSE)=$A86,VLOOKUP($A86,'BU Raw Before'!A:H,6,FALSE),0),0)</f>
        <v>454</v>
      </c>
      <c r="J86" s="6">
        <f>_xlfn.IFNA(IF(VLOOKUP($A86,'BU Raw After'!A:H,1,FALSE)=$A86,VLOOKUP($A86,'BU Raw After'!A:H,6,FALSE),0),0)</f>
        <v>394</v>
      </c>
      <c r="K86" s="6">
        <f t="shared" si="10"/>
        <v>-60</v>
      </c>
      <c r="L86" s="7">
        <f t="shared" si="11"/>
        <v>-0.15228426395939088</v>
      </c>
      <c r="M86" s="6">
        <f>_xlfn.IFNA(IF(VLOOKUP($A86,'BU Raw Before'!A:H,1,FALSE)=$A86,VLOOKUP($A86,'BU Raw Before'!A:H,7,FALSE),0),0)</f>
        <v>920</v>
      </c>
      <c r="N86" s="6">
        <f>_xlfn.IFNA(IF(VLOOKUP($A86,'BU Raw After'!A:H,1,FALSE)=$A86,VLOOKUP($A86,'BU Raw After'!A:H,7,FALSE),0),0)</f>
        <v>835</v>
      </c>
      <c r="O86" s="6">
        <f t="shared" si="12"/>
        <v>-85</v>
      </c>
      <c r="P86" s="7">
        <f t="shared" si="13"/>
        <v>-0.10179640718562874</v>
      </c>
      <c r="Q86" s="6">
        <f>_xlfn.IFNA(IF(VLOOKUP($A86,'BU Raw Before'!A:H,1,FALSE)=$A86,VLOOKUP($A86,'BU Raw Before'!A:H,8,FALSE),0),0)</f>
        <v>3909893.9712</v>
      </c>
      <c r="R86" s="6">
        <f>_xlfn.IFNA(IF(VLOOKUP($A86,'BU Raw After'!A:H,1,FALSE)=$A86,VLOOKUP($A86,'BU Raw After'!A:H,8,FALSE),0),0)</f>
        <v>3946231.5580000002</v>
      </c>
      <c r="S86" s="6">
        <f t="shared" si="14"/>
        <v>36337.586800000165</v>
      </c>
      <c r="T86" s="7">
        <f t="shared" si="15"/>
        <v>9.2081739923078696E-3</v>
      </c>
    </row>
    <row r="87" spans="1:20" ht="15" x14ac:dyDescent="0.25">
      <c r="A87" t="s">
        <v>86</v>
      </c>
      <c r="B87" t="s">
        <v>83</v>
      </c>
      <c r="C87" t="s">
        <v>6</v>
      </c>
      <c r="D87" t="s">
        <v>13</v>
      </c>
      <c r="E87" s="6">
        <f>_xlfn.IFNA(IF(VLOOKUP($A87,'BU Raw Before'!A:H,1,FALSE)=$A87,VLOOKUP($A87,'BU Raw Before'!A:H,5,FALSE),0),0)</f>
        <v>187450942.72999999</v>
      </c>
      <c r="F87" s="6">
        <f>_xlfn.IFNA(IF(VLOOKUP($A87,'BU Raw After'!A:H,1,FALSE)=$A87,VLOOKUP($A87,'BU Raw After'!A:H,5,FALSE),0),0)</f>
        <v>261517162.55000001</v>
      </c>
      <c r="G87" s="6">
        <f t="shared" si="8"/>
        <v>74066219.820000023</v>
      </c>
      <c r="H87" s="7">
        <f t="shared" si="9"/>
        <v>0.28321743436566671</v>
      </c>
      <c r="I87" s="6">
        <f>_xlfn.IFNA(IF(VLOOKUP($A87,'BU Raw Before'!A:H,1,FALSE)=$A87,VLOOKUP($A87,'BU Raw Before'!A:H,6,FALSE),0),0)</f>
        <v>243</v>
      </c>
      <c r="J87" s="6">
        <f>_xlfn.IFNA(IF(VLOOKUP($A87,'BU Raw After'!A:H,1,FALSE)=$A87,VLOOKUP($A87,'BU Raw After'!A:H,6,FALSE),0),0)</f>
        <v>262</v>
      </c>
      <c r="K87" s="6">
        <f t="shared" si="10"/>
        <v>19</v>
      </c>
      <c r="L87" s="7">
        <f t="shared" si="11"/>
        <v>7.2519083969465645E-2</v>
      </c>
      <c r="M87" s="6">
        <f>_xlfn.IFNA(IF(VLOOKUP($A87,'BU Raw Before'!A:H,1,FALSE)=$A87,VLOOKUP($A87,'BU Raw Before'!A:H,7,FALSE),0),0)</f>
        <v>599</v>
      </c>
      <c r="N87" s="6">
        <f>_xlfn.IFNA(IF(VLOOKUP($A87,'BU Raw After'!A:H,1,FALSE)=$A87,VLOOKUP($A87,'BU Raw After'!A:H,7,FALSE),0),0)</f>
        <v>612</v>
      </c>
      <c r="O87" s="6">
        <f t="shared" si="12"/>
        <v>13</v>
      </c>
      <c r="P87" s="7">
        <f t="shared" si="13"/>
        <v>2.1241830065359478E-2</v>
      </c>
      <c r="Q87" s="6">
        <f>_xlfn.IFNA(IF(VLOOKUP($A87,'BU Raw Before'!A:H,1,FALSE)=$A87,VLOOKUP($A87,'BU Raw Before'!A:H,8,FALSE),0),0)</f>
        <v>2545992.5</v>
      </c>
      <c r="R87" s="6">
        <f>_xlfn.IFNA(IF(VLOOKUP($A87,'BU Raw After'!A:H,1,FALSE)=$A87,VLOOKUP($A87,'BU Raw After'!A:H,8,FALSE),0),0)</f>
        <v>2342233</v>
      </c>
      <c r="S87" s="6">
        <f t="shared" si="14"/>
        <v>-203759.5</v>
      </c>
      <c r="T87" s="7">
        <f t="shared" si="15"/>
        <v>-8.6993693624844326E-2</v>
      </c>
    </row>
    <row r="88" spans="1:20" ht="15" x14ac:dyDescent="0.25">
      <c r="A88" t="s">
        <v>87</v>
      </c>
      <c r="B88" t="s">
        <v>83</v>
      </c>
      <c r="C88" t="s">
        <v>6</v>
      </c>
      <c r="D88" t="s">
        <v>15</v>
      </c>
      <c r="E88" s="6">
        <f>_xlfn.IFNA(IF(VLOOKUP($A88,'BU Raw Before'!A:H,1,FALSE)=$A88,VLOOKUP($A88,'BU Raw Before'!A:H,5,FALSE),0),0)</f>
        <v>89209287.310000002</v>
      </c>
      <c r="F88" s="6">
        <f>_xlfn.IFNA(IF(VLOOKUP($A88,'BU Raw After'!A:H,1,FALSE)=$A88,VLOOKUP($A88,'BU Raw After'!A:H,5,FALSE),0),0)</f>
        <v>86539694.310000002</v>
      </c>
      <c r="G88" s="6">
        <f t="shared" si="8"/>
        <v>-2669593</v>
      </c>
      <c r="H88" s="7">
        <f t="shared" si="9"/>
        <v>-3.0848190778639231E-2</v>
      </c>
      <c r="I88" s="6">
        <f>_xlfn.IFNA(IF(VLOOKUP($A88,'BU Raw Before'!A:H,1,FALSE)=$A88,VLOOKUP($A88,'BU Raw Before'!A:H,6,FALSE),0),0)</f>
        <v>97</v>
      </c>
      <c r="J88" s="6">
        <f>_xlfn.IFNA(IF(VLOOKUP($A88,'BU Raw After'!A:H,1,FALSE)=$A88,VLOOKUP($A88,'BU Raw After'!A:H,6,FALSE),0),0)</f>
        <v>100</v>
      </c>
      <c r="K88" s="6">
        <f t="shared" si="10"/>
        <v>3</v>
      </c>
      <c r="L88" s="7">
        <f t="shared" si="11"/>
        <v>0.03</v>
      </c>
      <c r="M88" s="6">
        <f>_xlfn.IFNA(IF(VLOOKUP($A88,'BU Raw Before'!A:H,1,FALSE)=$A88,VLOOKUP($A88,'BU Raw Before'!A:H,7,FALSE),0),0)</f>
        <v>192</v>
      </c>
      <c r="N88" s="6">
        <f>_xlfn.IFNA(IF(VLOOKUP($A88,'BU Raw After'!A:H,1,FALSE)=$A88,VLOOKUP($A88,'BU Raw After'!A:H,7,FALSE),0),0)</f>
        <v>220</v>
      </c>
      <c r="O88" s="6">
        <f t="shared" si="12"/>
        <v>28</v>
      </c>
      <c r="P88" s="7">
        <f t="shared" si="13"/>
        <v>0.12727272727272726</v>
      </c>
      <c r="Q88" s="6">
        <f>_xlfn.IFNA(IF(VLOOKUP($A88,'BU Raw Before'!A:H,1,FALSE)=$A88,VLOOKUP($A88,'BU Raw Before'!A:H,8,FALSE),0),0)</f>
        <v>551094.75</v>
      </c>
      <c r="R88" s="6">
        <f>_xlfn.IFNA(IF(VLOOKUP($A88,'BU Raw After'!A:H,1,FALSE)=$A88,VLOOKUP($A88,'BU Raw After'!A:H,8,FALSE),0),0)</f>
        <v>1062155.25</v>
      </c>
      <c r="S88" s="6">
        <f t="shared" si="14"/>
        <v>511060.5</v>
      </c>
      <c r="T88" s="7">
        <f t="shared" si="15"/>
        <v>0.48115423804570939</v>
      </c>
    </row>
    <row r="89" spans="1:20" ht="15" x14ac:dyDescent="0.25">
      <c r="A89" t="s">
        <v>88</v>
      </c>
      <c r="B89" t="s">
        <v>83</v>
      </c>
      <c r="C89" t="s">
        <v>6</v>
      </c>
      <c r="D89" t="s">
        <v>17</v>
      </c>
      <c r="E89" s="6">
        <f>_xlfn.IFNA(IF(VLOOKUP($A89,'BU Raw Before'!A:H,1,FALSE)=$A89,VLOOKUP($A89,'BU Raw Before'!A:H,5,FALSE),0),0)</f>
        <v>87024619.859999999</v>
      </c>
      <c r="F89" s="6">
        <f>_xlfn.IFNA(IF(VLOOKUP($A89,'BU Raw After'!A:H,1,FALSE)=$A89,VLOOKUP($A89,'BU Raw After'!A:H,5,FALSE),0),0)</f>
        <v>94139711</v>
      </c>
      <c r="G89" s="6">
        <f t="shared" si="8"/>
        <v>7115091.1400000006</v>
      </c>
      <c r="H89" s="7">
        <f t="shared" si="9"/>
        <v>7.5580125160996089E-2</v>
      </c>
      <c r="I89" s="6">
        <f>_xlfn.IFNA(IF(VLOOKUP($A89,'BU Raw Before'!A:H,1,FALSE)=$A89,VLOOKUP($A89,'BU Raw Before'!A:H,6,FALSE),0),0)</f>
        <v>57</v>
      </c>
      <c r="J89" s="6">
        <f>_xlfn.IFNA(IF(VLOOKUP($A89,'BU Raw After'!A:H,1,FALSE)=$A89,VLOOKUP($A89,'BU Raw After'!A:H,6,FALSE),0),0)</f>
        <v>75</v>
      </c>
      <c r="K89" s="6">
        <f t="shared" si="10"/>
        <v>18</v>
      </c>
      <c r="L89" s="7">
        <f t="shared" si="11"/>
        <v>0.24</v>
      </c>
      <c r="M89" s="6">
        <f>_xlfn.IFNA(IF(VLOOKUP($A89,'BU Raw Before'!A:H,1,FALSE)=$A89,VLOOKUP($A89,'BU Raw Before'!A:H,7,FALSE),0),0)</f>
        <v>98</v>
      </c>
      <c r="N89" s="6">
        <f>_xlfn.IFNA(IF(VLOOKUP($A89,'BU Raw After'!A:H,1,FALSE)=$A89,VLOOKUP($A89,'BU Raw After'!A:H,7,FALSE),0),0)</f>
        <v>128</v>
      </c>
      <c r="O89" s="6">
        <f t="shared" si="12"/>
        <v>30</v>
      </c>
      <c r="P89" s="7">
        <f t="shared" si="13"/>
        <v>0.234375</v>
      </c>
      <c r="Q89" s="6">
        <f>_xlfn.IFNA(IF(VLOOKUP($A89,'BU Raw Before'!A:H,1,FALSE)=$A89,VLOOKUP($A89,'BU Raw Before'!A:H,8,FALSE),0),0)</f>
        <v>203579</v>
      </c>
      <c r="R89" s="6">
        <f>_xlfn.IFNA(IF(VLOOKUP($A89,'BU Raw After'!A:H,1,FALSE)=$A89,VLOOKUP($A89,'BU Raw After'!A:H,8,FALSE),0),0)</f>
        <v>765710.39950000006</v>
      </c>
      <c r="S89" s="6">
        <f t="shared" si="14"/>
        <v>562131.39950000006</v>
      </c>
      <c r="T89" s="7">
        <f t="shared" si="15"/>
        <v>0.73413055362323054</v>
      </c>
    </row>
    <row r="90" spans="1:20" ht="15" x14ac:dyDescent="0.25">
      <c r="A90" t="s">
        <v>89</v>
      </c>
      <c r="B90" t="s">
        <v>83</v>
      </c>
      <c r="C90" t="s">
        <v>6</v>
      </c>
      <c r="D90" t="s">
        <v>19</v>
      </c>
      <c r="E90" s="6">
        <f>_xlfn.IFNA(IF(VLOOKUP($A90,'BU Raw Before'!A:H,1,FALSE)=$A90,VLOOKUP($A90,'BU Raw Before'!A:H,5,FALSE),0),0)</f>
        <v>322518125.89999998</v>
      </c>
      <c r="F90" s="6">
        <f>_xlfn.IFNA(IF(VLOOKUP($A90,'BU Raw After'!A:H,1,FALSE)=$A90,VLOOKUP($A90,'BU Raw After'!A:H,5,FALSE),0),0)</f>
        <v>336383634.81</v>
      </c>
      <c r="G90" s="6">
        <f t="shared" si="8"/>
        <v>13865508.910000026</v>
      </c>
      <c r="H90" s="7">
        <f t="shared" si="9"/>
        <v>4.1219332557101654E-2</v>
      </c>
      <c r="I90" s="6">
        <f>_xlfn.IFNA(IF(VLOOKUP($A90,'BU Raw Before'!A:H,1,FALSE)=$A90,VLOOKUP($A90,'BU Raw Before'!A:H,6,FALSE),0),0)</f>
        <v>179</v>
      </c>
      <c r="J90" s="6">
        <f>_xlfn.IFNA(IF(VLOOKUP($A90,'BU Raw After'!A:H,1,FALSE)=$A90,VLOOKUP($A90,'BU Raw After'!A:H,6,FALSE),0),0)</f>
        <v>175</v>
      </c>
      <c r="K90" s="6">
        <f t="shared" si="10"/>
        <v>-4</v>
      </c>
      <c r="L90" s="7">
        <f t="shared" si="11"/>
        <v>-2.2857142857142857E-2</v>
      </c>
      <c r="M90" s="6">
        <f>_xlfn.IFNA(IF(VLOOKUP($A90,'BU Raw Before'!A:H,1,FALSE)=$A90,VLOOKUP($A90,'BU Raw Before'!A:H,7,FALSE),0),0)</f>
        <v>394</v>
      </c>
      <c r="N90" s="6">
        <f>_xlfn.IFNA(IF(VLOOKUP($A90,'BU Raw After'!A:H,1,FALSE)=$A90,VLOOKUP($A90,'BU Raw After'!A:H,7,FALSE),0),0)</f>
        <v>415</v>
      </c>
      <c r="O90" s="6">
        <f t="shared" si="12"/>
        <v>21</v>
      </c>
      <c r="P90" s="7">
        <f t="shared" si="13"/>
        <v>5.0602409638554217E-2</v>
      </c>
      <c r="Q90" s="6">
        <f>_xlfn.IFNA(IF(VLOOKUP($A90,'BU Raw Before'!A:H,1,FALSE)=$A90,VLOOKUP($A90,'BU Raw Before'!A:H,8,FALSE),0),0)</f>
        <v>-534501.92500000005</v>
      </c>
      <c r="R90" s="6">
        <f>_xlfn.IFNA(IF(VLOOKUP($A90,'BU Raw After'!A:H,1,FALSE)=$A90,VLOOKUP($A90,'BU Raw After'!A:H,8,FALSE),0),0)</f>
        <v>567919</v>
      </c>
      <c r="S90" s="6">
        <f t="shared" si="14"/>
        <v>1102420.925</v>
      </c>
      <c r="T90" s="7">
        <f t="shared" si="15"/>
        <v>1.9411587303823257</v>
      </c>
    </row>
    <row r="91" spans="1:20" ht="15" x14ac:dyDescent="0.25">
      <c r="A91" t="s">
        <v>90</v>
      </c>
      <c r="B91" t="s">
        <v>83</v>
      </c>
      <c r="C91" t="s">
        <v>6</v>
      </c>
      <c r="D91" t="s">
        <v>21</v>
      </c>
      <c r="E91" s="6">
        <f>_xlfn.IFNA(IF(VLOOKUP($A91,'BU Raw Before'!A:H,1,FALSE)=$A91,VLOOKUP($A91,'BU Raw Before'!A:H,5,FALSE),0),0)</f>
        <v>83051968.799999997</v>
      </c>
      <c r="F91" s="6">
        <f>_xlfn.IFNA(IF(VLOOKUP($A91,'BU Raw After'!A:H,1,FALSE)=$A91,VLOOKUP($A91,'BU Raw After'!A:H,5,FALSE),0),0)</f>
        <v>85780425.840000004</v>
      </c>
      <c r="G91" s="6">
        <f t="shared" si="8"/>
        <v>2728457.0400000066</v>
      </c>
      <c r="H91" s="7">
        <f t="shared" si="9"/>
        <v>3.1807455060775744E-2</v>
      </c>
      <c r="I91" s="6">
        <f>_xlfn.IFNA(IF(VLOOKUP($A91,'BU Raw Before'!A:H,1,FALSE)=$A91,VLOOKUP($A91,'BU Raw Before'!A:H,6,FALSE),0),0)</f>
        <v>1130</v>
      </c>
      <c r="J91" s="6">
        <f>_xlfn.IFNA(IF(VLOOKUP($A91,'BU Raw After'!A:H,1,FALSE)=$A91,VLOOKUP($A91,'BU Raw After'!A:H,6,FALSE),0),0)</f>
        <v>1202</v>
      </c>
      <c r="K91" s="6">
        <f t="shared" si="10"/>
        <v>72</v>
      </c>
      <c r="L91" s="7">
        <f t="shared" si="11"/>
        <v>5.9900166389351084E-2</v>
      </c>
      <c r="M91" s="6">
        <f>_xlfn.IFNA(IF(VLOOKUP($A91,'BU Raw Before'!A:H,1,FALSE)=$A91,VLOOKUP($A91,'BU Raw Before'!A:H,7,FALSE),0),0)</f>
        <v>1159</v>
      </c>
      <c r="N91" s="6">
        <f>_xlfn.IFNA(IF(VLOOKUP($A91,'BU Raw After'!A:H,1,FALSE)=$A91,VLOOKUP($A91,'BU Raw After'!A:H,7,FALSE),0),0)</f>
        <v>1247</v>
      </c>
      <c r="O91" s="6">
        <f t="shared" si="12"/>
        <v>88</v>
      </c>
      <c r="P91" s="7">
        <f t="shared" si="13"/>
        <v>7.0569366479550921E-2</v>
      </c>
      <c r="Q91" s="6">
        <f>_xlfn.IFNA(IF(VLOOKUP($A91,'BU Raw Before'!A:H,1,FALSE)=$A91,VLOOKUP($A91,'BU Raw Before'!A:H,8,FALSE),0),0)</f>
        <v>-28767709.5</v>
      </c>
      <c r="R91" s="6">
        <f>_xlfn.IFNA(IF(VLOOKUP($A91,'BU Raw After'!A:H,1,FALSE)=$A91,VLOOKUP($A91,'BU Raw After'!A:H,8,FALSE),0),0)</f>
        <v>-30340867.5</v>
      </c>
      <c r="S91" s="6">
        <f t="shared" si="14"/>
        <v>-1573158</v>
      </c>
      <c r="T91" s="7">
        <f t="shared" si="15"/>
        <v>5.1849473321749946E-2</v>
      </c>
    </row>
    <row r="92" spans="1:20" ht="15" x14ac:dyDescent="0.25">
      <c r="A92" t="s">
        <v>91</v>
      </c>
      <c r="B92" t="s">
        <v>83</v>
      </c>
      <c r="C92" t="s">
        <v>23</v>
      </c>
      <c r="D92" t="s">
        <v>7</v>
      </c>
      <c r="E92" s="6">
        <f>_xlfn.IFNA(IF(VLOOKUP($A92,'BU Raw Before'!A:H,1,FALSE)=$A92,VLOOKUP($A92,'BU Raw Before'!A:H,5,FALSE),0),0)</f>
        <v>2159225810.02</v>
      </c>
      <c r="F92" s="6">
        <f>_xlfn.IFNA(IF(VLOOKUP($A92,'BU Raw After'!A:H,1,FALSE)=$A92,VLOOKUP($A92,'BU Raw After'!A:H,5,FALSE),0),0)</f>
        <v>1978761682.48</v>
      </c>
      <c r="G92" s="6">
        <f t="shared" si="8"/>
        <v>-180464127.53999996</v>
      </c>
      <c r="H92" s="7">
        <f t="shared" si="9"/>
        <v>-9.1200536748731978E-2</v>
      </c>
      <c r="I92" s="6">
        <f>_xlfn.IFNA(IF(VLOOKUP($A92,'BU Raw Before'!A:H,1,FALSE)=$A92,VLOOKUP($A92,'BU Raw Before'!A:H,6,FALSE),0),0)</f>
        <v>12522</v>
      </c>
      <c r="J92" s="6">
        <f>_xlfn.IFNA(IF(VLOOKUP($A92,'BU Raw After'!A:H,1,FALSE)=$A92,VLOOKUP($A92,'BU Raw After'!A:H,6,FALSE),0),0)</f>
        <v>10571</v>
      </c>
      <c r="K92" s="6">
        <f t="shared" si="10"/>
        <v>-1951</v>
      </c>
      <c r="L92" s="7">
        <f t="shared" si="11"/>
        <v>-0.18456153627849778</v>
      </c>
      <c r="M92" s="6">
        <f>_xlfn.IFNA(IF(VLOOKUP($A92,'BU Raw Before'!A:H,1,FALSE)=$A92,VLOOKUP($A92,'BU Raw Before'!A:H,7,FALSE),0),0)</f>
        <v>14668</v>
      </c>
      <c r="N92" s="6">
        <f>_xlfn.IFNA(IF(VLOOKUP($A92,'BU Raw After'!A:H,1,FALSE)=$A92,VLOOKUP($A92,'BU Raw After'!A:H,7,FALSE),0),0)</f>
        <v>12296</v>
      </c>
      <c r="O92" s="6">
        <f t="shared" si="12"/>
        <v>-2372</v>
      </c>
      <c r="P92" s="7">
        <f t="shared" si="13"/>
        <v>-0.19290826284970722</v>
      </c>
      <c r="Q92" s="6">
        <f>_xlfn.IFNA(IF(VLOOKUP($A92,'BU Raw Before'!A:H,1,FALSE)=$A92,VLOOKUP($A92,'BU Raw Before'!A:H,8,FALSE),0),0)</f>
        <v>41688119.962499999</v>
      </c>
      <c r="R92" s="6">
        <f>_xlfn.IFNA(IF(VLOOKUP($A92,'BU Raw After'!A:H,1,FALSE)=$A92,VLOOKUP($A92,'BU Raw After'!A:H,8,FALSE),0),0)</f>
        <v>48049295.659999996</v>
      </c>
      <c r="S92" s="6">
        <f t="shared" si="14"/>
        <v>6361175.6974999979</v>
      </c>
      <c r="T92" s="7">
        <f t="shared" si="15"/>
        <v>0.13238853161370145</v>
      </c>
    </row>
    <row r="93" spans="1:20" ht="15" x14ac:dyDescent="0.25">
      <c r="A93" t="s">
        <v>92</v>
      </c>
      <c r="B93" t="s">
        <v>83</v>
      </c>
      <c r="C93" t="s">
        <v>23</v>
      </c>
      <c r="D93" t="s">
        <v>9</v>
      </c>
      <c r="E93" s="6">
        <f>_xlfn.IFNA(IF(VLOOKUP($A93,'BU Raw Before'!A:H,1,FALSE)=$A93,VLOOKUP($A93,'BU Raw Before'!A:H,5,FALSE),0),0)</f>
        <v>150985996.44999999</v>
      </c>
      <c r="F93" s="6">
        <f>_xlfn.IFNA(IF(VLOOKUP($A93,'BU Raw After'!A:H,1,FALSE)=$A93,VLOOKUP($A93,'BU Raw After'!A:H,5,FALSE),0),0)</f>
        <v>100248120.48999999</v>
      </c>
      <c r="G93" s="6">
        <f t="shared" si="8"/>
        <v>-50737875.959999993</v>
      </c>
      <c r="H93" s="7">
        <f t="shared" si="9"/>
        <v>-0.50612296481968688</v>
      </c>
      <c r="I93" s="6">
        <f>_xlfn.IFNA(IF(VLOOKUP($A93,'BU Raw Before'!A:H,1,FALSE)=$A93,VLOOKUP($A93,'BU Raw Before'!A:H,6,FALSE),0),0)</f>
        <v>350</v>
      </c>
      <c r="J93" s="6">
        <f>_xlfn.IFNA(IF(VLOOKUP($A93,'BU Raw After'!A:H,1,FALSE)=$A93,VLOOKUP($A93,'BU Raw After'!A:H,6,FALSE),0),0)</f>
        <v>307</v>
      </c>
      <c r="K93" s="6">
        <f t="shared" si="10"/>
        <v>-43</v>
      </c>
      <c r="L93" s="7">
        <f t="shared" si="11"/>
        <v>-0.14006514657980457</v>
      </c>
      <c r="M93" s="6">
        <f>_xlfn.IFNA(IF(VLOOKUP($A93,'BU Raw Before'!A:H,1,FALSE)=$A93,VLOOKUP($A93,'BU Raw Before'!A:H,7,FALSE),0),0)</f>
        <v>570</v>
      </c>
      <c r="N93" s="6">
        <f>_xlfn.IFNA(IF(VLOOKUP($A93,'BU Raw After'!A:H,1,FALSE)=$A93,VLOOKUP($A93,'BU Raw After'!A:H,7,FALSE),0),0)</f>
        <v>547</v>
      </c>
      <c r="O93" s="6">
        <f t="shared" si="12"/>
        <v>-23</v>
      </c>
      <c r="P93" s="7">
        <f t="shared" si="13"/>
        <v>-4.2047531992687383E-2</v>
      </c>
      <c r="Q93" s="6">
        <f>_xlfn.IFNA(IF(VLOOKUP($A93,'BU Raw Before'!A:H,1,FALSE)=$A93,VLOOKUP($A93,'BU Raw Before'!A:H,8,FALSE),0),0)</f>
        <v>1969394.875</v>
      </c>
      <c r="R93" s="6">
        <f>_xlfn.IFNA(IF(VLOOKUP($A93,'BU Raw After'!A:H,1,FALSE)=$A93,VLOOKUP($A93,'BU Raw After'!A:H,8,FALSE),0),0)</f>
        <v>2494566.4700000002</v>
      </c>
      <c r="S93" s="6">
        <f t="shared" si="14"/>
        <v>525171.5950000002</v>
      </c>
      <c r="T93" s="7">
        <f t="shared" si="15"/>
        <v>0.21052619816540713</v>
      </c>
    </row>
    <row r="94" spans="1:20" ht="15" x14ac:dyDescent="0.25">
      <c r="A94" t="s">
        <v>93</v>
      </c>
      <c r="B94" t="s">
        <v>83</v>
      </c>
      <c r="C94" t="s">
        <v>23</v>
      </c>
      <c r="D94" t="s">
        <v>11</v>
      </c>
      <c r="E94" s="6">
        <f>_xlfn.IFNA(IF(VLOOKUP($A94,'BU Raw Before'!A:H,1,FALSE)=$A94,VLOOKUP($A94,'BU Raw Before'!A:H,5,FALSE),0),0)</f>
        <v>98822449.340000004</v>
      </c>
      <c r="F94" s="6">
        <f>_xlfn.IFNA(IF(VLOOKUP($A94,'BU Raw After'!A:H,1,FALSE)=$A94,VLOOKUP($A94,'BU Raw After'!A:H,5,FALSE),0),0)</f>
        <v>63865338</v>
      </c>
      <c r="G94" s="6">
        <f t="shared" si="8"/>
        <v>-34957111.340000004</v>
      </c>
      <c r="H94" s="7">
        <f t="shared" si="9"/>
        <v>-0.54735655419219742</v>
      </c>
      <c r="I94" s="6">
        <f>_xlfn.IFNA(IF(VLOOKUP($A94,'BU Raw Before'!A:H,1,FALSE)=$A94,VLOOKUP($A94,'BU Raw Before'!A:H,6,FALSE),0),0)</f>
        <v>140</v>
      </c>
      <c r="J94" s="6">
        <f>_xlfn.IFNA(IF(VLOOKUP($A94,'BU Raw After'!A:H,1,FALSE)=$A94,VLOOKUP($A94,'BU Raw After'!A:H,6,FALSE),0),0)</f>
        <v>108</v>
      </c>
      <c r="K94" s="6">
        <f t="shared" si="10"/>
        <v>-32</v>
      </c>
      <c r="L94" s="7">
        <f t="shared" si="11"/>
        <v>-0.29629629629629628</v>
      </c>
      <c r="M94" s="6">
        <f>_xlfn.IFNA(IF(VLOOKUP($A94,'BU Raw Before'!A:H,1,FALSE)=$A94,VLOOKUP($A94,'BU Raw Before'!A:H,7,FALSE),0),0)</f>
        <v>270</v>
      </c>
      <c r="N94" s="6">
        <f>_xlfn.IFNA(IF(VLOOKUP($A94,'BU Raw After'!A:H,1,FALSE)=$A94,VLOOKUP($A94,'BU Raw After'!A:H,7,FALSE),0),0)</f>
        <v>224</v>
      </c>
      <c r="O94" s="6">
        <f t="shared" si="12"/>
        <v>-46</v>
      </c>
      <c r="P94" s="7">
        <f t="shared" si="13"/>
        <v>-0.20535714285714285</v>
      </c>
      <c r="Q94" s="6">
        <f>_xlfn.IFNA(IF(VLOOKUP($A94,'BU Raw Before'!A:H,1,FALSE)=$A94,VLOOKUP($A94,'BU Raw Before'!A:H,8,FALSE),0),0)</f>
        <v>992637.25</v>
      </c>
      <c r="R94" s="6">
        <f>_xlfn.IFNA(IF(VLOOKUP($A94,'BU Raw After'!A:H,1,FALSE)=$A94,VLOOKUP($A94,'BU Raw After'!A:H,8,FALSE),0),0)</f>
        <v>811007.90969999996</v>
      </c>
      <c r="S94" s="6">
        <f t="shared" si="14"/>
        <v>-181629.34030000004</v>
      </c>
      <c r="T94" s="7">
        <f t="shared" si="15"/>
        <v>-0.22395507877005363</v>
      </c>
    </row>
    <row r="95" spans="1:20" ht="15" x14ac:dyDescent="0.25">
      <c r="A95" t="s">
        <v>94</v>
      </c>
      <c r="B95" t="s">
        <v>83</v>
      </c>
      <c r="C95" t="s">
        <v>23</v>
      </c>
      <c r="D95" t="s">
        <v>13</v>
      </c>
      <c r="E95" s="6">
        <f>_xlfn.IFNA(IF(VLOOKUP($A95,'BU Raw Before'!A:H,1,FALSE)=$A95,VLOOKUP($A95,'BU Raw Before'!A:H,5,FALSE),0),0)</f>
        <v>64103183.159999996</v>
      </c>
      <c r="F95" s="6">
        <f>_xlfn.IFNA(IF(VLOOKUP($A95,'BU Raw After'!A:H,1,FALSE)=$A95,VLOOKUP($A95,'BU Raw After'!A:H,5,FALSE),0),0)</f>
        <v>58558384.600000001</v>
      </c>
      <c r="G95" s="6">
        <f t="shared" si="8"/>
        <v>-5544798.5599999949</v>
      </c>
      <c r="H95" s="7">
        <f t="shared" si="9"/>
        <v>-9.4688379774738443E-2</v>
      </c>
      <c r="I95" s="6">
        <f>_xlfn.IFNA(IF(VLOOKUP($A95,'BU Raw Before'!A:H,1,FALSE)=$A95,VLOOKUP($A95,'BU Raw Before'!A:H,6,FALSE),0),0)</f>
        <v>89</v>
      </c>
      <c r="J95" s="6">
        <f>_xlfn.IFNA(IF(VLOOKUP($A95,'BU Raw After'!A:H,1,FALSE)=$A95,VLOOKUP($A95,'BU Raw After'!A:H,6,FALSE),0),0)</f>
        <v>74</v>
      </c>
      <c r="K95" s="6">
        <f t="shared" si="10"/>
        <v>-15</v>
      </c>
      <c r="L95" s="7">
        <f t="shared" si="11"/>
        <v>-0.20270270270270271</v>
      </c>
      <c r="M95" s="6">
        <f>_xlfn.IFNA(IF(VLOOKUP($A95,'BU Raw Before'!A:H,1,FALSE)=$A95,VLOOKUP($A95,'BU Raw Before'!A:H,7,FALSE),0),0)</f>
        <v>238</v>
      </c>
      <c r="N95" s="6">
        <f>_xlfn.IFNA(IF(VLOOKUP($A95,'BU Raw After'!A:H,1,FALSE)=$A95,VLOOKUP($A95,'BU Raw After'!A:H,7,FALSE),0),0)</f>
        <v>172</v>
      </c>
      <c r="O95" s="6">
        <f t="shared" si="12"/>
        <v>-66</v>
      </c>
      <c r="P95" s="7">
        <f t="shared" si="13"/>
        <v>-0.38372093023255816</v>
      </c>
      <c r="Q95" s="6">
        <f>_xlfn.IFNA(IF(VLOOKUP($A95,'BU Raw Before'!A:H,1,FALSE)=$A95,VLOOKUP($A95,'BU Raw Before'!A:H,8,FALSE),0),0)</f>
        <v>271212</v>
      </c>
      <c r="R95" s="6">
        <f>_xlfn.IFNA(IF(VLOOKUP($A95,'BU Raw After'!A:H,1,FALSE)=$A95,VLOOKUP($A95,'BU Raw After'!A:H,8,FALSE),0),0)</f>
        <v>506603</v>
      </c>
      <c r="S95" s="6">
        <f t="shared" si="14"/>
        <v>235391</v>
      </c>
      <c r="T95" s="7">
        <f t="shared" si="15"/>
        <v>0.46464588642388616</v>
      </c>
    </row>
    <row r="96" spans="1:20" ht="15" x14ac:dyDescent="0.25">
      <c r="A96" t="s">
        <v>95</v>
      </c>
      <c r="B96" t="s">
        <v>83</v>
      </c>
      <c r="C96" t="s">
        <v>23</v>
      </c>
      <c r="D96" t="s">
        <v>15</v>
      </c>
      <c r="E96" s="6">
        <f>_xlfn.IFNA(IF(VLOOKUP($A96,'BU Raw Before'!A:H,1,FALSE)=$A96,VLOOKUP($A96,'BU Raw Before'!A:H,5,FALSE),0),0)</f>
        <v>17124674.899999999</v>
      </c>
      <c r="F96" s="6">
        <f>_xlfn.IFNA(IF(VLOOKUP($A96,'BU Raw After'!A:H,1,FALSE)=$A96,VLOOKUP($A96,'BU Raw After'!A:H,5,FALSE),0),0)</f>
        <v>15487671</v>
      </c>
      <c r="G96" s="6">
        <f t="shared" si="8"/>
        <v>-1637003.8999999985</v>
      </c>
      <c r="H96" s="7">
        <f t="shared" si="9"/>
        <v>-0.10569722845997946</v>
      </c>
      <c r="I96" s="6">
        <f>_xlfn.IFNA(IF(VLOOKUP($A96,'BU Raw Before'!A:H,1,FALSE)=$A96,VLOOKUP($A96,'BU Raw Before'!A:H,6,FALSE),0),0)</f>
        <v>34</v>
      </c>
      <c r="J96" s="6">
        <f>_xlfn.IFNA(IF(VLOOKUP($A96,'BU Raw After'!A:H,1,FALSE)=$A96,VLOOKUP($A96,'BU Raw After'!A:H,6,FALSE),0),0)</f>
        <v>22</v>
      </c>
      <c r="K96" s="6">
        <f t="shared" si="10"/>
        <v>-12</v>
      </c>
      <c r="L96" s="7">
        <f t="shared" si="11"/>
        <v>-0.54545454545454541</v>
      </c>
      <c r="M96" s="6">
        <f>_xlfn.IFNA(IF(VLOOKUP($A96,'BU Raw Before'!A:H,1,FALSE)=$A96,VLOOKUP($A96,'BU Raw Before'!A:H,7,FALSE),0),0)</f>
        <v>69</v>
      </c>
      <c r="N96" s="6">
        <f>_xlfn.IFNA(IF(VLOOKUP($A96,'BU Raw After'!A:H,1,FALSE)=$A96,VLOOKUP($A96,'BU Raw After'!A:H,7,FALSE),0),0)</f>
        <v>44</v>
      </c>
      <c r="O96" s="6">
        <f t="shared" si="12"/>
        <v>-25</v>
      </c>
      <c r="P96" s="7">
        <f t="shared" si="13"/>
        <v>-0.56818181818181823</v>
      </c>
      <c r="Q96" s="6">
        <f>_xlfn.IFNA(IF(VLOOKUP($A96,'BU Raw Before'!A:H,1,FALSE)=$A96,VLOOKUP($A96,'BU Raw Before'!A:H,8,FALSE),0),0)</f>
        <v>210681</v>
      </c>
      <c r="R96" s="6">
        <f>_xlfn.IFNA(IF(VLOOKUP($A96,'BU Raw After'!A:H,1,FALSE)=$A96,VLOOKUP($A96,'BU Raw After'!A:H,8,FALSE),0),0)</f>
        <v>136624</v>
      </c>
      <c r="S96" s="6">
        <f t="shared" si="14"/>
        <v>-74057</v>
      </c>
      <c r="T96" s="7">
        <f t="shared" si="15"/>
        <v>-0.54204971308115701</v>
      </c>
    </row>
    <row r="97" spans="1:20" ht="15" x14ac:dyDescent="0.25">
      <c r="A97" t="s">
        <v>96</v>
      </c>
      <c r="B97" t="s">
        <v>83</v>
      </c>
      <c r="C97" t="s">
        <v>23</v>
      </c>
      <c r="D97" t="s">
        <v>17</v>
      </c>
      <c r="E97" s="6">
        <f>_xlfn.IFNA(IF(VLOOKUP($A97,'BU Raw Before'!A:H,1,FALSE)=$A97,VLOOKUP($A97,'BU Raw Before'!A:H,5,FALSE),0),0)</f>
        <v>24422728.260000002</v>
      </c>
      <c r="F97" s="6">
        <f>_xlfn.IFNA(IF(VLOOKUP($A97,'BU Raw After'!A:H,1,FALSE)=$A97,VLOOKUP($A97,'BU Raw After'!A:H,5,FALSE),0),0)</f>
        <v>32469685</v>
      </c>
      <c r="G97" s="6">
        <f t="shared" si="8"/>
        <v>8046956.7399999984</v>
      </c>
      <c r="H97" s="7">
        <f t="shared" si="9"/>
        <v>0.24782983696946856</v>
      </c>
      <c r="I97" s="6">
        <f>_xlfn.IFNA(IF(VLOOKUP($A97,'BU Raw Before'!A:H,1,FALSE)=$A97,VLOOKUP($A97,'BU Raw Before'!A:H,6,FALSE),0),0)</f>
        <v>20</v>
      </c>
      <c r="J97" s="6">
        <f>_xlfn.IFNA(IF(VLOOKUP($A97,'BU Raw After'!A:H,1,FALSE)=$A97,VLOOKUP($A97,'BU Raw After'!A:H,6,FALSE),0),0)</f>
        <v>18</v>
      </c>
      <c r="K97" s="6">
        <f t="shared" si="10"/>
        <v>-2</v>
      </c>
      <c r="L97" s="7">
        <f t="shared" si="11"/>
        <v>-0.1111111111111111</v>
      </c>
      <c r="M97" s="6">
        <f>_xlfn.IFNA(IF(VLOOKUP($A97,'BU Raw Before'!A:H,1,FALSE)=$A97,VLOOKUP($A97,'BU Raw Before'!A:H,7,FALSE),0),0)</f>
        <v>42</v>
      </c>
      <c r="N97" s="6">
        <f>_xlfn.IFNA(IF(VLOOKUP($A97,'BU Raw After'!A:H,1,FALSE)=$A97,VLOOKUP($A97,'BU Raw After'!A:H,7,FALSE),0),0)</f>
        <v>30</v>
      </c>
      <c r="O97" s="6">
        <f t="shared" si="12"/>
        <v>-12</v>
      </c>
      <c r="P97" s="7">
        <f t="shared" si="13"/>
        <v>-0.4</v>
      </c>
      <c r="Q97" s="6">
        <f>_xlfn.IFNA(IF(VLOOKUP($A97,'BU Raw Before'!A:H,1,FALSE)=$A97,VLOOKUP($A97,'BU Raw Before'!A:H,8,FALSE),0),0)</f>
        <v>286342</v>
      </c>
      <c r="R97" s="6">
        <f>_xlfn.IFNA(IF(VLOOKUP($A97,'BU Raw After'!A:H,1,FALSE)=$A97,VLOOKUP($A97,'BU Raw After'!A:H,8,FALSE),0),0)</f>
        <v>87192</v>
      </c>
      <c r="S97" s="6">
        <f t="shared" si="14"/>
        <v>-199150</v>
      </c>
      <c r="T97" s="7">
        <f t="shared" si="15"/>
        <v>-2.2840398201669876</v>
      </c>
    </row>
    <row r="98" spans="1:20" ht="15" x14ac:dyDescent="0.25">
      <c r="A98" t="s">
        <v>97</v>
      </c>
      <c r="B98" t="s">
        <v>83</v>
      </c>
      <c r="C98" t="s">
        <v>23</v>
      </c>
      <c r="D98" t="s">
        <v>19</v>
      </c>
      <c r="E98" s="6">
        <f>_xlfn.IFNA(IF(VLOOKUP($A98,'BU Raw Before'!A:H,1,FALSE)=$A98,VLOOKUP($A98,'BU Raw Before'!A:H,5,FALSE),0),0)</f>
        <v>70954920.689999998</v>
      </c>
      <c r="F98" s="6">
        <f>_xlfn.IFNA(IF(VLOOKUP($A98,'BU Raw After'!A:H,1,FALSE)=$A98,VLOOKUP($A98,'BU Raw After'!A:H,5,FALSE),0),0)</f>
        <v>107677371.98999999</v>
      </c>
      <c r="G98" s="6">
        <f t="shared" si="8"/>
        <v>36722451.299999997</v>
      </c>
      <c r="H98" s="7">
        <f t="shared" si="9"/>
        <v>0.34104148923146466</v>
      </c>
      <c r="I98" s="6">
        <f>_xlfn.IFNA(IF(VLOOKUP($A98,'BU Raw Before'!A:H,1,FALSE)=$A98,VLOOKUP($A98,'BU Raw Before'!A:H,6,FALSE),0),0)</f>
        <v>57</v>
      </c>
      <c r="J98" s="6">
        <f>_xlfn.IFNA(IF(VLOOKUP($A98,'BU Raw After'!A:H,1,FALSE)=$A98,VLOOKUP($A98,'BU Raw After'!A:H,6,FALSE),0),0)</f>
        <v>57</v>
      </c>
      <c r="K98" s="6">
        <f t="shared" si="10"/>
        <v>0</v>
      </c>
      <c r="L98" s="7">
        <f t="shared" si="11"/>
        <v>0</v>
      </c>
      <c r="M98" s="6">
        <f>_xlfn.IFNA(IF(VLOOKUP($A98,'BU Raw Before'!A:H,1,FALSE)=$A98,VLOOKUP($A98,'BU Raw Before'!A:H,7,FALSE),0),0)</f>
        <v>131</v>
      </c>
      <c r="N98" s="6">
        <f>_xlfn.IFNA(IF(VLOOKUP($A98,'BU Raw After'!A:H,1,FALSE)=$A98,VLOOKUP($A98,'BU Raw After'!A:H,7,FALSE),0),0)</f>
        <v>88</v>
      </c>
      <c r="O98" s="6">
        <f t="shared" si="12"/>
        <v>-43</v>
      </c>
      <c r="P98" s="7">
        <f t="shared" si="13"/>
        <v>-0.48863636363636365</v>
      </c>
      <c r="Q98" s="6">
        <f>_xlfn.IFNA(IF(VLOOKUP($A98,'BU Raw Before'!A:H,1,FALSE)=$A98,VLOOKUP($A98,'BU Raw Before'!A:H,8,FALSE),0),0)</f>
        <v>-21515</v>
      </c>
      <c r="R98" s="6">
        <f>_xlfn.IFNA(IF(VLOOKUP($A98,'BU Raw After'!A:H,1,FALSE)=$A98,VLOOKUP($A98,'BU Raw After'!A:H,8,FALSE),0),0)</f>
        <v>-182138.5</v>
      </c>
      <c r="S98" s="6">
        <f t="shared" si="14"/>
        <v>-160623.5</v>
      </c>
      <c r="T98" s="7">
        <f t="shared" si="15"/>
        <v>0.88187560565174306</v>
      </c>
    </row>
    <row r="99" spans="1:20" ht="15" x14ac:dyDescent="0.25">
      <c r="A99" t="s">
        <v>98</v>
      </c>
      <c r="B99" t="s">
        <v>83</v>
      </c>
      <c r="C99" t="s">
        <v>23</v>
      </c>
      <c r="D99" t="s">
        <v>21</v>
      </c>
      <c r="E99" s="6">
        <f>_xlfn.IFNA(IF(VLOOKUP($A99,'BU Raw Before'!A:H,1,FALSE)=$A99,VLOOKUP($A99,'BU Raw Before'!A:H,5,FALSE),0),0)</f>
        <v>23789442.960000001</v>
      </c>
      <c r="F99" s="6">
        <f>_xlfn.IFNA(IF(VLOOKUP($A99,'BU Raw After'!A:H,1,FALSE)=$A99,VLOOKUP($A99,'BU Raw After'!A:H,5,FALSE),0),0)</f>
        <v>20116914.030000001</v>
      </c>
      <c r="G99" s="6">
        <f t="shared" si="8"/>
        <v>-3672528.9299999997</v>
      </c>
      <c r="H99" s="7">
        <f t="shared" si="9"/>
        <v>-0.18255925956253635</v>
      </c>
      <c r="I99" s="6">
        <f>_xlfn.IFNA(IF(VLOOKUP($A99,'BU Raw Before'!A:H,1,FALSE)=$A99,VLOOKUP($A99,'BU Raw Before'!A:H,6,FALSE),0),0)</f>
        <v>375</v>
      </c>
      <c r="J99" s="6">
        <f>_xlfn.IFNA(IF(VLOOKUP($A99,'BU Raw After'!A:H,1,FALSE)=$A99,VLOOKUP($A99,'BU Raw After'!A:H,6,FALSE),0),0)</f>
        <v>365</v>
      </c>
      <c r="K99" s="6">
        <f t="shared" si="10"/>
        <v>-10</v>
      </c>
      <c r="L99" s="7">
        <f t="shared" si="11"/>
        <v>-2.7397260273972601E-2</v>
      </c>
      <c r="M99" s="6">
        <f>_xlfn.IFNA(IF(VLOOKUP($A99,'BU Raw Before'!A:H,1,FALSE)=$A99,VLOOKUP($A99,'BU Raw Before'!A:H,7,FALSE),0),0)</f>
        <v>384</v>
      </c>
      <c r="N99" s="6">
        <f>_xlfn.IFNA(IF(VLOOKUP($A99,'BU Raw After'!A:H,1,FALSE)=$A99,VLOOKUP($A99,'BU Raw After'!A:H,7,FALSE),0),0)</f>
        <v>371</v>
      </c>
      <c r="O99" s="6">
        <f t="shared" si="12"/>
        <v>-13</v>
      </c>
      <c r="P99" s="7">
        <f t="shared" si="13"/>
        <v>-3.5040431266846361E-2</v>
      </c>
      <c r="Q99" s="6">
        <f>_xlfn.IFNA(IF(VLOOKUP($A99,'BU Raw Before'!A:H,1,FALSE)=$A99,VLOOKUP($A99,'BU Raw Before'!A:H,8,FALSE),0),0)</f>
        <v>-7291168.5</v>
      </c>
      <c r="R99" s="6">
        <f>_xlfn.IFNA(IF(VLOOKUP($A99,'BU Raw After'!A:H,1,FALSE)=$A99,VLOOKUP($A99,'BU Raw After'!A:H,8,FALSE),0),0)</f>
        <v>-6749109.5</v>
      </c>
      <c r="S99" s="6">
        <f t="shared" si="14"/>
        <v>542059</v>
      </c>
      <c r="T99" s="7">
        <f t="shared" si="15"/>
        <v>-8.0315632751254071E-2</v>
      </c>
    </row>
    <row r="100" spans="1:20" ht="15" x14ac:dyDescent="0.25">
      <c r="A100" t="s">
        <v>99</v>
      </c>
      <c r="B100" t="s">
        <v>83</v>
      </c>
      <c r="C100" t="s">
        <v>32</v>
      </c>
      <c r="D100" t="s">
        <v>7</v>
      </c>
      <c r="E100" s="6">
        <f>_xlfn.IFNA(IF(VLOOKUP($A100,'BU Raw Before'!A:H,1,FALSE)=$A100,VLOOKUP($A100,'BU Raw Before'!A:H,5,FALSE),0),0)</f>
        <v>9621619301.7999992</v>
      </c>
      <c r="F100" s="6">
        <f>_xlfn.IFNA(IF(VLOOKUP($A100,'BU Raw After'!A:H,1,FALSE)=$A100,VLOOKUP($A100,'BU Raw After'!A:H,5,FALSE),0),0)</f>
        <v>8529883534.3800001</v>
      </c>
      <c r="G100" s="6">
        <f t="shared" si="8"/>
        <v>-1091735767.4199991</v>
      </c>
      <c r="H100" s="7">
        <f t="shared" si="9"/>
        <v>-0.12798952799527907</v>
      </c>
      <c r="I100" s="6">
        <f>_xlfn.IFNA(IF(VLOOKUP($A100,'BU Raw Before'!A:H,1,FALSE)=$A100,VLOOKUP($A100,'BU Raw Before'!A:H,6,FALSE),0),0)</f>
        <v>76316</v>
      </c>
      <c r="J100" s="6">
        <f>_xlfn.IFNA(IF(VLOOKUP($A100,'BU Raw After'!A:H,1,FALSE)=$A100,VLOOKUP($A100,'BU Raw After'!A:H,6,FALSE),0),0)</f>
        <v>64653</v>
      </c>
      <c r="K100" s="6">
        <f t="shared" si="10"/>
        <v>-11663</v>
      </c>
      <c r="L100" s="7">
        <f t="shared" si="11"/>
        <v>-0.18039379456483071</v>
      </c>
      <c r="M100" s="6">
        <f>_xlfn.IFNA(IF(VLOOKUP($A100,'BU Raw Before'!A:H,1,FALSE)=$A100,VLOOKUP($A100,'BU Raw Before'!A:H,7,FALSE),0),0)</f>
        <v>91068</v>
      </c>
      <c r="N100" s="6">
        <f>_xlfn.IFNA(IF(VLOOKUP($A100,'BU Raw After'!A:H,1,FALSE)=$A100,VLOOKUP($A100,'BU Raw After'!A:H,7,FALSE),0),0)</f>
        <v>76264</v>
      </c>
      <c r="O100" s="6">
        <f t="shared" si="12"/>
        <v>-14804</v>
      </c>
      <c r="P100" s="7">
        <f t="shared" si="13"/>
        <v>-0.19411517885240742</v>
      </c>
      <c r="Q100" s="6">
        <f>_xlfn.IFNA(IF(VLOOKUP($A100,'BU Raw Before'!A:H,1,FALSE)=$A100,VLOOKUP($A100,'BU Raw Before'!A:H,8,FALSE),0),0)</f>
        <v>-33234284</v>
      </c>
      <c r="R100" s="6">
        <f>_xlfn.IFNA(IF(VLOOKUP($A100,'BU Raw After'!A:H,1,FALSE)=$A100,VLOOKUP($A100,'BU Raw After'!A:H,8,FALSE),0),0)</f>
        <v>44568376.25</v>
      </c>
      <c r="S100" s="6">
        <f t="shared" si="14"/>
        <v>77802660.25</v>
      </c>
      <c r="T100" s="7">
        <f t="shared" si="15"/>
        <v>1.7456920533424189</v>
      </c>
    </row>
    <row r="101" spans="1:20" ht="15" x14ac:dyDescent="0.25">
      <c r="A101" t="s">
        <v>100</v>
      </c>
      <c r="B101" t="s">
        <v>83</v>
      </c>
      <c r="C101" t="s">
        <v>32</v>
      </c>
      <c r="D101" t="s">
        <v>9</v>
      </c>
      <c r="E101" s="6">
        <f>_xlfn.IFNA(IF(VLOOKUP($A101,'BU Raw Before'!A:H,1,FALSE)=$A101,VLOOKUP($A101,'BU Raw Before'!A:H,5,FALSE),0),0)</f>
        <v>553380286.59000003</v>
      </c>
      <c r="F101" s="6">
        <f>_xlfn.IFNA(IF(VLOOKUP($A101,'BU Raw After'!A:H,1,FALSE)=$A101,VLOOKUP($A101,'BU Raw After'!A:H,5,FALSE),0),0)</f>
        <v>562154265.47000003</v>
      </c>
      <c r="G101" s="6">
        <f t="shared" si="8"/>
        <v>8773978.8799999952</v>
      </c>
      <c r="H101" s="7">
        <f t="shared" si="9"/>
        <v>1.5607777827078015E-2</v>
      </c>
      <c r="I101" s="6">
        <f>_xlfn.IFNA(IF(VLOOKUP($A101,'BU Raw Before'!A:H,1,FALSE)=$A101,VLOOKUP($A101,'BU Raw Before'!A:H,6,FALSE),0),0)</f>
        <v>2320</v>
      </c>
      <c r="J101" s="6">
        <f>_xlfn.IFNA(IF(VLOOKUP($A101,'BU Raw After'!A:H,1,FALSE)=$A101,VLOOKUP($A101,'BU Raw After'!A:H,6,FALSE),0),0)</f>
        <v>1896</v>
      </c>
      <c r="K101" s="6">
        <f t="shared" si="10"/>
        <v>-424</v>
      </c>
      <c r="L101" s="7">
        <f t="shared" si="11"/>
        <v>-0.22362869198312235</v>
      </c>
      <c r="M101" s="6">
        <f>_xlfn.IFNA(IF(VLOOKUP($A101,'BU Raw Before'!A:H,1,FALSE)=$A101,VLOOKUP($A101,'BU Raw Before'!A:H,7,FALSE),0),0)</f>
        <v>4379</v>
      </c>
      <c r="N101" s="6">
        <f>_xlfn.IFNA(IF(VLOOKUP($A101,'BU Raw After'!A:H,1,FALSE)=$A101,VLOOKUP($A101,'BU Raw After'!A:H,7,FALSE),0),0)</f>
        <v>3230</v>
      </c>
      <c r="O101" s="6">
        <f t="shared" si="12"/>
        <v>-1149</v>
      </c>
      <c r="P101" s="7">
        <f t="shared" si="13"/>
        <v>-0.35572755417956659</v>
      </c>
      <c r="Q101" s="6">
        <f>_xlfn.IFNA(IF(VLOOKUP($A101,'BU Raw Before'!A:H,1,FALSE)=$A101,VLOOKUP($A101,'BU Raw Before'!A:H,8,FALSE),0),0)</f>
        <v>-5039200.5</v>
      </c>
      <c r="R101" s="6">
        <f>_xlfn.IFNA(IF(VLOOKUP($A101,'BU Raw After'!A:H,1,FALSE)=$A101,VLOOKUP($A101,'BU Raw After'!A:H,8,FALSE),0),0)</f>
        <v>-2422589.1255000001</v>
      </c>
      <c r="S101" s="6">
        <f t="shared" si="14"/>
        <v>2616611.3744999999</v>
      </c>
      <c r="T101" s="7">
        <f t="shared" si="15"/>
        <v>-1.0800887971293751</v>
      </c>
    </row>
    <row r="102" spans="1:20" ht="15" x14ac:dyDescent="0.25">
      <c r="A102" t="s">
        <v>101</v>
      </c>
      <c r="B102" t="s">
        <v>83</v>
      </c>
      <c r="C102" t="s">
        <v>32</v>
      </c>
      <c r="D102" t="s">
        <v>11</v>
      </c>
      <c r="E102" s="6">
        <f>_xlfn.IFNA(IF(VLOOKUP($A102,'BU Raw Before'!A:H,1,FALSE)=$A102,VLOOKUP($A102,'BU Raw Before'!A:H,5,FALSE),0),0)</f>
        <v>331373706.36000001</v>
      </c>
      <c r="F102" s="6">
        <f>_xlfn.IFNA(IF(VLOOKUP($A102,'BU Raw After'!A:H,1,FALSE)=$A102,VLOOKUP($A102,'BU Raw After'!A:H,5,FALSE),0),0)</f>
        <v>268154316.28999999</v>
      </c>
      <c r="G102" s="6">
        <f t="shared" si="8"/>
        <v>-63219390.070000023</v>
      </c>
      <c r="H102" s="7">
        <f t="shared" si="9"/>
        <v>-0.23575749570120794</v>
      </c>
      <c r="I102" s="6">
        <f>_xlfn.IFNA(IF(VLOOKUP($A102,'BU Raw Before'!A:H,1,FALSE)=$A102,VLOOKUP($A102,'BU Raw Before'!A:H,6,FALSE),0),0)</f>
        <v>781</v>
      </c>
      <c r="J102" s="6">
        <f>_xlfn.IFNA(IF(VLOOKUP($A102,'BU Raw After'!A:H,1,FALSE)=$A102,VLOOKUP($A102,'BU Raw After'!A:H,6,FALSE),0),0)</f>
        <v>592</v>
      </c>
      <c r="K102" s="6">
        <f t="shared" si="10"/>
        <v>-189</v>
      </c>
      <c r="L102" s="7">
        <f t="shared" si="11"/>
        <v>-0.31925675675675674</v>
      </c>
      <c r="M102" s="6">
        <f>_xlfn.IFNA(IF(VLOOKUP($A102,'BU Raw Before'!A:H,1,FALSE)=$A102,VLOOKUP($A102,'BU Raw Before'!A:H,7,FALSE),0),0)</f>
        <v>1750</v>
      </c>
      <c r="N102" s="6">
        <f>_xlfn.IFNA(IF(VLOOKUP($A102,'BU Raw After'!A:H,1,FALSE)=$A102,VLOOKUP($A102,'BU Raw After'!A:H,7,FALSE),0),0)</f>
        <v>1293</v>
      </c>
      <c r="O102" s="6">
        <f t="shared" si="12"/>
        <v>-457</v>
      </c>
      <c r="P102" s="7">
        <f t="shared" si="13"/>
        <v>-0.35344160866202629</v>
      </c>
      <c r="Q102" s="6">
        <f>_xlfn.IFNA(IF(VLOOKUP($A102,'BU Raw Before'!A:H,1,FALSE)=$A102,VLOOKUP($A102,'BU Raw Before'!A:H,8,FALSE),0),0)</f>
        <v>-4201737.9000000004</v>
      </c>
      <c r="R102" s="6">
        <f>_xlfn.IFNA(IF(VLOOKUP($A102,'BU Raw After'!A:H,1,FALSE)=$A102,VLOOKUP($A102,'BU Raw After'!A:H,8,FALSE),0),0)</f>
        <v>-2344026</v>
      </c>
      <c r="S102" s="6">
        <f t="shared" si="14"/>
        <v>1857711.9000000004</v>
      </c>
      <c r="T102" s="7">
        <f t="shared" si="15"/>
        <v>-0.79253041561825699</v>
      </c>
    </row>
    <row r="103" spans="1:20" ht="15" x14ac:dyDescent="0.25">
      <c r="A103" t="s">
        <v>102</v>
      </c>
      <c r="B103" t="s">
        <v>83</v>
      </c>
      <c r="C103" t="s">
        <v>32</v>
      </c>
      <c r="D103" t="s">
        <v>13</v>
      </c>
      <c r="E103" s="6">
        <f>_xlfn.IFNA(IF(VLOOKUP($A103,'BU Raw Before'!A:H,1,FALSE)=$A103,VLOOKUP($A103,'BU Raw Before'!A:H,5,FALSE),0),0)</f>
        <v>248410204.06999999</v>
      </c>
      <c r="F103" s="6">
        <f>_xlfn.IFNA(IF(VLOOKUP($A103,'BU Raw After'!A:H,1,FALSE)=$A103,VLOOKUP($A103,'BU Raw After'!A:H,5,FALSE),0),0)</f>
        <v>181949766.93000001</v>
      </c>
      <c r="G103" s="6">
        <f t="shared" si="8"/>
        <v>-66460437.139999986</v>
      </c>
      <c r="H103" s="7">
        <f t="shared" si="9"/>
        <v>-0.36526805316309502</v>
      </c>
      <c r="I103" s="6">
        <f>_xlfn.IFNA(IF(VLOOKUP($A103,'BU Raw Before'!A:H,1,FALSE)=$A103,VLOOKUP($A103,'BU Raw Before'!A:H,6,FALSE),0),0)</f>
        <v>531</v>
      </c>
      <c r="J103" s="6">
        <f>_xlfn.IFNA(IF(VLOOKUP($A103,'BU Raw After'!A:H,1,FALSE)=$A103,VLOOKUP($A103,'BU Raw After'!A:H,6,FALSE),0),0)</f>
        <v>417</v>
      </c>
      <c r="K103" s="6">
        <f t="shared" si="10"/>
        <v>-114</v>
      </c>
      <c r="L103" s="7">
        <f t="shared" si="11"/>
        <v>-0.2733812949640288</v>
      </c>
      <c r="M103" s="6">
        <f>_xlfn.IFNA(IF(VLOOKUP($A103,'BU Raw Before'!A:H,1,FALSE)=$A103,VLOOKUP($A103,'BU Raw Before'!A:H,7,FALSE),0),0)</f>
        <v>1238</v>
      </c>
      <c r="N103" s="6">
        <f>_xlfn.IFNA(IF(VLOOKUP($A103,'BU Raw After'!A:H,1,FALSE)=$A103,VLOOKUP($A103,'BU Raw After'!A:H,7,FALSE),0),0)</f>
        <v>1028</v>
      </c>
      <c r="O103" s="6">
        <f t="shared" si="12"/>
        <v>-210</v>
      </c>
      <c r="P103" s="7">
        <f t="shared" si="13"/>
        <v>-0.20428015564202334</v>
      </c>
      <c r="Q103" s="6">
        <f>_xlfn.IFNA(IF(VLOOKUP($A103,'BU Raw Before'!A:H,1,FALSE)=$A103,VLOOKUP($A103,'BU Raw Before'!A:H,8,FALSE),0),0)</f>
        <v>-5436415.4375</v>
      </c>
      <c r="R103" s="6">
        <f>_xlfn.IFNA(IF(VLOOKUP($A103,'BU Raw After'!A:H,1,FALSE)=$A103,VLOOKUP($A103,'BU Raw After'!A:H,8,FALSE),0),0)</f>
        <v>-3678830.5</v>
      </c>
      <c r="S103" s="6">
        <f t="shared" si="14"/>
        <v>1757584.9375</v>
      </c>
      <c r="T103" s="7">
        <f t="shared" si="15"/>
        <v>-0.47775643305664667</v>
      </c>
    </row>
    <row r="104" spans="1:20" ht="15" x14ac:dyDescent="0.25">
      <c r="A104" t="s">
        <v>103</v>
      </c>
      <c r="B104" t="s">
        <v>83</v>
      </c>
      <c r="C104" t="s">
        <v>32</v>
      </c>
      <c r="D104" t="s">
        <v>15</v>
      </c>
      <c r="E104" s="6">
        <f>_xlfn.IFNA(IF(VLOOKUP($A104,'BU Raw Before'!A:H,1,FALSE)=$A104,VLOOKUP($A104,'BU Raw Before'!A:H,5,FALSE),0),0)</f>
        <v>102989282.09999999</v>
      </c>
      <c r="F104" s="6">
        <f>_xlfn.IFNA(IF(VLOOKUP($A104,'BU Raw After'!A:H,1,FALSE)=$A104,VLOOKUP($A104,'BU Raw After'!A:H,5,FALSE),0),0)</f>
        <v>110377262.08</v>
      </c>
      <c r="G104" s="6">
        <f t="shared" si="8"/>
        <v>7387979.9800000042</v>
      </c>
      <c r="H104" s="7">
        <f t="shared" si="9"/>
        <v>6.6933894180535955E-2</v>
      </c>
      <c r="I104" s="6">
        <f>_xlfn.IFNA(IF(VLOOKUP($A104,'BU Raw Before'!A:H,1,FALSE)=$A104,VLOOKUP($A104,'BU Raw Before'!A:H,6,FALSE),0),0)</f>
        <v>207</v>
      </c>
      <c r="J104" s="6">
        <f>_xlfn.IFNA(IF(VLOOKUP($A104,'BU Raw After'!A:H,1,FALSE)=$A104,VLOOKUP($A104,'BU Raw After'!A:H,6,FALSE),0),0)</f>
        <v>172</v>
      </c>
      <c r="K104" s="6">
        <f t="shared" si="10"/>
        <v>-35</v>
      </c>
      <c r="L104" s="7">
        <f t="shared" si="11"/>
        <v>-0.20348837209302326</v>
      </c>
      <c r="M104" s="6">
        <f>_xlfn.IFNA(IF(VLOOKUP($A104,'BU Raw Before'!A:H,1,FALSE)=$A104,VLOOKUP($A104,'BU Raw Before'!A:H,7,FALSE),0),0)</f>
        <v>478</v>
      </c>
      <c r="N104" s="6">
        <f>_xlfn.IFNA(IF(VLOOKUP($A104,'BU Raw After'!A:H,1,FALSE)=$A104,VLOOKUP($A104,'BU Raw After'!A:H,7,FALSE),0),0)</f>
        <v>329</v>
      </c>
      <c r="O104" s="6">
        <f t="shared" si="12"/>
        <v>-149</v>
      </c>
      <c r="P104" s="7">
        <f t="shared" si="13"/>
        <v>-0.45288753799392095</v>
      </c>
      <c r="Q104" s="6">
        <f>_xlfn.IFNA(IF(VLOOKUP($A104,'BU Raw Before'!A:H,1,FALSE)=$A104,VLOOKUP($A104,'BU Raw Before'!A:H,8,FALSE),0),0)</f>
        <v>-1615956.7749999999</v>
      </c>
      <c r="R104" s="6">
        <f>_xlfn.IFNA(IF(VLOOKUP($A104,'BU Raw After'!A:H,1,FALSE)=$A104,VLOOKUP($A104,'BU Raw After'!A:H,8,FALSE),0),0)</f>
        <v>-1928926.75</v>
      </c>
      <c r="S104" s="6">
        <f t="shared" si="14"/>
        <v>-312969.97500000009</v>
      </c>
      <c r="T104" s="7">
        <f t="shared" si="15"/>
        <v>0.16225083456383199</v>
      </c>
    </row>
    <row r="105" spans="1:20" ht="15" x14ac:dyDescent="0.25">
      <c r="A105" t="s">
        <v>104</v>
      </c>
      <c r="B105" t="s">
        <v>83</v>
      </c>
      <c r="C105" t="s">
        <v>32</v>
      </c>
      <c r="D105" t="s">
        <v>17</v>
      </c>
      <c r="E105" s="6">
        <f>_xlfn.IFNA(IF(VLOOKUP($A105,'BU Raw Before'!A:H,1,FALSE)=$A105,VLOOKUP($A105,'BU Raw Before'!A:H,5,FALSE),0),0)</f>
        <v>78726415.25</v>
      </c>
      <c r="F105" s="6">
        <f>_xlfn.IFNA(IF(VLOOKUP($A105,'BU Raw After'!A:H,1,FALSE)=$A105,VLOOKUP($A105,'BU Raw After'!A:H,5,FALSE),0),0)</f>
        <v>49894593</v>
      </c>
      <c r="G105" s="6">
        <f t="shared" si="8"/>
        <v>-28831822.25</v>
      </c>
      <c r="H105" s="7">
        <f t="shared" si="9"/>
        <v>-0.5778546434881231</v>
      </c>
      <c r="I105" s="6">
        <f>_xlfn.IFNA(IF(VLOOKUP($A105,'BU Raw Before'!A:H,1,FALSE)=$A105,VLOOKUP($A105,'BU Raw Before'!A:H,6,FALSE),0),0)</f>
        <v>109</v>
      </c>
      <c r="J105" s="6">
        <f>_xlfn.IFNA(IF(VLOOKUP($A105,'BU Raw After'!A:H,1,FALSE)=$A105,VLOOKUP($A105,'BU Raw After'!A:H,6,FALSE),0),0)</f>
        <v>86</v>
      </c>
      <c r="K105" s="6">
        <f t="shared" si="10"/>
        <v>-23</v>
      </c>
      <c r="L105" s="7">
        <f t="shared" si="11"/>
        <v>-0.26744186046511625</v>
      </c>
      <c r="M105" s="6">
        <f>_xlfn.IFNA(IF(VLOOKUP($A105,'BU Raw Before'!A:H,1,FALSE)=$A105,VLOOKUP($A105,'BU Raw Before'!A:H,7,FALSE),0),0)</f>
        <v>249</v>
      </c>
      <c r="N105" s="6">
        <f>_xlfn.IFNA(IF(VLOOKUP($A105,'BU Raw After'!A:H,1,FALSE)=$A105,VLOOKUP($A105,'BU Raw After'!A:H,7,FALSE),0),0)</f>
        <v>160</v>
      </c>
      <c r="O105" s="6">
        <f t="shared" si="12"/>
        <v>-89</v>
      </c>
      <c r="P105" s="7">
        <f t="shared" si="13"/>
        <v>-0.55625000000000002</v>
      </c>
      <c r="Q105" s="6">
        <f>_xlfn.IFNA(IF(VLOOKUP($A105,'BU Raw Before'!A:H,1,FALSE)=$A105,VLOOKUP($A105,'BU Raw Before'!A:H,8,FALSE),0),0)</f>
        <v>-1538195</v>
      </c>
      <c r="R105" s="6">
        <f>_xlfn.IFNA(IF(VLOOKUP($A105,'BU Raw After'!A:H,1,FALSE)=$A105,VLOOKUP($A105,'BU Raw After'!A:H,8,FALSE),0),0)</f>
        <v>-1157430.5</v>
      </c>
      <c r="S105" s="6">
        <f t="shared" si="14"/>
        <v>380764.5</v>
      </c>
      <c r="T105" s="7">
        <f t="shared" si="15"/>
        <v>-0.32897396431146408</v>
      </c>
    </row>
    <row r="106" spans="1:20" ht="15" x14ac:dyDescent="0.25">
      <c r="A106" t="s">
        <v>105</v>
      </c>
      <c r="B106" t="s">
        <v>83</v>
      </c>
      <c r="C106" t="s">
        <v>32</v>
      </c>
      <c r="D106" t="s">
        <v>19</v>
      </c>
      <c r="E106" s="6">
        <f>_xlfn.IFNA(IF(VLOOKUP($A106,'BU Raw Before'!A:H,1,FALSE)=$A106,VLOOKUP($A106,'BU Raw Before'!A:H,5,FALSE),0),0)</f>
        <v>349485382.5</v>
      </c>
      <c r="F106" s="6">
        <f>_xlfn.IFNA(IF(VLOOKUP($A106,'BU Raw After'!A:H,1,FALSE)=$A106,VLOOKUP($A106,'BU Raw After'!A:H,5,FALSE),0),0)</f>
        <v>323461105.31999999</v>
      </c>
      <c r="G106" s="6">
        <f t="shared" si="8"/>
        <v>-26024277.180000007</v>
      </c>
      <c r="H106" s="7">
        <f t="shared" si="9"/>
        <v>-8.0455661444222781E-2</v>
      </c>
      <c r="I106" s="6">
        <f>_xlfn.IFNA(IF(VLOOKUP($A106,'BU Raw Before'!A:H,1,FALSE)=$A106,VLOOKUP($A106,'BU Raw Before'!A:H,6,FALSE),0),0)</f>
        <v>292</v>
      </c>
      <c r="J106" s="6">
        <f>_xlfn.IFNA(IF(VLOOKUP($A106,'BU Raw After'!A:H,1,FALSE)=$A106,VLOOKUP($A106,'BU Raw After'!A:H,6,FALSE),0),0)</f>
        <v>229</v>
      </c>
      <c r="K106" s="6">
        <f t="shared" si="10"/>
        <v>-63</v>
      </c>
      <c r="L106" s="7">
        <f t="shared" si="11"/>
        <v>-0.27510917030567683</v>
      </c>
      <c r="M106" s="6">
        <f>_xlfn.IFNA(IF(VLOOKUP($A106,'BU Raw Before'!A:H,1,FALSE)=$A106,VLOOKUP($A106,'BU Raw Before'!A:H,7,FALSE),0),0)</f>
        <v>609</v>
      </c>
      <c r="N106" s="6">
        <f>_xlfn.IFNA(IF(VLOOKUP($A106,'BU Raw After'!A:H,1,FALSE)=$A106,VLOOKUP($A106,'BU Raw After'!A:H,7,FALSE),0),0)</f>
        <v>577</v>
      </c>
      <c r="O106" s="6">
        <f t="shared" si="12"/>
        <v>-32</v>
      </c>
      <c r="P106" s="7">
        <f t="shared" si="13"/>
        <v>-5.5459272097053723E-2</v>
      </c>
      <c r="Q106" s="6">
        <f>_xlfn.IFNA(IF(VLOOKUP($A106,'BU Raw Before'!A:H,1,FALSE)=$A106,VLOOKUP($A106,'BU Raw Before'!A:H,8,FALSE),0),0)</f>
        <v>-12093605</v>
      </c>
      <c r="R106" s="6">
        <f>_xlfn.IFNA(IF(VLOOKUP($A106,'BU Raw After'!A:H,1,FALSE)=$A106,VLOOKUP($A106,'BU Raw After'!A:H,8,FALSE),0),0)</f>
        <v>-8541061.3450000007</v>
      </c>
      <c r="S106" s="6">
        <f t="shared" si="14"/>
        <v>3552543.6549999993</v>
      </c>
      <c r="T106" s="7">
        <f t="shared" si="15"/>
        <v>-0.41593702603244787</v>
      </c>
    </row>
    <row r="107" spans="1:20" ht="15" x14ac:dyDescent="0.25">
      <c r="A107" t="s">
        <v>106</v>
      </c>
      <c r="B107" t="s">
        <v>83</v>
      </c>
      <c r="C107" t="s">
        <v>32</v>
      </c>
      <c r="D107" t="s">
        <v>21</v>
      </c>
      <c r="E107" s="6">
        <f>_xlfn.IFNA(IF(VLOOKUP($A107,'BU Raw Before'!A:H,1,FALSE)=$A107,VLOOKUP($A107,'BU Raw Before'!A:H,5,FALSE),0),0)</f>
        <v>125184445.95999999</v>
      </c>
      <c r="F107" s="6">
        <f>_xlfn.IFNA(IF(VLOOKUP($A107,'BU Raw After'!A:H,1,FALSE)=$A107,VLOOKUP($A107,'BU Raw After'!A:H,5,FALSE),0),0)</f>
        <v>107674349.66</v>
      </c>
      <c r="G107" s="6">
        <f t="shared" si="8"/>
        <v>-17510096.299999997</v>
      </c>
      <c r="H107" s="7">
        <f t="shared" si="9"/>
        <v>-0.1626208689004493</v>
      </c>
      <c r="I107" s="6">
        <f>_xlfn.IFNA(IF(VLOOKUP($A107,'BU Raw Before'!A:H,1,FALSE)=$A107,VLOOKUP($A107,'BU Raw Before'!A:H,6,FALSE),0),0)</f>
        <v>2381</v>
      </c>
      <c r="J107" s="6">
        <f>_xlfn.IFNA(IF(VLOOKUP($A107,'BU Raw After'!A:H,1,FALSE)=$A107,VLOOKUP($A107,'BU Raw After'!A:H,6,FALSE),0),0)</f>
        <v>2261</v>
      </c>
      <c r="K107" s="6">
        <f t="shared" si="10"/>
        <v>-120</v>
      </c>
      <c r="L107" s="7">
        <f t="shared" si="11"/>
        <v>-5.307386112339673E-2</v>
      </c>
      <c r="M107" s="6">
        <f>_xlfn.IFNA(IF(VLOOKUP($A107,'BU Raw Before'!A:H,1,FALSE)=$A107,VLOOKUP($A107,'BU Raw Before'!A:H,7,FALSE),0),0)</f>
        <v>2438</v>
      </c>
      <c r="N107" s="6">
        <f>_xlfn.IFNA(IF(VLOOKUP($A107,'BU Raw After'!A:H,1,FALSE)=$A107,VLOOKUP($A107,'BU Raw After'!A:H,7,FALSE),0),0)</f>
        <v>2306</v>
      </c>
      <c r="O107" s="6">
        <f t="shared" si="12"/>
        <v>-132</v>
      </c>
      <c r="P107" s="7">
        <f t="shared" si="13"/>
        <v>-5.7241977450130092E-2</v>
      </c>
      <c r="Q107" s="6">
        <f>_xlfn.IFNA(IF(VLOOKUP($A107,'BU Raw Before'!A:H,1,FALSE)=$A107,VLOOKUP($A107,'BU Raw Before'!A:H,8,FALSE),0),0)</f>
        <v>-36385033.5</v>
      </c>
      <c r="R107" s="6">
        <f>_xlfn.IFNA(IF(VLOOKUP($A107,'BU Raw After'!A:H,1,FALSE)=$A107,VLOOKUP($A107,'BU Raw After'!A:H,8,FALSE),0),0)</f>
        <v>-34057154.5</v>
      </c>
      <c r="S107" s="6">
        <f t="shared" si="14"/>
        <v>2327879</v>
      </c>
      <c r="T107" s="7">
        <f t="shared" si="15"/>
        <v>-6.8352128478613799E-2</v>
      </c>
    </row>
    <row r="108" spans="1:20" ht="15" x14ac:dyDescent="0.25">
      <c r="A108" t="s">
        <v>107</v>
      </c>
      <c r="B108" t="s">
        <v>83</v>
      </c>
      <c r="C108" t="s">
        <v>41</v>
      </c>
      <c r="D108" t="s">
        <v>7</v>
      </c>
      <c r="E108" s="6">
        <f>_xlfn.IFNA(IF(VLOOKUP($A108,'BU Raw Before'!A:H,1,FALSE)=$A108,VLOOKUP($A108,'BU Raw Before'!A:H,5,FALSE),0),0)</f>
        <v>33574618429.599998</v>
      </c>
      <c r="F108" s="6">
        <f>_xlfn.IFNA(IF(VLOOKUP($A108,'BU Raw After'!A:H,1,FALSE)=$A108,VLOOKUP($A108,'BU Raw After'!A:H,5,FALSE),0),0)</f>
        <v>29952236318.02</v>
      </c>
      <c r="G108" s="6">
        <f t="shared" si="8"/>
        <v>-3622382111.579998</v>
      </c>
      <c r="H108" s="7">
        <f t="shared" si="9"/>
        <v>-0.12093861951138132</v>
      </c>
      <c r="I108" s="6">
        <f>_xlfn.IFNA(IF(VLOOKUP($A108,'BU Raw Before'!A:H,1,FALSE)=$A108,VLOOKUP($A108,'BU Raw Before'!A:H,6,FALSE),0),0)</f>
        <v>307138</v>
      </c>
      <c r="J108" s="6">
        <f>_xlfn.IFNA(IF(VLOOKUP($A108,'BU Raw After'!A:H,1,FALSE)=$A108,VLOOKUP($A108,'BU Raw After'!A:H,6,FALSE),0),0)</f>
        <v>249699</v>
      </c>
      <c r="K108" s="6">
        <f t="shared" si="10"/>
        <v>-57439</v>
      </c>
      <c r="L108" s="7">
        <f t="shared" si="11"/>
        <v>-0.23003295968345888</v>
      </c>
      <c r="M108" s="6">
        <f>_xlfn.IFNA(IF(VLOOKUP($A108,'BU Raw Before'!A:H,1,FALSE)=$A108,VLOOKUP($A108,'BU Raw Before'!A:H,7,FALSE),0),0)</f>
        <v>405525</v>
      </c>
      <c r="N108" s="6">
        <f>_xlfn.IFNA(IF(VLOOKUP($A108,'BU Raw After'!A:H,1,FALSE)=$A108,VLOOKUP($A108,'BU Raw After'!A:H,7,FALSE),0),0)</f>
        <v>332537</v>
      </c>
      <c r="O108" s="6">
        <f t="shared" si="12"/>
        <v>-72988</v>
      </c>
      <c r="P108" s="7">
        <f t="shared" si="13"/>
        <v>-0.21948835768651309</v>
      </c>
      <c r="Q108" s="6">
        <f>_xlfn.IFNA(IF(VLOOKUP($A108,'BU Raw Before'!A:H,1,FALSE)=$A108,VLOOKUP($A108,'BU Raw Before'!A:H,8,FALSE),0),0)</f>
        <v>-4634883886.3500004</v>
      </c>
      <c r="R108" s="6">
        <f>_xlfn.IFNA(IF(VLOOKUP($A108,'BU Raw After'!A:H,1,FALSE)=$A108,VLOOKUP($A108,'BU Raw After'!A:H,8,FALSE),0),0)</f>
        <v>-3164106384.7929001</v>
      </c>
      <c r="S108" s="6">
        <f t="shared" si="14"/>
        <v>1470777501.5571003</v>
      </c>
      <c r="T108" s="7">
        <f t="shared" si="15"/>
        <v>-0.46483187437244367</v>
      </c>
    </row>
    <row r="109" spans="1:20" ht="15" x14ac:dyDescent="0.25">
      <c r="A109" t="s">
        <v>108</v>
      </c>
      <c r="B109" t="s">
        <v>83</v>
      </c>
      <c r="C109" t="s">
        <v>41</v>
      </c>
      <c r="D109" t="s">
        <v>9</v>
      </c>
      <c r="E109" s="6">
        <f>_xlfn.IFNA(IF(VLOOKUP($A109,'BU Raw Before'!A:H,1,FALSE)=$A109,VLOOKUP($A109,'BU Raw Before'!A:H,5,FALSE),0),0)</f>
        <v>2124866775.1600001</v>
      </c>
      <c r="F109" s="6">
        <f>_xlfn.IFNA(IF(VLOOKUP($A109,'BU Raw After'!A:H,1,FALSE)=$A109,VLOOKUP($A109,'BU Raw After'!A:H,5,FALSE),0),0)</f>
        <v>1892682751.8599999</v>
      </c>
      <c r="G109" s="6">
        <f t="shared" si="8"/>
        <v>-232184023.30000019</v>
      </c>
      <c r="H109" s="7">
        <f t="shared" si="9"/>
        <v>-0.12267455973370367</v>
      </c>
      <c r="I109" s="6">
        <f>_xlfn.IFNA(IF(VLOOKUP($A109,'BU Raw Before'!A:H,1,FALSE)=$A109,VLOOKUP($A109,'BU Raw Before'!A:H,6,FALSE),0),0)</f>
        <v>12456</v>
      </c>
      <c r="J109" s="6">
        <f>_xlfn.IFNA(IF(VLOOKUP($A109,'BU Raw After'!A:H,1,FALSE)=$A109,VLOOKUP($A109,'BU Raw After'!A:H,6,FALSE),0),0)</f>
        <v>10039</v>
      </c>
      <c r="K109" s="6">
        <f t="shared" si="10"/>
        <v>-2417</v>
      </c>
      <c r="L109" s="7">
        <f t="shared" si="11"/>
        <v>-0.24076103197529636</v>
      </c>
      <c r="M109" s="6">
        <f>_xlfn.IFNA(IF(VLOOKUP($A109,'BU Raw Before'!A:H,1,FALSE)=$A109,VLOOKUP($A109,'BU Raw Before'!A:H,7,FALSE),0),0)</f>
        <v>26086</v>
      </c>
      <c r="N109" s="6">
        <f>_xlfn.IFNA(IF(VLOOKUP($A109,'BU Raw After'!A:H,1,FALSE)=$A109,VLOOKUP($A109,'BU Raw After'!A:H,7,FALSE),0),0)</f>
        <v>21169</v>
      </c>
      <c r="O109" s="6">
        <f t="shared" si="12"/>
        <v>-4917</v>
      </c>
      <c r="P109" s="7">
        <f t="shared" si="13"/>
        <v>-0.23227360763380414</v>
      </c>
      <c r="Q109" s="6">
        <f>_xlfn.IFNA(IF(VLOOKUP($A109,'BU Raw Before'!A:H,1,FALSE)=$A109,VLOOKUP($A109,'BU Raw Before'!A:H,8,FALSE),0),0)</f>
        <v>-364098232.18000001</v>
      </c>
      <c r="R109" s="6">
        <f>_xlfn.IFNA(IF(VLOOKUP($A109,'BU Raw After'!A:H,1,FALSE)=$A109,VLOOKUP($A109,'BU Raw After'!A:H,8,FALSE),0),0)</f>
        <v>-268991342.56300002</v>
      </c>
      <c r="S109" s="6">
        <f t="shared" si="14"/>
        <v>95106889.616999984</v>
      </c>
      <c r="T109" s="7">
        <f t="shared" si="15"/>
        <v>-0.35356858964605953</v>
      </c>
    </row>
    <row r="110" spans="1:20" ht="15" x14ac:dyDescent="0.25">
      <c r="A110" t="s">
        <v>109</v>
      </c>
      <c r="B110" t="s">
        <v>83</v>
      </c>
      <c r="C110" t="s">
        <v>41</v>
      </c>
      <c r="D110" t="s">
        <v>11</v>
      </c>
      <c r="E110" s="6">
        <f>_xlfn.IFNA(IF(VLOOKUP($A110,'BU Raw Before'!A:H,1,FALSE)=$A110,VLOOKUP($A110,'BU Raw Before'!A:H,5,FALSE),0),0)</f>
        <v>1182665433.1500001</v>
      </c>
      <c r="F110" s="6">
        <f>_xlfn.IFNA(IF(VLOOKUP($A110,'BU Raw After'!A:H,1,FALSE)=$A110,VLOOKUP($A110,'BU Raw After'!A:H,5,FALSE),0),0)</f>
        <v>1134064615.53</v>
      </c>
      <c r="G110" s="6">
        <f t="shared" si="8"/>
        <v>-48600817.620000124</v>
      </c>
      <c r="H110" s="7">
        <f t="shared" si="9"/>
        <v>-4.2855421952554928E-2</v>
      </c>
      <c r="I110" s="6">
        <f>_xlfn.IFNA(IF(VLOOKUP($A110,'BU Raw Before'!A:H,1,FALSE)=$A110,VLOOKUP($A110,'BU Raw Before'!A:H,6,FALSE),0),0)</f>
        <v>4222</v>
      </c>
      <c r="J110" s="6">
        <f>_xlfn.IFNA(IF(VLOOKUP($A110,'BU Raw After'!A:H,1,FALSE)=$A110,VLOOKUP($A110,'BU Raw After'!A:H,6,FALSE),0),0)</f>
        <v>3841</v>
      </c>
      <c r="K110" s="6">
        <f t="shared" si="10"/>
        <v>-381</v>
      </c>
      <c r="L110" s="7">
        <f t="shared" si="11"/>
        <v>-9.9192918510804473E-2</v>
      </c>
      <c r="M110" s="6">
        <f>_xlfn.IFNA(IF(VLOOKUP($A110,'BU Raw Before'!A:H,1,FALSE)=$A110,VLOOKUP($A110,'BU Raw Before'!A:H,7,FALSE),0),0)</f>
        <v>11979</v>
      </c>
      <c r="N110" s="6">
        <f>_xlfn.IFNA(IF(VLOOKUP($A110,'BU Raw After'!A:H,1,FALSE)=$A110,VLOOKUP($A110,'BU Raw After'!A:H,7,FALSE),0),0)</f>
        <v>10674</v>
      </c>
      <c r="O110" s="6">
        <f t="shared" si="12"/>
        <v>-1305</v>
      </c>
      <c r="P110" s="7">
        <f t="shared" si="13"/>
        <v>-0.12225969645868466</v>
      </c>
      <c r="Q110" s="6">
        <f>_xlfn.IFNA(IF(VLOOKUP($A110,'BU Raw Before'!A:H,1,FALSE)=$A110,VLOOKUP($A110,'BU Raw Before'!A:H,8,FALSE),0),0)</f>
        <v>-173047007.99250001</v>
      </c>
      <c r="R110" s="6">
        <f>_xlfn.IFNA(IF(VLOOKUP($A110,'BU Raw After'!A:H,1,FALSE)=$A110,VLOOKUP($A110,'BU Raw After'!A:H,8,FALSE),0),0)</f>
        <v>-151915501.66</v>
      </c>
      <c r="S110" s="6">
        <f t="shared" si="14"/>
        <v>21131506.332500011</v>
      </c>
      <c r="T110" s="7">
        <f t="shared" si="15"/>
        <v>-0.13910039529602544</v>
      </c>
    </row>
    <row r="111" spans="1:20" ht="15" x14ac:dyDescent="0.25">
      <c r="A111" t="s">
        <v>110</v>
      </c>
      <c r="B111" t="s">
        <v>83</v>
      </c>
      <c r="C111" t="s">
        <v>41</v>
      </c>
      <c r="D111" t="s">
        <v>13</v>
      </c>
      <c r="E111" s="6">
        <f>_xlfn.IFNA(IF(VLOOKUP($A111,'BU Raw Before'!A:H,1,FALSE)=$A111,VLOOKUP($A111,'BU Raw Before'!A:H,5,FALSE),0),0)</f>
        <v>747634720.41999996</v>
      </c>
      <c r="F111" s="6">
        <f>_xlfn.IFNA(IF(VLOOKUP($A111,'BU Raw After'!A:H,1,FALSE)=$A111,VLOOKUP($A111,'BU Raw After'!A:H,5,FALSE),0),0)</f>
        <v>698865900.32000005</v>
      </c>
      <c r="G111" s="6">
        <f t="shared" si="8"/>
        <v>-48768820.099999905</v>
      </c>
      <c r="H111" s="7">
        <f t="shared" si="9"/>
        <v>-6.9782801074811926E-2</v>
      </c>
      <c r="I111" s="6">
        <f>_xlfn.IFNA(IF(VLOOKUP($A111,'BU Raw Before'!A:H,1,FALSE)=$A111,VLOOKUP($A111,'BU Raw Before'!A:H,6,FALSE),0),0)</f>
        <v>2901</v>
      </c>
      <c r="J111" s="6">
        <f>_xlfn.IFNA(IF(VLOOKUP($A111,'BU Raw After'!A:H,1,FALSE)=$A111,VLOOKUP($A111,'BU Raw After'!A:H,6,FALSE),0),0)</f>
        <v>2329</v>
      </c>
      <c r="K111" s="6">
        <f t="shared" si="10"/>
        <v>-572</v>
      </c>
      <c r="L111" s="7">
        <f t="shared" si="11"/>
        <v>-0.24559896951481322</v>
      </c>
      <c r="M111" s="6">
        <f>_xlfn.IFNA(IF(VLOOKUP($A111,'BU Raw Before'!A:H,1,FALSE)=$A111,VLOOKUP($A111,'BU Raw Before'!A:H,7,FALSE),0),0)</f>
        <v>10073</v>
      </c>
      <c r="N111" s="6">
        <f>_xlfn.IFNA(IF(VLOOKUP($A111,'BU Raw After'!A:H,1,FALSE)=$A111,VLOOKUP($A111,'BU Raw After'!A:H,7,FALSE),0),0)</f>
        <v>8134</v>
      </c>
      <c r="O111" s="6">
        <f t="shared" si="12"/>
        <v>-1939</v>
      </c>
      <c r="P111" s="7">
        <f t="shared" si="13"/>
        <v>-0.23838209982788297</v>
      </c>
      <c r="Q111" s="6">
        <f>_xlfn.IFNA(IF(VLOOKUP($A111,'BU Raw Before'!A:H,1,FALSE)=$A111,VLOOKUP($A111,'BU Raw Before'!A:H,8,FALSE),0),0)</f>
        <v>-134198389.995</v>
      </c>
      <c r="R111" s="6">
        <f>_xlfn.IFNA(IF(VLOOKUP($A111,'BU Raw After'!A:H,1,FALSE)=$A111,VLOOKUP($A111,'BU Raw After'!A:H,8,FALSE),0),0)</f>
        <v>-103562510.565</v>
      </c>
      <c r="S111" s="6">
        <f t="shared" si="14"/>
        <v>30635879.430000007</v>
      </c>
      <c r="T111" s="7">
        <f t="shared" si="15"/>
        <v>-0.29582016950788093</v>
      </c>
    </row>
    <row r="112" spans="1:20" ht="15" x14ac:dyDescent="0.25">
      <c r="A112" t="s">
        <v>111</v>
      </c>
      <c r="B112" t="s">
        <v>83</v>
      </c>
      <c r="C112" t="s">
        <v>41</v>
      </c>
      <c r="D112" t="s">
        <v>15</v>
      </c>
      <c r="E112" s="6">
        <f>_xlfn.IFNA(IF(VLOOKUP($A112,'BU Raw Before'!A:H,1,FALSE)=$A112,VLOOKUP($A112,'BU Raw Before'!A:H,5,FALSE),0),0)</f>
        <v>391709801.58999997</v>
      </c>
      <c r="F112" s="6">
        <f>_xlfn.IFNA(IF(VLOOKUP($A112,'BU Raw After'!A:H,1,FALSE)=$A112,VLOOKUP($A112,'BU Raw After'!A:H,5,FALSE),0),0)</f>
        <v>301737769.17000002</v>
      </c>
      <c r="G112" s="6">
        <f t="shared" si="8"/>
        <v>-89972032.419999957</v>
      </c>
      <c r="H112" s="7">
        <f t="shared" si="9"/>
        <v>-0.29817955063262042</v>
      </c>
      <c r="I112" s="6">
        <f>_xlfn.IFNA(IF(VLOOKUP($A112,'BU Raw Before'!A:H,1,FALSE)=$A112,VLOOKUP($A112,'BU Raw Before'!A:H,6,FALSE),0),0)</f>
        <v>1105</v>
      </c>
      <c r="J112" s="6">
        <f>_xlfn.IFNA(IF(VLOOKUP($A112,'BU Raw After'!A:H,1,FALSE)=$A112,VLOOKUP($A112,'BU Raw After'!A:H,6,FALSE),0),0)</f>
        <v>830</v>
      </c>
      <c r="K112" s="6">
        <f t="shared" si="10"/>
        <v>-275</v>
      </c>
      <c r="L112" s="7">
        <f t="shared" si="11"/>
        <v>-0.33132530120481929</v>
      </c>
      <c r="M112" s="6">
        <f>_xlfn.IFNA(IF(VLOOKUP($A112,'BU Raw Before'!A:H,1,FALSE)=$A112,VLOOKUP($A112,'BU Raw Before'!A:H,7,FALSE),0),0)</f>
        <v>3312</v>
      </c>
      <c r="N112" s="6">
        <f>_xlfn.IFNA(IF(VLOOKUP($A112,'BU Raw After'!A:H,1,FALSE)=$A112,VLOOKUP($A112,'BU Raw After'!A:H,7,FALSE),0),0)</f>
        <v>2356</v>
      </c>
      <c r="O112" s="6">
        <f t="shared" si="12"/>
        <v>-956</v>
      </c>
      <c r="P112" s="7">
        <f t="shared" si="13"/>
        <v>-0.40577249575551783</v>
      </c>
      <c r="Q112" s="6">
        <f>_xlfn.IFNA(IF(VLOOKUP($A112,'BU Raw Before'!A:H,1,FALSE)=$A112,VLOOKUP($A112,'BU Raw Before'!A:H,8,FALSE),0),0)</f>
        <v>-49679800.93</v>
      </c>
      <c r="R112" s="6">
        <f>_xlfn.IFNA(IF(VLOOKUP($A112,'BU Raw After'!A:H,1,FALSE)=$A112,VLOOKUP($A112,'BU Raw After'!A:H,8,FALSE),0),0)</f>
        <v>-32849458.704</v>
      </c>
      <c r="S112" s="6">
        <f t="shared" si="14"/>
        <v>16830342.226</v>
      </c>
      <c r="T112" s="7">
        <f t="shared" si="15"/>
        <v>-0.51234762732789285</v>
      </c>
    </row>
    <row r="113" spans="1:20" ht="15" x14ac:dyDescent="0.25">
      <c r="A113" t="s">
        <v>112</v>
      </c>
      <c r="B113" t="s">
        <v>83</v>
      </c>
      <c r="C113" t="s">
        <v>41</v>
      </c>
      <c r="D113" t="s">
        <v>17</v>
      </c>
      <c r="E113" s="6">
        <f>_xlfn.IFNA(IF(VLOOKUP($A113,'BU Raw Before'!A:H,1,FALSE)=$A113,VLOOKUP($A113,'BU Raw Before'!A:H,5,FALSE),0),0)</f>
        <v>179624395.66999999</v>
      </c>
      <c r="F113" s="6">
        <f>_xlfn.IFNA(IF(VLOOKUP($A113,'BU Raw After'!A:H,1,FALSE)=$A113,VLOOKUP($A113,'BU Raw After'!A:H,5,FALSE),0),0)</f>
        <v>165255439.34999999</v>
      </c>
      <c r="G113" s="6">
        <f t="shared" si="8"/>
        <v>-14368956.319999993</v>
      </c>
      <c r="H113" s="7">
        <f t="shared" si="9"/>
        <v>-8.694997499941591E-2</v>
      </c>
      <c r="I113" s="6">
        <f>_xlfn.IFNA(IF(VLOOKUP($A113,'BU Raw Before'!A:H,1,FALSE)=$A113,VLOOKUP($A113,'BU Raw Before'!A:H,6,FALSE),0),0)</f>
        <v>503</v>
      </c>
      <c r="J113" s="6">
        <f>_xlfn.IFNA(IF(VLOOKUP($A113,'BU Raw After'!A:H,1,FALSE)=$A113,VLOOKUP($A113,'BU Raw After'!A:H,6,FALSE),0),0)</f>
        <v>419</v>
      </c>
      <c r="K113" s="6">
        <f t="shared" si="10"/>
        <v>-84</v>
      </c>
      <c r="L113" s="7">
        <f t="shared" si="11"/>
        <v>-0.20047732696897375</v>
      </c>
      <c r="M113" s="6">
        <f>_xlfn.IFNA(IF(VLOOKUP($A113,'BU Raw Before'!A:H,1,FALSE)=$A113,VLOOKUP($A113,'BU Raw Before'!A:H,7,FALSE),0),0)</f>
        <v>1934</v>
      </c>
      <c r="N113" s="6">
        <f>_xlfn.IFNA(IF(VLOOKUP($A113,'BU Raw After'!A:H,1,FALSE)=$A113,VLOOKUP($A113,'BU Raw After'!A:H,7,FALSE),0),0)</f>
        <v>1585</v>
      </c>
      <c r="O113" s="6">
        <f t="shared" si="12"/>
        <v>-349</v>
      </c>
      <c r="P113" s="7">
        <f t="shared" si="13"/>
        <v>-0.22018927444794953</v>
      </c>
      <c r="Q113" s="6">
        <f>_xlfn.IFNA(IF(VLOOKUP($A113,'BU Raw Before'!A:H,1,FALSE)=$A113,VLOOKUP($A113,'BU Raw Before'!A:H,8,FALSE),0),0)</f>
        <v>-30366403.219999999</v>
      </c>
      <c r="R113" s="6">
        <f>_xlfn.IFNA(IF(VLOOKUP($A113,'BU Raw After'!A:H,1,FALSE)=$A113,VLOOKUP($A113,'BU Raw After'!A:H,8,FALSE),0),0)</f>
        <v>-23706146.219999999</v>
      </c>
      <c r="S113" s="6">
        <f t="shared" si="14"/>
        <v>6660257</v>
      </c>
      <c r="T113" s="7">
        <f t="shared" si="15"/>
        <v>-0.28095064200612191</v>
      </c>
    </row>
    <row r="114" spans="1:20" ht="15" x14ac:dyDescent="0.25">
      <c r="A114" t="s">
        <v>113</v>
      </c>
      <c r="B114" t="s">
        <v>83</v>
      </c>
      <c r="C114" t="s">
        <v>41</v>
      </c>
      <c r="D114" t="s">
        <v>19</v>
      </c>
      <c r="E114" s="6">
        <f>_xlfn.IFNA(IF(VLOOKUP($A114,'BU Raw Before'!A:H,1,FALSE)=$A114,VLOOKUP($A114,'BU Raw Before'!A:H,5,FALSE),0),0)</f>
        <v>936967992.08000004</v>
      </c>
      <c r="F114" s="6">
        <f>_xlfn.IFNA(IF(VLOOKUP($A114,'BU Raw After'!A:H,1,FALSE)=$A114,VLOOKUP($A114,'BU Raw After'!A:H,5,FALSE),0),0)</f>
        <v>809926907.75</v>
      </c>
      <c r="G114" s="6">
        <f t="shared" si="8"/>
        <v>-127041084.33000004</v>
      </c>
      <c r="H114" s="7">
        <f t="shared" si="9"/>
        <v>-0.15685499903062092</v>
      </c>
      <c r="I114" s="6">
        <f>_xlfn.IFNA(IF(VLOOKUP($A114,'BU Raw Before'!A:H,1,FALSE)=$A114,VLOOKUP($A114,'BU Raw Before'!A:H,6,FALSE),0),0)</f>
        <v>992</v>
      </c>
      <c r="J114" s="6">
        <f>_xlfn.IFNA(IF(VLOOKUP($A114,'BU Raw After'!A:H,1,FALSE)=$A114,VLOOKUP($A114,'BU Raw After'!A:H,6,FALSE),0),0)</f>
        <v>869</v>
      </c>
      <c r="K114" s="6">
        <f t="shared" si="10"/>
        <v>-123</v>
      </c>
      <c r="L114" s="7">
        <f t="shared" si="11"/>
        <v>-0.14154200230149597</v>
      </c>
      <c r="M114" s="6">
        <f>_xlfn.IFNA(IF(VLOOKUP($A114,'BU Raw Before'!A:H,1,FALSE)=$A114,VLOOKUP($A114,'BU Raw Before'!A:H,7,FALSE),0),0)</f>
        <v>4542</v>
      </c>
      <c r="N114" s="6">
        <f>_xlfn.IFNA(IF(VLOOKUP($A114,'BU Raw After'!A:H,1,FALSE)=$A114,VLOOKUP($A114,'BU Raw After'!A:H,7,FALSE),0),0)</f>
        <v>4134</v>
      </c>
      <c r="O114" s="6">
        <f t="shared" si="12"/>
        <v>-408</v>
      </c>
      <c r="P114" s="7">
        <f t="shared" si="13"/>
        <v>-9.8693759071117562E-2</v>
      </c>
      <c r="Q114" s="6">
        <f>_xlfn.IFNA(IF(VLOOKUP($A114,'BU Raw Before'!A:H,1,FALSE)=$A114,VLOOKUP($A114,'BU Raw Before'!A:H,8,FALSE),0),0)</f>
        <v>-44648392.056299999</v>
      </c>
      <c r="R114" s="6">
        <f>_xlfn.IFNA(IF(VLOOKUP($A114,'BU Raw After'!A:H,1,FALSE)=$A114,VLOOKUP($A114,'BU Raw After'!A:H,8,FALSE),0),0)</f>
        <v>-39206698.968800001</v>
      </c>
      <c r="S114" s="6">
        <f t="shared" si="14"/>
        <v>5441693.0874999985</v>
      </c>
      <c r="T114" s="7">
        <f t="shared" si="15"/>
        <v>-0.13879498225113013</v>
      </c>
    </row>
    <row r="115" spans="1:20" ht="15" x14ac:dyDescent="0.25">
      <c r="A115" t="s">
        <v>114</v>
      </c>
      <c r="B115" t="s">
        <v>83</v>
      </c>
      <c r="C115" t="s">
        <v>41</v>
      </c>
      <c r="D115" t="s">
        <v>21</v>
      </c>
      <c r="E115" s="6">
        <f>_xlfn.IFNA(IF(VLOOKUP($A115,'BU Raw Before'!A:H,1,FALSE)=$A115,VLOOKUP($A115,'BU Raw Before'!A:H,5,FALSE),0),0)</f>
        <v>355496448.27999997</v>
      </c>
      <c r="F115" s="6">
        <f>_xlfn.IFNA(IF(VLOOKUP($A115,'BU Raw After'!A:H,1,FALSE)=$A115,VLOOKUP($A115,'BU Raw After'!A:H,5,FALSE),0),0)</f>
        <v>308453088.22000003</v>
      </c>
      <c r="G115" s="6">
        <f t="shared" si="8"/>
        <v>-47043360.059999943</v>
      </c>
      <c r="H115" s="7">
        <f t="shared" si="9"/>
        <v>-0.15251382416520629</v>
      </c>
      <c r="I115" s="6">
        <f>_xlfn.IFNA(IF(VLOOKUP($A115,'BU Raw Before'!A:H,1,FALSE)=$A115,VLOOKUP($A115,'BU Raw Before'!A:H,6,FALSE),0),0)</f>
        <v>7810</v>
      </c>
      <c r="J115" s="6">
        <f>_xlfn.IFNA(IF(VLOOKUP($A115,'BU Raw After'!A:H,1,FALSE)=$A115,VLOOKUP($A115,'BU Raw After'!A:H,6,FALSE),0),0)</f>
        <v>6812</v>
      </c>
      <c r="K115" s="6">
        <f t="shared" si="10"/>
        <v>-998</v>
      </c>
      <c r="L115" s="7">
        <f t="shared" si="11"/>
        <v>-0.14650616559013505</v>
      </c>
      <c r="M115" s="6">
        <f>_xlfn.IFNA(IF(VLOOKUP($A115,'BU Raw Before'!A:H,1,FALSE)=$A115,VLOOKUP($A115,'BU Raw Before'!A:H,7,FALSE),0),0)</f>
        <v>8219</v>
      </c>
      <c r="N115" s="6">
        <f>_xlfn.IFNA(IF(VLOOKUP($A115,'BU Raw After'!A:H,1,FALSE)=$A115,VLOOKUP($A115,'BU Raw After'!A:H,7,FALSE),0),0)</f>
        <v>7216</v>
      </c>
      <c r="O115" s="6">
        <f t="shared" si="12"/>
        <v>-1003</v>
      </c>
      <c r="P115" s="7">
        <f t="shared" si="13"/>
        <v>-0.13899667405764968</v>
      </c>
      <c r="Q115" s="6">
        <f>_xlfn.IFNA(IF(VLOOKUP($A115,'BU Raw Before'!A:H,1,FALSE)=$A115,VLOOKUP($A115,'BU Raw Before'!A:H,8,FALSE),0),0)</f>
        <v>-78696704.700000003</v>
      </c>
      <c r="R115" s="6">
        <f>_xlfn.IFNA(IF(VLOOKUP($A115,'BU Raw After'!A:H,1,FALSE)=$A115,VLOOKUP($A115,'BU Raw After'!A:H,8,FALSE),0),0)</f>
        <v>-56757343.549999997</v>
      </c>
      <c r="S115" s="6">
        <f t="shared" si="14"/>
        <v>21939361.150000006</v>
      </c>
      <c r="T115" s="7">
        <f t="shared" si="15"/>
        <v>-0.38654665242873243</v>
      </c>
    </row>
    <row r="116" spans="1:20" ht="15" x14ac:dyDescent="0.25">
      <c r="A116" t="s">
        <v>320</v>
      </c>
      <c r="B116" t="s">
        <v>83</v>
      </c>
      <c r="C116" t="s">
        <v>286</v>
      </c>
      <c r="D116" t="s">
        <v>7</v>
      </c>
      <c r="E116" s="6">
        <f>_xlfn.IFNA(IF(VLOOKUP($A116,'BU Raw Before'!A:H,1,FALSE)=$A116,VLOOKUP($A116,'BU Raw Before'!A:H,5,FALSE),0),0)</f>
        <v>59886689768.25</v>
      </c>
      <c r="F116" s="6">
        <f>_xlfn.IFNA(IF(VLOOKUP($A116,'BU Raw After'!A:H,1,FALSE)=$A116,VLOOKUP($A116,'BU Raw After'!A:H,5,FALSE),0),0)</f>
        <v>55701466480.010002</v>
      </c>
      <c r="G116" s="6">
        <f t="shared" si="8"/>
        <v>-4185223288.2399979</v>
      </c>
      <c r="H116" s="7">
        <f t="shared" si="9"/>
        <v>-7.5136680463197145E-2</v>
      </c>
      <c r="I116" s="6">
        <f>_xlfn.IFNA(IF(VLOOKUP($A116,'BU Raw Before'!A:H,1,FALSE)=$A116,VLOOKUP($A116,'BU Raw Before'!A:H,6,FALSE),0),0)</f>
        <v>530128</v>
      </c>
      <c r="J116" s="6">
        <f>_xlfn.IFNA(IF(VLOOKUP($A116,'BU Raw After'!A:H,1,FALSE)=$A116,VLOOKUP($A116,'BU Raw After'!A:H,6,FALSE),0),0)</f>
        <v>466496</v>
      </c>
      <c r="K116" s="6">
        <f t="shared" si="10"/>
        <v>-63632</v>
      </c>
      <c r="L116" s="7">
        <f t="shared" si="11"/>
        <v>-0.13640417066813007</v>
      </c>
      <c r="M116" s="6">
        <f>_xlfn.IFNA(IF(VLOOKUP($A116,'BU Raw Before'!A:H,1,FALSE)=$A116,VLOOKUP($A116,'BU Raw Before'!A:H,7,FALSE),0),0)</f>
        <v>668434</v>
      </c>
      <c r="N116" s="6">
        <f>_xlfn.IFNA(IF(VLOOKUP($A116,'BU Raw After'!A:H,1,FALSE)=$A116,VLOOKUP($A116,'BU Raw After'!A:H,7,FALSE),0),0)</f>
        <v>584078</v>
      </c>
      <c r="O116" s="6">
        <f t="shared" si="12"/>
        <v>-84356</v>
      </c>
      <c r="P116" s="7">
        <f t="shared" si="13"/>
        <v>-0.14442591571673646</v>
      </c>
      <c r="Q116" s="6">
        <f>_xlfn.IFNA(IF(VLOOKUP($A116,'BU Raw Before'!A:H,1,FALSE)=$A116,VLOOKUP($A116,'BU Raw Before'!A:H,8,FALSE),0),0)</f>
        <v>-3129579199.8775001</v>
      </c>
      <c r="R116" s="6">
        <f>_xlfn.IFNA(IF(VLOOKUP($A116,'BU Raw After'!A:H,1,FALSE)=$A116,VLOOKUP($A116,'BU Raw After'!A:H,8,FALSE),0),0)</f>
        <v>-1843887063.4093001</v>
      </c>
      <c r="S116" s="6">
        <f t="shared" si="14"/>
        <v>1285692136.4682</v>
      </c>
      <c r="T116" s="7">
        <f t="shared" si="15"/>
        <v>-0.69727271370459531</v>
      </c>
    </row>
    <row r="117" spans="1:20" ht="15" x14ac:dyDescent="0.25">
      <c r="A117" t="s">
        <v>321</v>
      </c>
      <c r="B117" t="s">
        <v>83</v>
      </c>
      <c r="C117" t="s">
        <v>286</v>
      </c>
      <c r="D117" t="s">
        <v>9</v>
      </c>
      <c r="E117" s="6">
        <f>_xlfn.IFNA(IF(VLOOKUP($A117,'BU Raw Before'!A:H,1,FALSE)=$A117,VLOOKUP($A117,'BU Raw Before'!A:H,5,FALSE),0),0)</f>
        <v>3936802708.2199998</v>
      </c>
      <c r="F117" s="6">
        <f>_xlfn.IFNA(IF(VLOOKUP($A117,'BU Raw After'!A:H,1,FALSE)=$A117,VLOOKUP($A117,'BU Raw After'!A:H,5,FALSE),0),0)</f>
        <v>3488407038.77</v>
      </c>
      <c r="G117" s="6">
        <f t="shared" si="8"/>
        <v>-448395669.44999981</v>
      </c>
      <c r="H117" s="7">
        <f t="shared" si="9"/>
        <v>-0.12853880423544339</v>
      </c>
      <c r="I117" s="6">
        <f>_xlfn.IFNA(IF(VLOOKUP($A117,'BU Raw Before'!A:H,1,FALSE)=$A117,VLOOKUP($A117,'BU Raw Before'!A:H,6,FALSE),0),0)</f>
        <v>20249</v>
      </c>
      <c r="J117" s="6">
        <f>_xlfn.IFNA(IF(VLOOKUP($A117,'BU Raw After'!A:H,1,FALSE)=$A117,VLOOKUP($A117,'BU Raw After'!A:H,6,FALSE),0),0)</f>
        <v>17421</v>
      </c>
      <c r="K117" s="6">
        <f t="shared" si="10"/>
        <v>-2828</v>
      </c>
      <c r="L117" s="7">
        <f t="shared" si="11"/>
        <v>-0.16233281671545835</v>
      </c>
      <c r="M117" s="6">
        <f>_xlfn.IFNA(IF(VLOOKUP($A117,'BU Raw Before'!A:H,1,FALSE)=$A117,VLOOKUP($A117,'BU Raw Before'!A:H,7,FALSE),0),0)</f>
        <v>38433</v>
      </c>
      <c r="N117" s="6">
        <f>_xlfn.IFNA(IF(VLOOKUP($A117,'BU Raw After'!A:H,1,FALSE)=$A117,VLOOKUP($A117,'BU Raw After'!A:H,7,FALSE),0),0)</f>
        <v>32715</v>
      </c>
      <c r="O117" s="6">
        <f t="shared" si="12"/>
        <v>-5718</v>
      </c>
      <c r="P117" s="7">
        <f t="shared" si="13"/>
        <v>-0.17478220999541494</v>
      </c>
      <c r="Q117" s="6">
        <f>_xlfn.IFNA(IF(VLOOKUP($A117,'BU Raw Before'!A:H,1,FALSE)=$A117,VLOOKUP($A117,'BU Raw Before'!A:H,8,FALSE),0),0)</f>
        <v>-264088603.0925</v>
      </c>
      <c r="R117" s="6">
        <f>_xlfn.IFNA(IF(VLOOKUP($A117,'BU Raw After'!A:H,1,FALSE)=$A117,VLOOKUP($A117,'BU Raw After'!A:H,8,FALSE),0),0)</f>
        <v>-189917398.521</v>
      </c>
      <c r="S117" s="6">
        <f t="shared" si="14"/>
        <v>74171204.571500003</v>
      </c>
      <c r="T117" s="7">
        <f t="shared" si="15"/>
        <v>-0.39054454804623162</v>
      </c>
    </row>
    <row r="118" spans="1:20" ht="15" x14ac:dyDescent="0.25">
      <c r="A118" t="s">
        <v>322</v>
      </c>
      <c r="B118" t="s">
        <v>83</v>
      </c>
      <c r="C118" t="s">
        <v>286</v>
      </c>
      <c r="D118" t="s">
        <v>11</v>
      </c>
      <c r="E118" s="6">
        <f>_xlfn.IFNA(IF(VLOOKUP($A118,'BU Raw Before'!A:H,1,FALSE)=$A118,VLOOKUP($A118,'BU Raw Before'!A:H,5,FALSE),0),0)</f>
        <v>2596619158.2399998</v>
      </c>
      <c r="F118" s="6">
        <f>_xlfn.IFNA(IF(VLOOKUP($A118,'BU Raw After'!A:H,1,FALSE)=$A118,VLOOKUP($A118,'BU Raw After'!A:H,5,FALSE),0),0)</f>
        <v>2128005250.8900001</v>
      </c>
      <c r="G118" s="6">
        <f t="shared" si="8"/>
        <v>-468613907.34999967</v>
      </c>
      <c r="H118" s="7">
        <f t="shared" si="9"/>
        <v>-0.22021275894597078</v>
      </c>
      <c r="I118" s="6">
        <f>_xlfn.IFNA(IF(VLOOKUP($A118,'BU Raw Before'!A:H,1,FALSE)=$A118,VLOOKUP($A118,'BU Raw Before'!A:H,6,FALSE),0),0)</f>
        <v>7196</v>
      </c>
      <c r="J118" s="6">
        <f>_xlfn.IFNA(IF(VLOOKUP($A118,'BU Raw After'!A:H,1,FALSE)=$A118,VLOOKUP($A118,'BU Raw After'!A:H,6,FALSE),0),0)</f>
        <v>5990</v>
      </c>
      <c r="K118" s="6">
        <f t="shared" si="10"/>
        <v>-1206</v>
      </c>
      <c r="L118" s="7">
        <f t="shared" si="11"/>
        <v>-0.20133555926544242</v>
      </c>
      <c r="M118" s="6">
        <f>_xlfn.IFNA(IF(VLOOKUP($A118,'BU Raw Before'!A:H,1,FALSE)=$A118,VLOOKUP($A118,'BU Raw Before'!A:H,7,FALSE),0),0)</f>
        <v>16801</v>
      </c>
      <c r="N118" s="6">
        <f>_xlfn.IFNA(IF(VLOOKUP($A118,'BU Raw After'!A:H,1,FALSE)=$A118,VLOOKUP($A118,'BU Raw After'!A:H,7,FALSE),0),0)</f>
        <v>14116</v>
      </c>
      <c r="O118" s="6">
        <f t="shared" si="12"/>
        <v>-2685</v>
      </c>
      <c r="P118" s="7">
        <f t="shared" si="13"/>
        <v>-0.19020969113063191</v>
      </c>
      <c r="Q118" s="6">
        <f>_xlfn.IFNA(IF(VLOOKUP($A118,'BU Raw Before'!A:H,1,FALSE)=$A118,VLOOKUP($A118,'BU Raw Before'!A:H,8,FALSE),0),0)</f>
        <v>-121830703.0325</v>
      </c>
      <c r="R118" s="6">
        <f>_xlfn.IFNA(IF(VLOOKUP($A118,'BU Raw After'!A:H,1,FALSE)=$A118,VLOOKUP($A118,'BU Raw After'!A:H,8,FALSE),0),0)</f>
        <v>-90600614.200000003</v>
      </c>
      <c r="S118" s="6">
        <f t="shared" si="14"/>
        <v>31230088.832499996</v>
      </c>
      <c r="T118" s="7">
        <f t="shared" si="15"/>
        <v>-0.34470063043457816</v>
      </c>
    </row>
    <row r="119" spans="1:20" ht="15" x14ac:dyDescent="0.25">
      <c r="A119" t="s">
        <v>323</v>
      </c>
      <c r="B119" t="s">
        <v>83</v>
      </c>
      <c r="C119" t="s">
        <v>286</v>
      </c>
      <c r="D119" t="s">
        <v>13</v>
      </c>
      <c r="E119" s="6">
        <f>_xlfn.IFNA(IF(VLOOKUP($A119,'BU Raw Before'!A:H,1,FALSE)=$A119,VLOOKUP($A119,'BU Raw Before'!A:H,5,FALSE),0),0)</f>
        <v>1565342684.8699999</v>
      </c>
      <c r="F119" s="6">
        <f>_xlfn.IFNA(IF(VLOOKUP($A119,'BU Raw After'!A:H,1,FALSE)=$A119,VLOOKUP($A119,'BU Raw After'!A:H,5,FALSE),0),0)</f>
        <v>1333145499.28</v>
      </c>
      <c r="G119" s="6">
        <f t="shared" si="8"/>
        <v>-232197185.58999991</v>
      </c>
      <c r="H119" s="7">
        <f t="shared" si="9"/>
        <v>-0.17417242582704143</v>
      </c>
      <c r="I119" s="6">
        <f>_xlfn.IFNA(IF(VLOOKUP($A119,'BU Raw Before'!A:H,1,FALSE)=$A119,VLOOKUP($A119,'BU Raw Before'!A:H,6,FALSE),0),0)</f>
        <v>4961</v>
      </c>
      <c r="J119" s="6">
        <f>_xlfn.IFNA(IF(VLOOKUP($A119,'BU Raw After'!A:H,1,FALSE)=$A119,VLOOKUP($A119,'BU Raw After'!A:H,6,FALSE),0),0)</f>
        <v>4242</v>
      </c>
      <c r="K119" s="6">
        <f t="shared" si="10"/>
        <v>-719</v>
      </c>
      <c r="L119" s="7">
        <f t="shared" si="11"/>
        <v>-0.1694955209806695</v>
      </c>
      <c r="M119" s="6">
        <f>_xlfn.IFNA(IF(VLOOKUP($A119,'BU Raw Before'!A:H,1,FALSE)=$A119,VLOOKUP($A119,'BU Raw Before'!A:H,7,FALSE),0),0)</f>
        <v>12939</v>
      </c>
      <c r="N119" s="6">
        <f>_xlfn.IFNA(IF(VLOOKUP($A119,'BU Raw After'!A:H,1,FALSE)=$A119,VLOOKUP($A119,'BU Raw After'!A:H,7,FALSE),0),0)</f>
        <v>10934</v>
      </c>
      <c r="O119" s="6">
        <f t="shared" si="12"/>
        <v>-2005</v>
      </c>
      <c r="P119" s="7">
        <f t="shared" si="13"/>
        <v>-0.18337296506310591</v>
      </c>
      <c r="Q119" s="6">
        <f>_xlfn.IFNA(IF(VLOOKUP($A119,'BU Raw Before'!A:H,1,FALSE)=$A119,VLOOKUP($A119,'BU Raw Before'!A:H,8,FALSE),0),0)</f>
        <v>-85024983.8125</v>
      </c>
      <c r="R119" s="6">
        <f>_xlfn.IFNA(IF(VLOOKUP($A119,'BU Raw After'!A:H,1,FALSE)=$A119,VLOOKUP($A119,'BU Raw After'!A:H,8,FALSE),0),0)</f>
        <v>-62296108.4551</v>
      </c>
      <c r="S119" s="6">
        <f t="shared" si="14"/>
        <v>22728875.3574</v>
      </c>
      <c r="T119" s="7">
        <f t="shared" si="15"/>
        <v>-0.36485225034211993</v>
      </c>
    </row>
    <row r="120" spans="1:20" ht="15" x14ac:dyDescent="0.25">
      <c r="A120" t="s">
        <v>324</v>
      </c>
      <c r="B120" t="s">
        <v>83</v>
      </c>
      <c r="C120" t="s">
        <v>286</v>
      </c>
      <c r="D120" t="s">
        <v>15</v>
      </c>
      <c r="E120" s="6">
        <f>_xlfn.IFNA(IF(VLOOKUP($A120,'BU Raw Before'!A:H,1,FALSE)=$A120,VLOOKUP($A120,'BU Raw Before'!A:H,5,FALSE),0),0)</f>
        <v>676189266.62</v>
      </c>
      <c r="F120" s="6">
        <f>_xlfn.IFNA(IF(VLOOKUP($A120,'BU Raw After'!A:H,1,FALSE)=$A120,VLOOKUP($A120,'BU Raw After'!A:H,5,FALSE),0),0)</f>
        <v>734875469.98000002</v>
      </c>
      <c r="G120" s="6">
        <f t="shared" si="8"/>
        <v>58686203.360000014</v>
      </c>
      <c r="H120" s="7">
        <f t="shared" si="9"/>
        <v>7.9858704987931073E-2</v>
      </c>
      <c r="I120" s="6">
        <f>_xlfn.IFNA(IF(VLOOKUP($A120,'BU Raw Before'!A:H,1,FALSE)=$A120,VLOOKUP($A120,'BU Raw Before'!A:H,6,FALSE),0),0)</f>
        <v>1980</v>
      </c>
      <c r="J120" s="6">
        <f>_xlfn.IFNA(IF(VLOOKUP($A120,'BU Raw After'!A:H,1,FALSE)=$A120,VLOOKUP($A120,'BU Raw After'!A:H,6,FALSE),0),0)</f>
        <v>1786</v>
      </c>
      <c r="K120" s="6">
        <f t="shared" si="10"/>
        <v>-194</v>
      </c>
      <c r="L120" s="7">
        <f t="shared" si="11"/>
        <v>-0.10862262038073908</v>
      </c>
      <c r="M120" s="6">
        <f>_xlfn.IFNA(IF(VLOOKUP($A120,'BU Raw Before'!A:H,1,FALSE)=$A120,VLOOKUP($A120,'BU Raw Before'!A:H,7,FALSE),0),0)</f>
        <v>4347</v>
      </c>
      <c r="N120" s="6">
        <f>_xlfn.IFNA(IF(VLOOKUP($A120,'BU Raw After'!A:H,1,FALSE)=$A120,VLOOKUP($A120,'BU Raw After'!A:H,7,FALSE),0),0)</f>
        <v>3736</v>
      </c>
      <c r="O120" s="6">
        <f t="shared" si="12"/>
        <v>-611</v>
      </c>
      <c r="P120" s="7">
        <f t="shared" si="13"/>
        <v>-0.1635438972162741</v>
      </c>
      <c r="Q120" s="6">
        <f>_xlfn.IFNA(IF(VLOOKUP($A120,'BU Raw Before'!A:H,1,FALSE)=$A120,VLOOKUP($A120,'BU Raw Before'!A:H,8,FALSE),0),0)</f>
        <v>-31674907.309999999</v>
      </c>
      <c r="R120" s="6">
        <f>_xlfn.IFNA(IF(VLOOKUP($A120,'BU Raw After'!A:H,1,FALSE)=$A120,VLOOKUP($A120,'BU Raw After'!A:H,8,FALSE),0),0)</f>
        <v>-24035664.890000001</v>
      </c>
      <c r="S120" s="6">
        <f t="shared" si="14"/>
        <v>7639242.4199999981</v>
      </c>
      <c r="T120" s="7">
        <f t="shared" si="15"/>
        <v>-0.31782946113457805</v>
      </c>
    </row>
    <row r="121" spans="1:20" ht="15" x14ac:dyDescent="0.25">
      <c r="A121" t="s">
        <v>325</v>
      </c>
      <c r="B121" t="s">
        <v>83</v>
      </c>
      <c r="C121" t="s">
        <v>286</v>
      </c>
      <c r="D121" t="s">
        <v>17</v>
      </c>
      <c r="E121" s="6">
        <f>_xlfn.IFNA(IF(VLOOKUP($A121,'BU Raw Before'!A:H,1,FALSE)=$A121,VLOOKUP($A121,'BU Raw Before'!A:H,5,FALSE),0),0)</f>
        <v>505526402.24000001</v>
      </c>
      <c r="F121" s="6">
        <f>_xlfn.IFNA(IF(VLOOKUP($A121,'BU Raw After'!A:H,1,FALSE)=$A121,VLOOKUP($A121,'BU Raw After'!A:H,5,FALSE),0),0)</f>
        <v>519869398.38</v>
      </c>
      <c r="G121" s="6">
        <f t="shared" si="8"/>
        <v>14342996.139999986</v>
      </c>
      <c r="H121" s="7">
        <f t="shared" si="9"/>
        <v>2.7589614208289929E-2</v>
      </c>
      <c r="I121" s="6">
        <f>_xlfn.IFNA(IF(VLOOKUP($A121,'BU Raw Before'!A:H,1,FALSE)=$A121,VLOOKUP($A121,'BU Raw Before'!A:H,6,FALSE),0),0)</f>
        <v>1121</v>
      </c>
      <c r="J121" s="6">
        <f>_xlfn.IFNA(IF(VLOOKUP($A121,'BU Raw After'!A:H,1,FALSE)=$A121,VLOOKUP($A121,'BU Raw After'!A:H,6,FALSE),0),0)</f>
        <v>969</v>
      </c>
      <c r="K121" s="6">
        <f t="shared" si="10"/>
        <v>-152</v>
      </c>
      <c r="L121" s="7">
        <f t="shared" si="11"/>
        <v>-0.15686274509803921</v>
      </c>
      <c r="M121" s="6">
        <f>_xlfn.IFNA(IF(VLOOKUP($A121,'BU Raw Before'!A:H,1,FALSE)=$A121,VLOOKUP($A121,'BU Raw Before'!A:H,7,FALSE),0),0)</f>
        <v>2703</v>
      </c>
      <c r="N121" s="6">
        <f>_xlfn.IFNA(IF(VLOOKUP($A121,'BU Raw After'!A:H,1,FALSE)=$A121,VLOOKUP($A121,'BU Raw After'!A:H,7,FALSE),0),0)</f>
        <v>2261</v>
      </c>
      <c r="O121" s="6">
        <f t="shared" si="12"/>
        <v>-442</v>
      </c>
      <c r="P121" s="7">
        <f t="shared" si="13"/>
        <v>-0.19548872180451127</v>
      </c>
      <c r="Q121" s="6">
        <f>_xlfn.IFNA(IF(VLOOKUP($A121,'BU Raw Before'!A:H,1,FALSE)=$A121,VLOOKUP($A121,'BU Raw Before'!A:H,8,FALSE),0),0)</f>
        <v>-18442786.800000001</v>
      </c>
      <c r="R121" s="6">
        <f>_xlfn.IFNA(IF(VLOOKUP($A121,'BU Raw After'!A:H,1,FALSE)=$A121,VLOOKUP($A121,'BU Raw After'!A:H,8,FALSE),0),0)</f>
        <v>-12628497.220000001</v>
      </c>
      <c r="S121" s="6">
        <f t="shared" si="14"/>
        <v>5814289.5800000001</v>
      </c>
      <c r="T121" s="7">
        <f t="shared" si="15"/>
        <v>-0.46041025141073749</v>
      </c>
    </row>
    <row r="122" spans="1:20" ht="15" x14ac:dyDescent="0.25">
      <c r="A122" t="s">
        <v>326</v>
      </c>
      <c r="B122" t="s">
        <v>83</v>
      </c>
      <c r="C122" t="s">
        <v>286</v>
      </c>
      <c r="D122" t="s">
        <v>19</v>
      </c>
      <c r="E122" s="6">
        <f>_xlfn.IFNA(IF(VLOOKUP($A122,'BU Raw Before'!A:H,1,FALSE)=$A122,VLOOKUP($A122,'BU Raw Before'!A:H,5,FALSE),0),0)</f>
        <v>2169766798.77</v>
      </c>
      <c r="F122" s="6">
        <f>_xlfn.IFNA(IF(VLOOKUP($A122,'BU Raw After'!A:H,1,FALSE)=$A122,VLOOKUP($A122,'BU Raw After'!A:H,5,FALSE),0),0)</f>
        <v>2232594090.2199998</v>
      </c>
      <c r="G122" s="6">
        <f t="shared" si="8"/>
        <v>62827291.449999809</v>
      </c>
      <c r="H122" s="7">
        <f t="shared" si="9"/>
        <v>2.8140937810960887E-2</v>
      </c>
      <c r="I122" s="6">
        <f>_xlfn.IFNA(IF(VLOOKUP($A122,'BU Raw Before'!A:H,1,FALSE)=$A122,VLOOKUP($A122,'BU Raw Before'!A:H,6,FALSE),0),0)</f>
        <v>2099</v>
      </c>
      <c r="J122" s="6">
        <f>_xlfn.IFNA(IF(VLOOKUP($A122,'BU Raw After'!A:H,1,FALSE)=$A122,VLOOKUP($A122,'BU Raw After'!A:H,6,FALSE),0),0)</f>
        <v>2001</v>
      </c>
      <c r="K122" s="6">
        <f t="shared" si="10"/>
        <v>-98</v>
      </c>
      <c r="L122" s="7">
        <f t="shared" si="11"/>
        <v>-4.8975512243878062E-2</v>
      </c>
      <c r="M122" s="6">
        <f>_xlfn.IFNA(IF(VLOOKUP($A122,'BU Raw Before'!A:H,1,FALSE)=$A122,VLOOKUP($A122,'BU Raw Before'!A:H,7,FALSE),0),0)</f>
        <v>6028</v>
      </c>
      <c r="N122" s="6">
        <f>_xlfn.IFNA(IF(VLOOKUP($A122,'BU Raw After'!A:H,1,FALSE)=$A122,VLOOKUP($A122,'BU Raw After'!A:H,7,FALSE),0),0)</f>
        <v>5553</v>
      </c>
      <c r="O122" s="6">
        <f t="shared" si="12"/>
        <v>-475</v>
      </c>
      <c r="P122" s="7">
        <f t="shared" si="13"/>
        <v>-8.5539348100126061E-2</v>
      </c>
      <c r="Q122" s="6">
        <f>_xlfn.IFNA(IF(VLOOKUP($A122,'BU Raw Before'!A:H,1,FALSE)=$A122,VLOOKUP($A122,'BU Raw Before'!A:H,8,FALSE),0),0)</f>
        <v>-21065849.347600002</v>
      </c>
      <c r="R122" s="6">
        <f>_xlfn.IFNA(IF(VLOOKUP($A122,'BU Raw After'!A:H,1,FALSE)=$A122,VLOOKUP($A122,'BU Raw After'!A:H,8,FALSE),0),0)</f>
        <v>-13331636.7906</v>
      </c>
      <c r="S122" s="6">
        <f t="shared" si="14"/>
        <v>7734212.5570000019</v>
      </c>
      <c r="T122" s="7">
        <f t="shared" si="15"/>
        <v>-0.58013975916695504</v>
      </c>
    </row>
    <row r="123" spans="1:20" ht="15" x14ac:dyDescent="0.25">
      <c r="A123" t="s">
        <v>327</v>
      </c>
      <c r="B123" t="s">
        <v>83</v>
      </c>
      <c r="C123" t="s">
        <v>286</v>
      </c>
      <c r="D123" t="s">
        <v>21</v>
      </c>
      <c r="E123" s="6">
        <f>_xlfn.IFNA(IF(VLOOKUP($A123,'BU Raw Before'!A:H,1,FALSE)=$A123,VLOOKUP($A123,'BU Raw Before'!A:H,5,FALSE),0),0)</f>
        <v>801276878.27999997</v>
      </c>
      <c r="F123" s="6">
        <f>_xlfn.IFNA(IF(VLOOKUP($A123,'BU Raw After'!A:H,1,FALSE)=$A123,VLOOKUP($A123,'BU Raw After'!A:H,5,FALSE),0),0)</f>
        <v>639619485.51999998</v>
      </c>
      <c r="G123" s="6">
        <f t="shared" si="8"/>
        <v>-161657392.75999999</v>
      </c>
      <c r="H123" s="7">
        <f t="shared" si="9"/>
        <v>-0.25273994370039432</v>
      </c>
      <c r="I123" s="6">
        <f>_xlfn.IFNA(IF(VLOOKUP($A123,'BU Raw Before'!A:H,1,FALSE)=$A123,VLOOKUP($A123,'BU Raw Before'!A:H,6,FALSE),0),0)</f>
        <v>15121</v>
      </c>
      <c r="J123" s="6">
        <f>_xlfn.IFNA(IF(VLOOKUP($A123,'BU Raw After'!A:H,1,FALSE)=$A123,VLOOKUP($A123,'BU Raw After'!A:H,6,FALSE),0),0)</f>
        <v>13478</v>
      </c>
      <c r="K123" s="6">
        <f t="shared" si="10"/>
        <v>-1643</v>
      </c>
      <c r="L123" s="7">
        <f t="shared" si="11"/>
        <v>-0.12190235940050452</v>
      </c>
      <c r="M123" s="6">
        <f>_xlfn.IFNA(IF(VLOOKUP($A123,'BU Raw Before'!A:H,1,FALSE)=$A123,VLOOKUP($A123,'BU Raw Before'!A:H,7,FALSE),0),0)</f>
        <v>15788</v>
      </c>
      <c r="N123" s="6">
        <f>_xlfn.IFNA(IF(VLOOKUP($A123,'BU Raw After'!A:H,1,FALSE)=$A123,VLOOKUP($A123,'BU Raw After'!A:H,7,FALSE),0),0)</f>
        <v>14080</v>
      </c>
      <c r="O123" s="6">
        <f t="shared" si="12"/>
        <v>-1708</v>
      </c>
      <c r="P123" s="7">
        <f t="shared" si="13"/>
        <v>-0.12130681818181818</v>
      </c>
      <c r="Q123" s="6">
        <f>_xlfn.IFNA(IF(VLOOKUP($A123,'BU Raw Before'!A:H,1,FALSE)=$A123,VLOOKUP($A123,'BU Raw Before'!A:H,8,FALSE),0),0)</f>
        <v>-53069390.979999997</v>
      </c>
      <c r="R123" s="6">
        <f>_xlfn.IFNA(IF(VLOOKUP($A123,'BU Raw After'!A:H,1,FALSE)=$A123,VLOOKUP($A123,'BU Raw After'!A:H,8,FALSE),0),0)</f>
        <v>-35811985.789999999</v>
      </c>
      <c r="S123" s="6">
        <f t="shared" si="14"/>
        <v>17257405.189999998</v>
      </c>
      <c r="T123" s="7">
        <f t="shared" si="15"/>
        <v>-0.48188908850787293</v>
      </c>
    </row>
    <row r="124" spans="1:20" ht="15" x14ac:dyDescent="0.25">
      <c r="A124" t="s">
        <v>115</v>
      </c>
      <c r="B124" t="s">
        <v>116</v>
      </c>
      <c r="C124" t="s">
        <v>6</v>
      </c>
      <c r="D124" t="s">
        <v>7</v>
      </c>
      <c r="E124" s="6">
        <f>_xlfn.IFNA(IF(VLOOKUP($A124,'BU Raw Before'!A:H,1,FALSE)=$A124,VLOOKUP($A124,'BU Raw Before'!A:H,5,FALSE),0),0)</f>
        <v>1330075975.22</v>
      </c>
      <c r="F124" s="6">
        <f>_xlfn.IFNA(IF(VLOOKUP($A124,'BU Raw After'!A:H,1,FALSE)=$A124,VLOOKUP($A124,'BU Raw After'!A:H,5,FALSE),0),0)</f>
        <v>1504512027.1199999</v>
      </c>
      <c r="G124" s="6">
        <f t="shared" si="8"/>
        <v>174436051.89999986</v>
      </c>
      <c r="H124" s="7">
        <f t="shared" si="9"/>
        <v>0.11594194579747739</v>
      </c>
      <c r="I124" s="6">
        <f>_xlfn.IFNA(IF(VLOOKUP($A124,'BU Raw Before'!A:H,1,FALSE)=$A124,VLOOKUP($A124,'BU Raw Before'!A:H,6,FALSE),0),0)</f>
        <v>2207</v>
      </c>
      <c r="J124" s="6">
        <f>_xlfn.IFNA(IF(VLOOKUP($A124,'BU Raw After'!A:H,1,FALSE)=$A124,VLOOKUP($A124,'BU Raw After'!A:H,6,FALSE),0),0)</f>
        <v>2232</v>
      </c>
      <c r="K124" s="6">
        <f t="shared" si="10"/>
        <v>25</v>
      </c>
      <c r="L124" s="7">
        <f t="shared" si="11"/>
        <v>1.1200716845878136E-2</v>
      </c>
      <c r="M124" s="6">
        <f>_xlfn.IFNA(IF(VLOOKUP($A124,'BU Raw Before'!A:H,1,FALSE)=$A124,VLOOKUP($A124,'BU Raw Before'!A:H,7,FALSE),0),0)</f>
        <v>2364</v>
      </c>
      <c r="N124" s="6">
        <f>_xlfn.IFNA(IF(VLOOKUP($A124,'BU Raw After'!A:H,1,FALSE)=$A124,VLOOKUP($A124,'BU Raw After'!A:H,7,FALSE),0),0)</f>
        <v>2418</v>
      </c>
      <c r="O124" s="6">
        <f t="shared" si="12"/>
        <v>54</v>
      </c>
      <c r="P124" s="7">
        <f t="shared" si="13"/>
        <v>2.2332506203473945E-2</v>
      </c>
      <c r="Q124" s="6">
        <f>_xlfn.IFNA(IF(VLOOKUP($A124,'BU Raw Before'!A:H,1,FALSE)=$A124,VLOOKUP($A124,'BU Raw Before'!A:H,8,FALSE),0),0)</f>
        <v>-8689994.2572000008</v>
      </c>
      <c r="R124" s="6">
        <f>_xlfn.IFNA(IF(VLOOKUP($A124,'BU Raw After'!A:H,1,FALSE)=$A124,VLOOKUP($A124,'BU Raw After'!A:H,8,FALSE),0),0)</f>
        <v>-9612561.3066000007</v>
      </c>
      <c r="S124" s="6">
        <f t="shared" si="14"/>
        <v>-922567.0493999999</v>
      </c>
      <c r="T124" s="7">
        <f t="shared" si="15"/>
        <v>9.5975153757049514E-2</v>
      </c>
    </row>
    <row r="125" spans="1:20" ht="15" x14ac:dyDescent="0.25">
      <c r="A125" t="s">
        <v>117</v>
      </c>
      <c r="B125" t="s">
        <v>116</v>
      </c>
      <c r="C125" t="s">
        <v>6</v>
      </c>
      <c r="D125" t="s">
        <v>9</v>
      </c>
      <c r="E125" s="6">
        <f>_xlfn.IFNA(IF(VLOOKUP($A125,'BU Raw Before'!A:H,1,FALSE)=$A125,VLOOKUP($A125,'BU Raw Before'!A:H,5,FALSE),0),0)</f>
        <v>87817989</v>
      </c>
      <c r="F125" s="6">
        <f>_xlfn.IFNA(IF(VLOOKUP($A125,'BU Raw After'!A:H,1,FALSE)=$A125,VLOOKUP($A125,'BU Raw After'!A:H,5,FALSE),0),0)</f>
        <v>140256798.41999999</v>
      </c>
      <c r="G125" s="6">
        <f t="shared" si="8"/>
        <v>52438809.419999987</v>
      </c>
      <c r="H125" s="7">
        <f t="shared" si="9"/>
        <v>0.37387713116744326</v>
      </c>
      <c r="I125" s="6">
        <f>_xlfn.IFNA(IF(VLOOKUP($A125,'BU Raw Before'!A:H,1,FALSE)=$A125,VLOOKUP($A125,'BU Raw Before'!A:H,6,FALSE),0),0)</f>
        <v>103</v>
      </c>
      <c r="J125" s="6">
        <f>_xlfn.IFNA(IF(VLOOKUP($A125,'BU Raw After'!A:H,1,FALSE)=$A125,VLOOKUP($A125,'BU Raw After'!A:H,6,FALSE),0),0)</f>
        <v>109</v>
      </c>
      <c r="K125" s="6">
        <f t="shared" si="10"/>
        <v>6</v>
      </c>
      <c r="L125" s="7">
        <f t="shared" si="11"/>
        <v>5.5045871559633031E-2</v>
      </c>
      <c r="M125" s="6">
        <f>_xlfn.IFNA(IF(VLOOKUP($A125,'BU Raw Before'!A:H,1,FALSE)=$A125,VLOOKUP($A125,'BU Raw Before'!A:H,7,FALSE),0),0)</f>
        <v>142</v>
      </c>
      <c r="N125" s="6">
        <f>_xlfn.IFNA(IF(VLOOKUP($A125,'BU Raw After'!A:H,1,FALSE)=$A125,VLOOKUP($A125,'BU Raw After'!A:H,7,FALSE),0),0)</f>
        <v>158</v>
      </c>
      <c r="O125" s="6">
        <f t="shared" si="12"/>
        <v>16</v>
      </c>
      <c r="P125" s="7">
        <f t="shared" si="13"/>
        <v>0.10126582278481013</v>
      </c>
      <c r="Q125" s="6">
        <f>_xlfn.IFNA(IF(VLOOKUP($A125,'BU Raw Before'!A:H,1,FALSE)=$A125,VLOOKUP($A125,'BU Raw Before'!A:H,8,FALSE),0),0)</f>
        <v>-659457.07949999999</v>
      </c>
      <c r="R125" s="6">
        <f>_xlfn.IFNA(IF(VLOOKUP($A125,'BU Raw After'!A:H,1,FALSE)=$A125,VLOOKUP($A125,'BU Raw After'!A:H,8,FALSE),0),0)</f>
        <v>-960716.10140000004</v>
      </c>
      <c r="S125" s="6">
        <f t="shared" si="14"/>
        <v>-301259.02190000005</v>
      </c>
      <c r="T125" s="7">
        <f t="shared" si="15"/>
        <v>0.31357757141885251</v>
      </c>
    </row>
    <row r="126" spans="1:20" ht="15" x14ac:dyDescent="0.25">
      <c r="A126" t="s">
        <v>118</v>
      </c>
      <c r="B126" t="s">
        <v>116</v>
      </c>
      <c r="C126" t="s">
        <v>6</v>
      </c>
      <c r="D126" t="s">
        <v>11</v>
      </c>
      <c r="E126" s="6">
        <f>_xlfn.IFNA(IF(VLOOKUP($A126,'BU Raw Before'!A:H,1,FALSE)=$A126,VLOOKUP($A126,'BU Raw Before'!A:H,5,FALSE),0),0)</f>
        <v>23648300</v>
      </c>
      <c r="F126" s="6">
        <f>_xlfn.IFNA(IF(VLOOKUP($A126,'BU Raw After'!A:H,1,FALSE)=$A126,VLOOKUP($A126,'BU Raw After'!A:H,5,FALSE),0),0)</f>
        <v>80138794.180000007</v>
      </c>
      <c r="G126" s="6">
        <f t="shared" si="8"/>
        <v>56490494.180000007</v>
      </c>
      <c r="H126" s="7">
        <f t="shared" si="9"/>
        <v>0.70490821278289417</v>
      </c>
      <c r="I126" s="6">
        <f>_xlfn.IFNA(IF(VLOOKUP($A126,'BU Raw Before'!A:H,1,FALSE)=$A126,VLOOKUP($A126,'BU Raw Before'!A:H,6,FALSE),0),0)</f>
        <v>60</v>
      </c>
      <c r="J126" s="6">
        <f>_xlfn.IFNA(IF(VLOOKUP($A126,'BU Raw After'!A:H,1,FALSE)=$A126,VLOOKUP($A126,'BU Raw After'!A:H,6,FALSE),0),0)</f>
        <v>64</v>
      </c>
      <c r="K126" s="6">
        <f t="shared" si="10"/>
        <v>4</v>
      </c>
      <c r="L126" s="7">
        <f t="shared" si="11"/>
        <v>6.25E-2</v>
      </c>
      <c r="M126" s="6">
        <f>_xlfn.IFNA(IF(VLOOKUP($A126,'BU Raw Before'!A:H,1,FALSE)=$A126,VLOOKUP($A126,'BU Raw Before'!A:H,7,FALSE),0),0)</f>
        <v>108</v>
      </c>
      <c r="N126" s="6">
        <f>_xlfn.IFNA(IF(VLOOKUP($A126,'BU Raw After'!A:H,1,FALSE)=$A126,VLOOKUP($A126,'BU Raw After'!A:H,7,FALSE),0),0)</f>
        <v>129</v>
      </c>
      <c r="O126" s="6">
        <f t="shared" si="12"/>
        <v>21</v>
      </c>
      <c r="P126" s="7">
        <f t="shared" si="13"/>
        <v>0.16279069767441862</v>
      </c>
      <c r="Q126" s="6">
        <f>_xlfn.IFNA(IF(VLOOKUP($A126,'BU Raw Before'!A:H,1,FALSE)=$A126,VLOOKUP($A126,'BU Raw Before'!A:H,8,FALSE),0),0)</f>
        <v>-414557.61320000002</v>
      </c>
      <c r="R126" s="6">
        <f>_xlfn.IFNA(IF(VLOOKUP($A126,'BU Raw After'!A:H,1,FALSE)=$A126,VLOOKUP($A126,'BU Raw After'!A:H,8,FALSE),0),0)</f>
        <v>-742755.522</v>
      </c>
      <c r="S126" s="6">
        <f t="shared" si="14"/>
        <v>-328197.90879999998</v>
      </c>
      <c r="T126" s="7">
        <f t="shared" si="15"/>
        <v>0.44186532321734795</v>
      </c>
    </row>
    <row r="127" spans="1:20" ht="15" x14ac:dyDescent="0.25">
      <c r="A127" t="s">
        <v>119</v>
      </c>
      <c r="B127" t="s">
        <v>116</v>
      </c>
      <c r="C127" t="s">
        <v>6</v>
      </c>
      <c r="D127" t="s">
        <v>13</v>
      </c>
      <c r="E127" s="6">
        <f>_xlfn.IFNA(IF(VLOOKUP($A127,'BU Raw Before'!A:H,1,FALSE)=$A127,VLOOKUP($A127,'BU Raw Before'!A:H,5,FALSE),0),0)</f>
        <v>17226170</v>
      </c>
      <c r="F127" s="6">
        <f>_xlfn.IFNA(IF(VLOOKUP($A127,'BU Raw After'!A:H,1,FALSE)=$A127,VLOOKUP($A127,'BU Raw After'!A:H,5,FALSE),0),0)</f>
        <v>20424279</v>
      </c>
      <c r="G127" s="6">
        <f t="shared" si="8"/>
        <v>3198109</v>
      </c>
      <c r="H127" s="7">
        <f t="shared" si="9"/>
        <v>0.15658369139982861</v>
      </c>
      <c r="I127" s="6">
        <f>_xlfn.IFNA(IF(VLOOKUP($A127,'BU Raw Before'!A:H,1,FALSE)=$A127,VLOOKUP($A127,'BU Raw Before'!A:H,6,FALSE),0),0)</f>
        <v>41</v>
      </c>
      <c r="J127" s="6">
        <f>_xlfn.IFNA(IF(VLOOKUP($A127,'BU Raw After'!A:H,1,FALSE)=$A127,VLOOKUP($A127,'BU Raw After'!A:H,6,FALSE),0),0)</f>
        <v>30</v>
      </c>
      <c r="K127" s="6">
        <f t="shared" si="10"/>
        <v>-11</v>
      </c>
      <c r="L127" s="7">
        <f t="shared" si="11"/>
        <v>-0.36666666666666664</v>
      </c>
      <c r="M127" s="6">
        <f>_xlfn.IFNA(IF(VLOOKUP($A127,'BU Raw Before'!A:H,1,FALSE)=$A127,VLOOKUP($A127,'BU Raw Before'!A:H,7,FALSE),0),0)</f>
        <v>49</v>
      </c>
      <c r="N127" s="6">
        <f>_xlfn.IFNA(IF(VLOOKUP($A127,'BU Raw After'!A:H,1,FALSE)=$A127,VLOOKUP($A127,'BU Raw After'!A:H,7,FALSE),0),0)</f>
        <v>43</v>
      </c>
      <c r="O127" s="6">
        <f t="shared" si="12"/>
        <v>-6</v>
      </c>
      <c r="P127" s="7">
        <f t="shared" si="13"/>
        <v>-0.13953488372093023</v>
      </c>
      <c r="Q127" s="6">
        <f>_xlfn.IFNA(IF(VLOOKUP($A127,'BU Raw Before'!A:H,1,FALSE)=$A127,VLOOKUP($A127,'BU Raw Before'!A:H,8,FALSE),0),0)</f>
        <v>-384192.04519999999</v>
      </c>
      <c r="R127" s="6">
        <f>_xlfn.IFNA(IF(VLOOKUP($A127,'BU Raw After'!A:H,1,FALSE)=$A127,VLOOKUP($A127,'BU Raw After'!A:H,8,FALSE),0),0)</f>
        <v>-298348.56089999998</v>
      </c>
      <c r="S127" s="6">
        <f t="shared" si="14"/>
        <v>85843.484300000011</v>
      </c>
      <c r="T127" s="7">
        <f t="shared" si="15"/>
        <v>-0.28772883650266007</v>
      </c>
    </row>
    <row r="128" spans="1:20" ht="15" x14ac:dyDescent="0.25">
      <c r="A128" t="s">
        <v>120</v>
      </c>
      <c r="B128" t="s">
        <v>116</v>
      </c>
      <c r="C128" t="s">
        <v>6</v>
      </c>
      <c r="D128" t="s">
        <v>15</v>
      </c>
      <c r="E128" s="6">
        <f>_xlfn.IFNA(IF(VLOOKUP($A128,'BU Raw Before'!A:H,1,FALSE)=$A128,VLOOKUP($A128,'BU Raw Before'!A:H,5,FALSE),0),0)</f>
        <v>27414514</v>
      </c>
      <c r="F128" s="6">
        <f>_xlfn.IFNA(IF(VLOOKUP($A128,'BU Raw After'!A:H,1,FALSE)=$A128,VLOOKUP($A128,'BU Raw After'!A:H,5,FALSE),0),0)</f>
        <v>29171609.489999998</v>
      </c>
      <c r="G128" s="6">
        <f t="shared" si="8"/>
        <v>1757095.4899999984</v>
      </c>
      <c r="H128" s="7">
        <f t="shared" si="9"/>
        <v>6.0233066351801028E-2</v>
      </c>
      <c r="I128" s="6">
        <f>_xlfn.IFNA(IF(VLOOKUP($A128,'BU Raw Before'!A:H,1,FALSE)=$A128,VLOOKUP($A128,'BU Raw Before'!A:H,6,FALSE),0),0)</f>
        <v>10</v>
      </c>
      <c r="J128" s="6">
        <f>_xlfn.IFNA(IF(VLOOKUP($A128,'BU Raw After'!A:H,1,FALSE)=$A128,VLOOKUP($A128,'BU Raw After'!A:H,6,FALSE),0),0)</f>
        <v>20</v>
      </c>
      <c r="K128" s="6">
        <f t="shared" si="10"/>
        <v>10</v>
      </c>
      <c r="L128" s="7">
        <f t="shared" si="11"/>
        <v>0.5</v>
      </c>
      <c r="M128" s="6">
        <f>_xlfn.IFNA(IF(VLOOKUP($A128,'BU Raw Before'!A:H,1,FALSE)=$A128,VLOOKUP($A128,'BU Raw Before'!A:H,7,FALSE),0),0)</f>
        <v>34</v>
      </c>
      <c r="N128" s="6">
        <f>_xlfn.IFNA(IF(VLOOKUP($A128,'BU Raw After'!A:H,1,FALSE)=$A128,VLOOKUP($A128,'BU Raw After'!A:H,7,FALSE),0),0)</f>
        <v>58</v>
      </c>
      <c r="O128" s="6">
        <f t="shared" si="12"/>
        <v>24</v>
      </c>
      <c r="P128" s="7">
        <f t="shared" si="13"/>
        <v>0.41379310344827586</v>
      </c>
      <c r="Q128" s="6">
        <f>_xlfn.IFNA(IF(VLOOKUP($A128,'BU Raw Before'!A:H,1,FALSE)=$A128,VLOOKUP($A128,'BU Raw Before'!A:H,8,FALSE),0),0)</f>
        <v>-111234.4213</v>
      </c>
      <c r="R128" s="6">
        <f>_xlfn.IFNA(IF(VLOOKUP($A128,'BU Raw After'!A:H,1,FALSE)=$A128,VLOOKUP($A128,'BU Raw After'!A:H,8,FALSE),0),0)</f>
        <v>-127206.2273</v>
      </c>
      <c r="S128" s="6">
        <f t="shared" si="14"/>
        <v>-15971.805999999997</v>
      </c>
      <c r="T128" s="7">
        <f t="shared" si="15"/>
        <v>0.12555836564771697</v>
      </c>
    </row>
    <row r="129" spans="1:20" ht="15" x14ac:dyDescent="0.25">
      <c r="A129" t="s">
        <v>121</v>
      </c>
      <c r="B129" t="s">
        <v>116</v>
      </c>
      <c r="C129" t="s">
        <v>6</v>
      </c>
      <c r="D129" t="s">
        <v>17</v>
      </c>
      <c r="E129" s="6">
        <f>_xlfn.IFNA(IF(VLOOKUP($A129,'BU Raw Before'!A:H,1,FALSE)=$A129,VLOOKUP($A129,'BU Raw Before'!A:H,5,FALSE),0),0)</f>
        <v>11141000</v>
      </c>
      <c r="F129" s="6">
        <f>_xlfn.IFNA(IF(VLOOKUP($A129,'BU Raw After'!A:H,1,FALSE)=$A129,VLOOKUP($A129,'BU Raw After'!A:H,5,FALSE),0),0)</f>
        <v>4575316</v>
      </c>
      <c r="G129" s="6">
        <f t="shared" si="8"/>
        <v>-6565684</v>
      </c>
      <c r="H129" s="7">
        <f t="shared" si="9"/>
        <v>-1.4350230672591795</v>
      </c>
      <c r="I129" s="6">
        <f>_xlfn.IFNA(IF(VLOOKUP($A129,'BU Raw Before'!A:H,1,FALSE)=$A129,VLOOKUP($A129,'BU Raw Before'!A:H,6,FALSE),0),0)</f>
        <v>5</v>
      </c>
      <c r="J129" s="6">
        <f>_xlfn.IFNA(IF(VLOOKUP($A129,'BU Raw After'!A:H,1,FALSE)=$A129,VLOOKUP($A129,'BU Raw After'!A:H,6,FALSE),0),0)</f>
        <v>5</v>
      </c>
      <c r="K129" s="6">
        <f t="shared" si="10"/>
        <v>0</v>
      </c>
      <c r="L129" s="7">
        <f t="shared" si="11"/>
        <v>0</v>
      </c>
      <c r="M129" s="6">
        <f>_xlfn.IFNA(IF(VLOOKUP($A129,'BU Raw Before'!A:H,1,FALSE)=$A129,VLOOKUP($A129,'BU Raw Before'!A:H,7,FALSE),0),0)</f>
        <v>11</v>
      </c>
      <c r="N129" s="6">
        <f>_xlfn.IFNA(IF(VLOOKUP($A129,'BU Raw After'!A:H,1,FALSE)=$A129,VLOOKUP($A129,'BU Raw After'!A:H,7,FALSE),0),0)</f>
        <v>10</v>
      </c>
      <c r="O129" s="6">
        <f t="shared" si="12"/>
        <v>-1</v>
      </c>
      <c r="P129" s="7">
        <f t="shared" si="13"/>
        <v>-0.1</v>
      </c>
      <c r="Q129" s="6">
        <f>_xlfn.IFNA(IF(VLOOKUP($A129,'BU Raw Before'!A:H,1,FALSE)=$A129,VLOOKUP($A129,'BU Raw Before'!A:H,8,FALSE),0),0)</f>
        <v>-103661.1363</v>
      </c>
      <c r="R129" s="6">
        <f>_xlfn.IFNA(IF(VLOOKUP($A129,'BU Raw After'!A:H,1,FALSE)=$A129,VLOOKUP($A129,'BU Raw After'!A:H,8,FALSE),0),0)</f>
        <v>-18319.452499999999</v>
      </c>
      <c r="S129" s="6">
        <f t="shared" si="14"/>
        <v>85341.683799999999</v>
      </c>
      <c r="T129" s="7">
        <f t="shared" si="15"/>
        <v>-4.6585280755524767</v>
      </c>
    </row>
    <row r="130" spans="1:20" ht="15" x14ac:dyDescent="0.25">
      <c r="A130" t="s">
        <v>122</v>
      </c>
      <c r="B130" t="s">
        <v>116</v>
      </c>
      <c r="C130" t="s">
        <v>6</v>
      </c>
      <c r="D130" t="s">
        <v>19</v>
      </c>
      <c r="E130" s="6">
        <f>_xlfn.IFNA(IF(VLOOKUP($A130,'BU Raw Before'!A:H,1,FALSE)=$A130,VLOOKUP($A130,'BU Raw Before'!A:H,5,FALSE),0),0)</f>
        <v>13794100</v>
      </c>
      <c r="F130" s="6">
        <f>_xlfn.IFNA(IF(VLOOKUP($A130,'BU Raw After'!A:H,1,FALSE)=$A130,VLOOKUP($A130,'BU Raw After'!A:H,5,FALSE),0),0)</f>
        <v>30115985.600000001</v>
      </c>
      <c r="G130" s="6">
        <f t="shared" si="8"/>
        <v>16321885.600000001</v>
      </c>
      <c r="H130" s="7">
        <f t="shared" si="9"/>
        <v>0.54196750578868658</v>
      </c>
      <c r="I130" s="6">
        <f>_xlfn.IFNA(IF(VLOOKUP($A130,'BU Raw Before'!A:H,1,FALSE)=$A130,VLOOKUP($A130,'BU Raw Before'!A:H,6,FALSE),0),0)</f>
        <v>24</v>
      </c>
      <c r="J130" s="6">
        <f>_xlfn.IFNA(IF(VLOOKUP($A130,'BU Raw After'!A:H,1,FALSE)=$A130,VLOOKUP($A130,'BU Raw After'!A:H,6,FALSE),0),0)</f>
        <v>22</v>
      </c>
      <c r="K130" s="6">
        <f t="shared" si="10"/>
        <v>-2</v>
      </c>
      <c r="L130" s="7">
        <f t="shared" si="11"/>
        <v>-9.0909090909090912E-2</v>
      </c>
      <c r="M130" s="6">
        <f>_xlfn.IFNA(IF(VLOOKUP($A130,'BU Raw Before'!A:H,1,FALSE)=$A130,VLOOKUP($A130,'BU Raw Before'!A:H,7,FALSE),0),0)</f>
        <v>52</v>
      </c>
      <c r="N130" s="6">
        <f>_xlfn.IFNA(IF(VLOOKUP($A130,'BU Raw After'!A:H,1,FALSE)=$A130,VLOOKUP($A130,'BU Raw After'!A:H,7,FALSE),0),0)</f>
        <v>54</v>
      </c>
      <c r="O130" s="6">
        <f t="shared" si="12"/>
        <v>2</v>
      </c>
      <c r="P130" s="7">
        <f t="shared" si="13"/>
        <v>3.7037037037037035E-2</v>
      </c>
      <c r="Q130" s="6">
        <f>_xlfn.IFNA(IF(VLOOKUP($A130,'BU Raw Before'!A:H,1,FALSE)=$A130,VLOOKUP($A130,'BU Raw Before'!A:H,8,FALSE),0),0)</f>
        <v>-576582.49979999999</v>
      </c>
      <c r="R130" s="6">
        <f>_xlfn.IFNA(IF(VLOOKUP($A130,'BU Raw After'!A:H,1,FALSE)=$A130,VLOOKUP($A130,'BU Raw After'!A:H,8,FALSE),0),0)</f>
        <v>-541360.40590000001</v>
      </c>
      <c r="S130" s="6">
        <f t="shared" si="14"/>
        <v>35222.093899999978</v>
      </c>
      <c r="T130" s="7">
        <f t="shared" si="15"/>
        <v>-6.5062190577909004E-2</v>
      </c>
    </row>
    <row r="131" spans="1:20" ht="15" x14ac:dyDescent="0.25">
      <c r="A131" t="s">
        <v>123</v>
      </c>
      <c r="B131" t="s">
        <v>116</v>
      </c>
      <c r="C131" t="s">
        <v>6</v>
      </c>
      <c r="D131" t="s">
        <v>21</v>
      </c>
      <c r="E131" s="6">
        <f>_xlfn.IFNA(IF(VLOOKUP($A131,'BU Raw Before'!A:H,1,FALSE)=$A131,VLOOKUP($A131,'BU Raw Before'!A:H,5,FALSE),0),0)</f>
        <v>771650</v>
      </c>
      <c r="F131" s="6">
        <f>_xlfn.IFNA(IF(VLOOKUP($A131,'BU Raw After'!A:H,1,FALSE)=$A131,VLOOKUP($A131,'BU Raw After'!A:H,5,FALSE),0),0)</f>
        <v>16490800</v>
      </c>
      <c r="G131" s="6">
        <f t="shared" si="8"/>
        <v>15719150</v>
      </c>
      <c r="H131" s="7">
        <f t="shared" si="9"/>
        <v>0.9532072428263032</v>
      </c>
      <c r="I131" s="6">
        <f>_xlfn.IFNA(IF(VLOOKUP($A131,'BU Raw Before'!A:H,1,FALSE)=$A131,VLOOKUP($A131,'BU Raw Before'!A:H,6,FALSE),0),0)</f>
        <v>2</v>
      </c>
      <c r="J131" s="6">
        <f>_xlfn.IFNA(IF(VLOOKUP($A131,'BU Raw After'!A:H,1,FALSE)=$A131,VLOOKUP($A131,'BU Raw After'!A:H,6,FALSE),0),0)</f>
        <v>81</v>
      </c>
      <c r="K131" s="6">
        <f t="shared" si="10"/>
        <v>79</v>
      </c>
      <c r="L131" s="7">
        <f t="shared" si="11"/>
        <v>0.97530864197530864</v>
      </c>
      <c r="M131" s="6">
        <f>_xlfn.IFNA(IF(VLOOKUP($A131,'BU Raw Before'!A:H,1,FALSE)=$A131,VLOOKUP($A131,'BU Raw Before'!A:H,7,FALSE),0),0)</f>
        <v>2</v>
      </c>
      <c r="N131" s="6">
        <f>_xlfn.IFNA(IF(VLOOKUP($A131,'BU Raw After'!A:H,1,FALSE)=$A131,VLOOKUP($A131,'BU Raw After'!A:H,7,FALSE),0),0)</f>
        <v>84</v>
      </c>
      <c r="O131" s="6">
        <f t="shared" si="12"/>
        <v>82</v>
      </c>
      <c r="P131" s="7">
        <f t="shared" si="13"/>
        <v>0.97619047619047616</v>
      </c>
      <c r="Q131" s="6">
        <f>_xlfn.IFNA(IF(VLOOKUP($A131,'BU Raw Before'!A:H,1,FALSE)=$A131,VLOOKUP($A131,'BU Raw Before'!A:H,8,FALSE),0),0)</f>
        <v>-81750</v>
      </c>
      <c r="R131" s="6">
        <f>_xlfn.IFNA(IF(VLOOKUP($A131,'BU Raw After'!A:H,1,FALSE)=$A131,VLOOKUP($A131,'BU Raw After'!A:H,8,FALSE),0),0)</f>
        <v>-2338200</v>
      </c>
      <c r="S131" s="6">
        <f t="shared" si="14"/>
        <v>-2256450</v>
      </c>
      <c r="T131" s="7">
        <f t="shared" si="15"/>
        <v>0.96503720810880167</v>
      </c>
    </row>
    <row r="132" spans="1:20" ht="15" x14ac:dyDescent="0.25">
      <c r="A132" t="s">
        <v>124</v>
      </c>
      <c r="B132" t="s">
        <v>116</v>
      </c>
      <c r="C132" t="s">
        <v>23</v>
      </c>
      <c r="D132" t="s">
        <v>7</v>
      </c>
      <c r="E132" s="6">
        <f>_xlfn.IFNA(IF(VLOOKUP($A132,'BU Raw Before'!A:H,1,FALSE)=$A132,VLOOKUP($A132,'BU Raw Before'!A:H,5,FALSE),0),0)</f>
        <v>702210898.67999995</v>
      </c>
      <c r="F132" s="6">
        <f>_xlfn.IFNA(IF(VLOOKUP($A132,'BU Raw After'!A:H,1,FALSE)=$A132,VLOOKUP($A132,'BU Raw After'!A:H,5,FALSE),0),0)</f>
        <v>586385493.49000001</v>
      </c>
      <c r="G132" s="6">
        <f t="shared" ref="G132:G195" si="16">F132-E132</f>
        <v>-115825405.18999994</v>
      </c>
      <c r="H132" s="7">
        <f t="shared" ref="H132:H195" si="17">IFERROR(G132/F132,0)</f>
        <v>-0.19752433591192717</v>
      </c>
      <c r="I132" s="6">
        <f>_xlfn.IFNA(IF(VLOOKUP($A132,'BU Raw Before'!A:H,1,FALSE)=$A132,VLOOKUP($A132,'BU Raw Before'!A:H,6,FALSE),0),0)</f>
        <v>970</v>
      </c>
      <c r="J132" s="6">
        <f>_xlfn.IFNA(IF(VLOOKUP($A132,'BU Raw After'!A:H,1,FALSE)=$A132,VLOOKUP($A132,'BU Raw After'!A:H,6,FALSE),0),0)</f>
        <v>836</v>
      </c>
      <c r="K132" s="6">
        <f t="shared" ref="K132:K195" si="18">J132-I132</f>
        <v>-134</v>
      </c>
      <c r="L132" s="7">
        <f t="shared" ref="L132:L195" si="19">IFERROR(K132/J132,0)</f>
        <v>-0.16028708133971292</v>
      </c>
      <c r="M132" s="6">
        <f>_xlfn.IFNA(IF(VLOOKUP($A132,'BU Raw Before'!A:H,1,FALSE)=$A132,VLOOKUP($A132,'BU Raw Before'!A:H,7,FALSE),0),0)</f>
        <v>1031</v>
      </c>
      <c r="N132" s="6">
        <f>_xlfn.IFNA(IF(VLOOKUP($A132,'BU Raw After'!A:H,1,FALSE)=$A132,VLOOKUP($A132,'BU Raw After'!A:H,7,FALSE),0),0)</f>
        <v>884</v>
      </c>
      <c r="O132" s="6">
        <f t="shared" ref="O132:O195" si="20">N132-M132</f>
        <v>-147</v>
      </c>
      <c r="P132" s="7">
        <f t="shared" ref="P132:P195" si="21">IFERROR(O132/N132,0)</f>
        <v>-0.16628959276018099</v>
      </c>
      <c r="Q132" s="6">
        <f>_xlfn.IFNA(IF(VLOOKUP($A132,'BU Raw Before'!A:H,1,FALSE)=$A132,VLOOKUP($A132,'BU Raw Before'!A:H,8,FALSE),0),0)</f>
        <v>-3547398.1063999999</v>
      </c>
      <c r="R132" s="6">
        <f>_xlfn.IFNA(IF(VLOOKUP($A132,'BU Raw After'!A:H,1,FALSE)=$A132,VLOOKUP($A132,'BU Raw After'!A:H,8,FALSE),0),0)</f>
        <v>-2892754.3656000001</v>
      </c>
      <c r="S132" s="6">
        <f t="shared" ref="S132:S195" si="22">R132-Q132</f>
        <v>654643.7407999998</v>
      </c>
      <c r="T132" s="7">
        <f t="shared" ref="T132:T195" si="23">IFERROR(S132/R132,0)</f>
        <v>-0.22630464189593125</v>
      </c>
    </row>
    <row r="133" spans="1:20" ht="15" x14ac:dyDescent="0.25">
      <c r="A133" t="s">
        <v>125</v>
      </c>
      <c r="B133" t="s">
        <v>116</v>
      </c>
      <c r="C133" t="s">
        <v>23</v>
      </c>
      <c r="D133" t="s">
        <v>9</v>
      </c>
      <c r="E133" s="6">
        <f>_xlfn.IFNA(IF(VLOOKUP($A133,'BU Raw Before'!A:H,1,FALSE)=$A133,VLOOKUP($A133,'BU Raw Before'!A:H,5,FALSE),0),0)</f>
        <v>36342220</v>
      </c>
      <c r="F133" s="6">
        <f>_xlfn.IFNA(IF(VLOOKUP($A133,'BU Raw After'!A:H,1,FALSE)=$A133,VLOOKUP($A133,'BU Raw After'!A:H,5,FALSE),0),0)</f>
        <v>28241348.48</v>
      </c>
      <c r="G133" s="6">
        <f t="shared" si="16"/>
        <v>-8100871.5199999996</v>
      </c>
      <c r="H133" s="7">
        <f t="shared" si="17"/>
        <v>-0.2868443596359036</v>
      </c>
      <c r="I133" s="6">
        <f>_xlfn.IFNA(IF(VLOOKUP($A133,'BU Raw Before'!A:H,1,FALSE)=$A133,VLOOKUP($A133,'BU Raw Before'!A:H,6,FALSE),0),0)</f>
        <v>31</v>
      </c>
      <c r="J133" s="6">
        <f>_xlfn.IFNA(IF(VLOOKUP($A133,'BU Raw After'!A:H,1,FALSE)=$A133,VLOOKUP($A133,'BU Raw After'!A:H,6,FALSE),0),0)</f>
        <v>34</v>
      </c>
      <c r="K133" s="6">
        <f t="shared" si="18"/>
        <v>3</v>
      </c>
      <c r="L133" s="7">
        <f t="shared" si="19"/>
        <v>8.8235294117647065E-2</v>
      </c>
      <c r="M133" s="6">
        <f>_xlfn.IFNA(IF(VLOOKUP($A133,'BU Raw Before'!A:H,1,FALSE)=$A133,VLOOKUP($A133,'BU Raw Before'!A:H,7,FALSE),0),0)</f>
        <v>54</v>
      </c>
      <c r="N133" s="6">
        <f>_xlfn.IFNA(IF(VLOOKUP($A133,'BU Raw After'!A:H,1,FALSE)=$A133,VLOOKUP($A133,'BU Raw After'!A:H,7,FALSE),0),0)</f>
        <v>45</v>
      </c>
      <c r="O133" s="6">
        <f t="shared" si="20"/>
        <v>-9</v>
      </c>
      <c r="P133" s="7">
        <f t="shared" si="21"/>
        <v>-0.2</v>
      </c>
      <c r="Q133" s="6">
        <f>_xlfn.IFNA(IF(VLOOKUP($A133,'BU Raw Before'!A:H,1,FALSE)=$A133,VLOOKUP($A133,'BU Raw Before'!A:H,8,FALSE),0),0)</f>
        <v>-191980.2274</v>
      </c>
      <c r="R133" s="6">
        <f>_xlfn.IFNA(IF(VLOOKUP($A133,'BU Raw After'!A:H,1,FALSE)=$A133,VLOOKUP($A133,'BU Raw After'!A:H,8,FALSE),0),0)</f>
        <v>-156663.51699999999</v>
      </c>
      <c r="S133" s="6">
        <f t="shared" si="22"/>
        <v>35316.710400000011</v>
      </c>
      <c r="T133" s="7">
        <f t="shared" si="23"/>
        <v>-0.2254303431730057</v>
      </c>
    </row>
    <row r="134" spans="1:20" ht="15" x14ac:dyDescent="0.25">
      <c r="A134" t="s">
        <v>126</v>
      </c>
      <c r="B134" t="s">
        <v>116</v>
      </c>
      <c r="C134" t="s">
        <v>23</v>
      </c>
      <c r="D134" t="s">
        <v>11</v>
      </c>
      <c r="E134" s="6">
        <f>_xlfn.IFNA(IF(VLOOKUP($A134,'BU Raw Before'!A:H,1,FALSE)=$A134,VLOOKUP($A134,'BU Raw Before'!A:H,5,FALSE),0),0)</f>
        <v>11837791</v>
      </c>
      <c r="F134" s="6">
        <f>_xlfn.IFNA(IF(VLOOKUP($A134,'BU Raw After'!A:H,1,FALSE)=$A134,VLOOKUP($A134,'BU Raw After'!A:H,5,FALSE),0),0)</f>
        <v>34915200</v>
      </c>
      <c r="G134" s="6">
        <f t="shared" si="16"/>
        <v>23077409</v>
      </c>
      <c r="H134" s="7">
        <f t="shared" si="17"/>
        <v>0.66095594468884611</v>
      </c>
      <c r="I134" s="6">
        <f>_xlfn.IFNA(IF(VLOOKUP($A134,'BU Raw Before'!A:H,1,FALSE)=$A134,VLOOKUP($A134,'BU Raw Before'!A:H,6,FALSE),0),0)</f>
        <v>31</v>
      </c>
      <c r="J134" s="6">
        <f>_xlfn.IFNA(IF(VLOOKUP($A134,'BU Raw After'!A:H,1,FALSE)=$A134,VLOOKUP($A134,'BU Raw After'!A:H,6,FALSE),0),0)</f>
        <v>21</v>
      </c>
      <c r="K134" s="6">
        <f t="shared" si="18"/>
        <v>-10</v>
      </c>
      <c r="L134" s="7">
        <f t="shared" si="19"/>
        <v>-0.47619047619047616</v>
      </c>
      <c r="M134" s="6">
        <f>_xlfn.IFNA(IF(VLOOKUP($A134,'BU Raw Before'!A:H,1,FALSE)=$A134,VLOOKUP($A134,'BU Raw Before'!A:H,7,FALSE),0),0)</f>
        <v>58</v>
      </c>
      <c r="N134" s="6">
        <f>_xlfn.IFNA(IF(VLOOKUP($A134,'BU Raw After'!A:H,1,FALSE)=$A134,VLOOKUP($A134,'BU Raw After'!A:H,7,FALSE),0),0)</f>
        <v>44</v>
      </c>
      <c r="O134" s="6">
        <f t="shared" si="20"/>
        <v>-14</v>
      </c>
      <c r="P134" s="7">
        <f t="shared" si="21"/>
        <v>-0.31818181818181818</v>
      </c>
      <c r="Q134" s="6">
        <f>_xlfn.IFNA(IF(VLOOKUP($A134,'BU Raw Before'!A:H,1,FALSE)=$A134,VLOOKUP($A134,'BU Raw Before'!A:H,8,FALSE),0),0)</f>
        <v>-165481.5459</v>
      </c>
      <c r="R134" s="6">
        <f>_xlfn.IFNA(IF(VLOOKUP($A134,'BU Raw After'!A:H,1,FALSE)=$A134,VLOOKUP($A134,'BU Raw After'!A:H,8,FALSE),0),0)</f>
        <v>-173480.9093</v>
      </c>
      <c r="S134" s="6">
        <f t="shared" si="22"/>
        <v>-7999.363400000002</v>
      </c>
      <c r="T134" s="7">
        <f t="shared" si="23"/>
        <v>4.611091463768343E-2</v>
      </c>
    </row>
    <row r="135" spans="1:20" ht="15" x14ac:dyDescent="0.25">
      <c r="A135" t="s">
        <v>127</v>
      </c>
      <c r="B135" t="s">
        <v>116</v>
      </c>
      <c r="C135" t="s">
        <v>23</v>
      </c>
      <c r="D135" t="s">
        <v>13</v>
      </c>
      <c r="E135" s="6">
        <f>_xlfn.IFNA(IF(VLOOKUP($A135,'BU Raw Before'!A:H,1,FALSE)=$A135,VLOOKUP($A135,'BU Raw Before'!A:H,5,FALSE),0),0)</f>
        <v>22361500</v>
      </c>
      <c r="F135" s="6">
        <f>_xlfn.IFNA(IF(VLOOKUP($A135,'BU Raw After'!A:H,1,FALSE)=$A135,VLOOKUP($A135,'BU Raw After'!A:H,5,FALSE),0),0)</f>
        <v>5709700</v>
      </c>
      <c r="G135" s="6">
        <f t="shared" si="16"/>
        <v>-16651800</v>
      </c>
      <c r="H135" s="7">
        <f t="shared" si="17"/>
        <v>-2.9164054153458152</v>
      </c>
      <c r="I135" s="6">
        <f>_xlfn.IFNA(IF(VLOOKUP($A135,'BU Raw Before'!A:H,1,FALSE)=$A135,VLOOKUP($A135,'BU Raw Before'!A:H,6,FALSE),0),0)</f>
        <v>12</v>
      </c>
      <c r="J135" s="6">
        <f>_xlfn.IFNA(IF(VLOOKUP($A135,'BU Raw After'!A:H,1,FALSE)=$A135,VLOOKUP($A135,'BU Raw After'!A:H,6,FALSE),0),0)</f>
        <v>12</v>
      </c>
      <c r="K135" s="6">
        <f t="shared" si="18"/>
        <v>0</v>
      </c>
      <c r="L135" s="7">
        <f t="shared" si="19"/>
        <v>0</v>
      </c>
      <c r="M135" s="6">
        <f>_xlfn.IFNA(IF(VLOOKUP($A135,'BU Raw Before'!A:H,1,FALSE)=$A135,VLOOKUP($A135,'BU Raw Before'!A:H,7,FALSE),0),0)</f>
        <v>24</v>
      </c>
      <c r="N135" s="6">
        <f>_xlfn.IFNA(IF(VLOOKUP($A135,'BU Raw After'!A:H,1,FALSE)=$A135,VLOOKUP($A135,'BU Raw After'!A:H,7,FALSE),0),0)</f>
        <v>14</v>
      </c>
      <c r="O135" s="6">
        <f t="shared" si="20"/>
        <v>-10</v>
      </c>
      <c r="P135" s="7">
        <f t="shared" si="21"/>
        <v>-0.7142857142857143</v>
      </c>
      <c r="Q135" s="6">
        <f>_xlfn.IFNA(IF(VLOOKUP($A135,'BU Raw Before'!A:H,1,FALSE)=$A135,VLOOKUP($A135,'BU Raw Before'!A:H,8,FALSE),0),0)</f>
        <v>-136079.54550000001</v>
      </c>
      <c r="R135" s="6">
        <f>_xlfn.IFNA(IF(VLOOKUP($A135,'BU Raw After'!A:H,1,FALSE)=$A135,VLOOKUP($A135,'BU Raw After'!A:H,8,FALSE),0),0)</f>
        <v>-71442.954599999997</v>
      </c>
      <c r="S135" s="6">
        <f t="shared" si="22"/>
        <v>64636.59090000001</v>
      </c>
      <c r="T135" s="7">
        <f t="shared" si="23"/>
        <v>-0.90473009216782885</v>
      </c>
    </row>
    <row r="136" spans="1:20" ht="15" x14ac:dyDescent="0.25">
      <c r="A136" t="s">
        <v>128</v>
      </c>
      <c r="B136" t="s">
        <v>116</v>
      </c>
      <c r="C136" t="s">
        <v>23</v>
      </c>
      <c r="D136" t="s">
        <v>15</v>
      </c>
      <c r="E136" s="6">
        <f>_xlfn.IFNA(IF(VLOOKUP($A136,'BU Raw Before'!A:H,1,FALSE)=$A136,VLOOKUP($A136,'BU Raw Before'!A:H,5,FALSE),0),0)</f>
        <v>3195000</v>
      </c>
      <c r="F136" s="6">
        <f>_xlfn.IFNA(IF(VLOOKUP($A136,'BU Raw After'!A:H,1,FALSE)=$A136,VLOOKUP($A136,'BU Raw After'!A:H,5,FALSE),0),0)</f>
        <v>682703.49</v>
      </c>
      <c r="G136" s="6">
        <f t="shared" si="16"/>
        <v>-2512296.5099999998</v>
      </c>
      <c r="H136" s="7">
        <f t="shared" si="17"/>
        <v>-3.6799233441739103</v>
      </c>
      <c r="I136" s="6">
        <f>_xlfn.IFNA(IF(VLOOKUP($A136,'BU Raw Before'!A:H,1,FALSE)=$A136,VLOOKUP($A136,'BU Raw Before'!A:H,6,FALSE),0),0)</f>
        <v>9</v>
      </c>
      <c r="J136" s="6">
        <f>_xlfn.IFNA(IF(VLOOKUP($A136,'BU Raw After'!A:H,1,FALSE)=$A136,VLOOKUP($A136,'BU Raw After'!A:H,6,FALSE),0),0)</f>
        <v>2</v>
      </c>
      <c r="K136" s="6">
        <f t="shared" si="18"/>
        <v>-7</v>
      </c>
      <c r="L136" s="7">
        <f t="shared" si="19"/>
        <v>-3.5</v>
      </c>
      <c r="M136" s="6">
        <f>_xlfn.IFNA(IF(VLOOKUP($A136,'BU Raw Before'!A:H,1,FALSE)=$A136,VLOOKUP($A136,'BU Raw Before'!A:H,7,FALSE),0),0)</f>
        <v>20</v>
      </c>
      <c r="N136" s="6">
        <f>_xlfn.IFNA(IF(VLOOKUP($A136,'BU Raw After'!A:H,1,FALSE)=$A136,VLOOKUP($A136,'BU Raw After'!A:H,7,FALSE),0),0)</f>
        <v>4</v>
      </c>
      <c r="O136" s="6">
        <f t="shared" si="20"/>
        <v>-16</v>
      </c>
      <c r="P136" s="7">
        <f t="shared" si="21"/>
        <v>-4</v>
      </c>
      <c r="Q136" s="6">
        <f>_xlfn.IFNA(IF(VLOOKUP($A136,'BU Raw Before'!A:H,1,FALSE)=$A136,VLOOKUP($A136,'BU Raw Before'!A:H,8,FALSE),0),0)</f>
        <v>-56892.0455</v>
      </c>
      <c r="R136" s="6">
        <f>_xlfn.IFNA(IF(VLOOKUP($A136,'BU Raw After'!A:H,1,FALSE)=$A136,VLOOKUP($A136,'BU Raw After'!A:H,8,FALSE),0),0)</f>
        <v>-8765.3863999999994</v>
      </c>
      <c r="S136" s="6">
        <f t="shared" si="22"/>
        <v>48126.659100000004</v>
      </c>
      <c r="T136" s="7">
        <f t="shared" si="23"/>
        <v>-5.4905348040332838</v>
      </c>
    </row>
    <row r="137" spans="1:20" ht="15" x14ac:dyDescent="0.25">
      <c r="A137" t="s">
        <v>129</v>
      </c>
      <c r="B137" t="s">
        <v>116</v>
      </c>
      <c r="C137" t="s">
        <v>23</v>
      </c>
      <c r="D137" t="s">
        <v>17</v>
      </c>
      <c r="E137" s="6">
        <f>_xlfn.IFNA(IF(VLOOKUP($A137,'BU Raw Before'!A:H,1,FALSE)=$A137,VLOOKUP($A137,'BU Raw Before'!A:H,5,FALSE),0),0)</f>
        <v>749000</v>
      </c>
      <c r="F137" s="6">
        <f>_xlfn.IFNA(IF(VLOOKUP($A137,'BU Raw After'!A:H,1,FALSE)=$A137,VLOOKUP($A137,'BU Raw After'!A:H,5,FALSE),0),0)</f>
        <v>1484530.1</v>
      </c>
      <c r="G137" s="6">
        <f t="shared" si="16"/>
        <v>735530.10000000009</v>
      </c>
      <c r="H137" s="7">
        <f t="shared" si="17"/>
        <v>0.49546324456472796</v>
      </c>
      <c r="I137" s="6">
        <f>_xlfn.IFNA(IF(VLOOKUP($A137,'BU Raw Before'!A:H,1,FALSE)=$A137,VLOOKUP($A137,'BU Raw Before'!A:H,6,FALSE),0),0)</f>
        <v>1</v>
      </c>
      <c r="J137" s="6">
        <f>_xlfn.IFNA(IF(VLOOKUP($A137,'BU Raw After'!A:H,1,FALSE)=$A137,VLOOKUP($A137,'BU Raw After'!A:H,6,FALSE),0),0)</f>
        <v>2</v>
      </c>
      <c r="K137" s="6">
        <f t="shared" si="18"/>
        <v>1</v>
      </c>
      <c r="L137" s="7">
        <f t="shared" si="19"/>
        <v>0.5</v>
      </c>
      <c r="M137" s="6">
        <f>_xlfn.IFNA(IF(VLOOKUP($A137,'BU Raw Before'!A:H,1,FALSE)=$A137,VLOOKUP($A137,'BU Raw Before'!A:H,7,FALSE),0),0)</f>
        <v>1</v>
      </c>
      <c r="N137" s="6">
        <f>_xlfn.IFNA(IF(VLOOKUP($A137,'BU Raw After'!A:H,1,FALSE)=$A137,VLOOKUP($A137,'BU Raw After'!A:H,7,FALSE),0),0)</f>
        <v>2</v>
      </c>
      <c r="O137" s="6">
        <f t="shared" si="20"/>
        <v>1</v>
      </c>
      <c r="P137" s="7">
        <f t="shared" si="21"/>
        <v>0.5</v>
      </c>
      <c r="Q137" s="6">
        <f>_xlfn.IFNA(IF(VLOOKUP($A137,'BU Raw Before'!A:H,1,FALSE)=$A137,VLOOKUP($A137,'BU Raw Before'!A:H,8,FALSE),0),0)</f>
        <v>-12372.5</v>
      </c>
      <c r="R137" s="6">
        <f>_xlfn.IFNA(IF(VLOOKUP($A137,'BU Raw After'!A:H,1,FALSE)=$A137,VLOOKUP($A137,'BU Raw After'!A:H,8,FALSE),0),0)</f>
        <v>-28529.507099999999</v>
      </c>
      <c r="S137" s="6">
        <f t="shared" si="22"/>
        <v>-16157.007099999999</v>
      </c>
      <c r="T137" s="7">
        <f t="shared" si="23"/>
        <v>0.56632619145389995</v>
      </c>
    </row>
    <row r="138" spans="1:20" ht="15" x14ac:dyDescent="0.25">
      <c r="A138" t="s">
        <v>130</v>
      </c>
      <c r="B138" t="s">
        <v>116</v>
      </c>
      <c r="C138" t="s">
        <v>23</v>
      </c>
      <c r="D138" t="s">
        <v>19</v>
      </c>
      <c r="E138" s="6">
        <f>_xlfn.IFNA(IF(VLOOKUP($A138,'BU Raw Before'!A:H,1,FALSE)=$A138,VLOOKUP($A138,'BU Raw Before'!A:H,5,FALSE),0),0)</f>
        <v>4484000</v>
      </c>
      <c r="F138" s="6">
        <f>_xlfn.IFNA(IF(VLOOKUP($A138,'BU Raw After'!A:H,1,FALSE)=$A138,VLOOKUP($A138,'BU Raw After'!A:H,5,FALSE),0),0)</f>
        <v>8030720</v>
      </c>
      <c r="G138" s="6">
        <f t="shared" si="16"/>
        <v>3546720</v>
      </c>
      <c r="H138" s="7">
        <f t="shared" si="17"/>
        <v>0.44164408670704497</v>
      </c>
      <c r="I138" s="6">
        <f>_xlfn.IFNA(IF(VLOOKUP($A138,'BU Raw Before'!A:H,1,FALSE)=$A138,VLOOKUP($A138,'BU Raw Before'!A:H,6,FALSE),0),0)</f>
        <v>5</v>
      </c>
      <c r="J138" s="6">
        <f>_xlfn.IFNA(IF(VLOOKUP($A138,'BU Raw After'!A:H,1,FALSE)=$A138,VLOOKUP($A138,'BU Raw After'!A:H,6,FALSE),0),0)</f>
        <v>5</v>
      </c>
      <c r="K138" s="6">
        <f t="shared" si="18"/>
        <v>0</v>
      </c>
      <c r="L138" s="7">
        <f t="shared" si="19"/>
        <v>0</v>
      </c>
      <c r="M138" s="6">
        <f>_xlfn.IFNA(IF(VLOOKUP($A138,'BU Raw Before'!A:H,1,FALSE)=$A138,VLOOKUP($A138,'BU Raw Before'!A:H,7,FALSE),0),0)</f>
        <v>5</v>
      </c>
      <c r="N138" s="6">
        <f>_xlfn.IFNA(IF(VLOOKUP($A138,'BU Raw After'!A:H,1,FALSE)=$A138,VLOOKUP($A138,'BU Raw After'!A:H,7,FALSE),0),0)</f>
        <v>5</v>
      </c>
      <c r="O138" s="6">
        <f t="shared" si="20"/>
        <v>0</v>
      </c>
      <c r="P138" s="7">
        <f t="shared" si="21"/>
        <v>0</v>
      </c>
      <c r="Q138" s="6">
        <f>_xlfn.IFNA(IF(VLOOKUP($A138,'BU Raw Before'!A:H,1,FALSE)=$A138,VLOOKUP($A138,'BU Raw Before'!A:H,8,FALSE),0),0)</f>
        <v>-67054.545400000003</v>
      </c>
      <c r="R138" s="6">
        <f>_xlfn.IFNA(IF(VLOOKUP($A138,'BU Raw After'!A:H,1,FALSE)=$A138,VLOOKUP($A138,'BU Raw After'!A:H,8,FALSE),0),0)</f>
        <v>-98122.727299999999</v>
      </c>
      <c r="S138" s="6">
        <f t="shared" si="22"/>
        <v>-31068.181899999996</v>
      </c>
      <c r="T138" s="7">
        <f t="shared" si="23"/>
        <v>0.31662574772317803</v>
      </c>
    </row>
    <row r="139" spans="1:20" ht="15" x14ac:dyDescent="0.25">
      <c r="A139" t="s">
        <v>131</v>
      </c>
      <c r="B139" t="s">
        <v>116</v>
      </c>
      <c r="C139" t="s">
        <v>23</v>
      </c>
      <c r="D139" t="s">
        <v>21</v>
      </c>
      <c r="E139" s="6">
        <f>_xlfn.IFNA(IF(VLOOKUP($A139,'BU Raw Before'!A:H,1,FALSE)=$A139,VLOOKUP($A139,'BU Raw Before'!A:H,5,FALSE),0),0)</f>
        <v>0</v>
      </c>
      <c r="F139" s="6">
        <f>_xlfn.IFNA(IF(VLOOKUP($A139,'BU Raw After'!A:H,1,FALSE)=$A139,VLOOKUP($A139,'BU Raw After'!A:H,5,FALSE),0),0)</f>
        <v>3787000</v>
      </c>
      <c r="G139" s="6">
        <f t="shared" si="16"/>
        <v>3787000</v>
      </c>
      <c r="H139" s="7">
        <f t="shared" si="17"/>
        <v>1</v>
      </c>
      <c r="I139" s="6">
        <f>_xlfn.IFNA(IF(VLOOKUP($A139,'BU Raw Before'!A:H,1,FALSE)=$A139,VLOOKUP($A139,'BU Raw Before'!A:H,6,FALSE),0),0)</f>
        <v>0</v>
      </c>
      <c r="J139" s="6">
        <f>_xlfn.IFNA(IF(VLOOKUP($A139,'BU Raw After'!A:H,1,FALSE)=$A139,VLOOKUP($A139,'BU Raw After'!A:H,6,FALSE),0),0)</f>
        <v>19</v>
      </c>
      <c r="K139" s="6">
        <f t="shared" si="18"/>
        <v>19</v>
      </c>
      <c r="L139" s="7">
        <f t="shared" si="19"/>
        <v>1</v>
      </c>
      <c r="M139" s="6">
        <f>_xlfn.IFNA(IF(VLOOKUP($A139,'BU Raw Before'!A:H,1,FALSE)=$A139,VLOOKUP($A139,'BU Raw Before'!A:H,7,FALSE),0),0)</f>
        <v>0</v>
      </c>
      <c r="N139" s="6">
        <f>_xlfn.IFNA(IF(VLOOKUP($A139,'BU Raw After'!A:H,1,FALSE)=$A139,VLOOKUP($A139,'BU Raw After'!A:H,7,FALSE),0),0)</f>
        <v>20</v>
      </c>
      <c r="O139" s="6">
        <f t="shared" si="20"/>
        <v>20</v>
      </c>
      <c r="P139" s="7">
        <f t="shared" si="21"/>
        <v>1</v>
      </c>
      <c r="Q139" s="6">
        <f>_xlfn.IFNA(IF(VLOOKUP($A139,'BU Raw Before'!A:H,1,FALSE)=$A139,VLOOKUP($A139,'BU Raw Before'!A:H,8,FALSE),0),0)</f>
        <v>0</v>
      </c>
      <c r="R139" s="6">
        <f>_xlfn.IFNA(IF(VLOOKUP($A139,'BU Raw After'!A:H,1,FALSE)=$A139,VLOOKUP($A139,'BU Raw After'!A:H,8,FALSE),0),0)</f>
        <v>-381000</v>
      </c>
      <c r="S139" s="6">
        <f t="shared" si="22"/>
        <v>-381000</v>
      </c>
      <c r="T139" s="7">
        <f t="shared" si="23"/>
        <v>1</v>
      </c>
    </row>
    <row r="140" spans="1:20" ht="15" x14ac:dyDescent="0.25">
      <c r="A140" t="s">
        <v>132</v>
      </c>
      <c r="B140" t="s">
        <v>116</v>
      </c>
      <c r="C140" t="s">
        <v>32</v>
      </c>
      <c r="D140" t="s">
        <v>7</v>
      </c>
      <c r="E140" s="6">
        <f>_xlfn.IFNA(IF(VLOOKUP($A140,'BU Raw Before'!A:H,1,FALSE)=$A140,VLOOKUP($A140,'BU Raw Before'!A:H,5,FALSE),0),0)</f>
        <v>1888755100.4200001</v>
      </c>
      <c r="F140" s="6">
        <f>_xlfn.IFNA(IF(VLOOKUP($A140,'BU Raw After'!A:H,1,FALSE)=$A140,VLOOKUP($A140,'BU Raw After'!A:H,5,FALSE),0),0)</f>
        <v>1997499599.6500001</v>
      </c>
      <c r="G140" s="6">
        <f t="shared" si="16"/>
        <v>108744499.23000002</v>
      </c>
      <c r="H140" s="7">
        <f t="shared" si="17"/>
        <v>5.444031090121576E-2</v>
      </c>
      <c r="I140" s="6">
        <f>_xlfn.IFNA(IF(VLOOKUP($A140,'BU Raw Before'!A:H,1,FALSE)=$A140,VLOOKUP($A140,'BU Raw Before'!A:H,6,FALSE),0),0)</f>
        <v>5161</v>
      </c>
      <c r="J140" s="6">
        <f>_xlfn.IFNA(IF(VLOOKUP($A140,'BU Raw After'!A:H,1,FALSE)=$A140,VLOOKUP($A140,'BU Raw After'!A:H,6,FALSE),0),0)</f>
        <v>4325</v>
      </c>
      <c r="K140" s="6">
        <f t="shared" si="18"/>
        <v>-836</v>
      </c>
      <c r="L140" s="7">
        <f t="shared" si="19"/>
        <v>-0.19329479768786126</v>
      </c>
      <c r="M140" s="6">
        <f>_xlfn.IFNA(IF(VLOOKUP($A140,'BU Raw Before'!A:H,1,FALSE)=$A140,VLOOKUP($A140,'BU Raw Before'!A:H,7,FALSE),0),0)</f>
        <v>5570</v>
      </c>
      <c r="N140" s="6">
        <f>_xlfn.IFNA(IF(VLOOKUP($A140,'BU Raw After'!A:H,1,FALSE)=$A140,VLOOKUP($A140,'BU Raw After'!A:H,7,FALSE),0),0)</f>
        <v>4663</v>
      </c>
      <c r="O140" s="6">
        <f t="shared" si="20"/>
        <v>-907</v>
      </c>
      <c r="P140" s="7">
        <f t="shared" si="21"/>
        <v>-0.19450997212095217</v>
      </c>
      <c r="Q140" s="6">
        <f>_xlfn.IFNA(IF(VLOOKUP($A140,'BU Raw Before'!A:H,1,FALSE)=$A140,VLOOKUP($A140,'BU Raw Before'!A:H,8,FALSE),0),0)</f>
        <v>-31830136.6688</v>
      </c>
      <c r="R140" s="6">
        <f>_xlfn.IFNA(IF(VLOOKUP($A140,'BU Raw After'!A:H,1,FALSE)=$A140,VLOOKUP($A140,'BU Raw After'!A:H,8,FALSE),0),0)</f>
        <v>-27617571.888</v>
      </c>
      <c r="S140" s="6">
        <f t="shared" si="22"/>
        <v>4212564.7807999998</v>
      </c>
      <c r="T140" s="7">
        <f t="shared" si="23"/>
        <v>-0.15253204727351083</v>
      </c>
    </row>
    <row r="141" spans="1:20" ht="15" x14ac:dyDescent="0.25">
      <c r="A141" t="s">
        <v>133</v>
      </c>
      <c r="B141" t="s">
        <v>116</v>
      </c>
      <c r="C141" t="s">
        <v>32</v>
      </c>
      <c r="D141" t="s">
        <v>9</v>
      </c>
      <c r="E141" s="6">
        <f>_xlfn.IFNA(IF(VLOOKUP($A141,'BU Raw Before'!A:H,1,FALSE)=$A141,VLOOKUP($A141,'BU Raw Before'!A:H,5,FALSE),0),0)</f>
        <v>180515627.78</v>
      </c>
      <c r="F141" s="6">
        <f>_xlfn.IFNA(IF(VLOOKUP($A141,'BU Raw After'!A:H,1,FALSE)=$A141,VLOOKUP($A141,'BU Raw After'!A:H,5,FALSE),0),0)</f>
        <v>167301194.97999999</v>
      </c>
      <c r="G141" s="6">
        <f t="shared" si="16"/>
        <v>-13214432.800000012</v>
      </c>
      <c r="H141" s="7">
        <f t="shared" si="17"/>
        <v>-7.8985884121029318E-2</v>
      </c>
      <c r="I141" s="6">
        <f>_xlfn.IFNA(IF(VLOOKUP($A141,'BU Raw Before'!A:H,1,FALSE)=$A141,VLOOKUP($A141,'BU Raw Before'!A:H,6,FALSE),0),0)</f>
        <v>175</v>
      </c>
      <c r="J141" s="6">
        <f>_xlfn.IFNA(IF(VLOOKUP($A141,'BU Raw After'!A:H,1,FALSE)=$A141,VLOOKUP($A141,'BU Raw After'!A:H,6,FALSE),0),0)</f>
        <v>143</v>
      </c>
      <c r="K141" s="6">
        <f t="shared" si="18"/>
        <v>-32</v>
      </c>
      <c r="L141" s="7">
        <f t="shared" si="19"/>
        <v>-0.22377622377622378</v>
      </c>
      <c r="M141" s="6">
        <f>_xlfn.IFNA(IF(VLOOKUP($A141,'BU Raw Before'!A:H,1,FALSE)=$A141,VLOOKUP($A141,'BU Raw Before'!A:H,7,FALSE),0),0)</f>
        <v>280</v>
      </c>
      <c r="N141" s="6">
        <f>_xlfn.IFNA(IF(VLOOKUP($A141,'BU Raw After'!A:H,1,FALSE)=$A141,VLOOKUP($A141,'BU Raw After'!A:H,7,FALSE),0),0)</f>
        <v>236</v>
      </c>
      <c r="O141" s="6">
        <f t="shared" si="20"/>
        <v>-44</v>
      </c>
      <c r="P141" s="7">
        <f t="shared" si="21"/>
        <v>-0.1864406779661017</v>
      </c>
      <c r="Q141" s="6">
        <f>_xlfn.IFNA(IF(VLOOKUP($A141,'BU Raw Before'!A:H,1,FALSE)=$A141,VLOOKUP($A141,'BU Raw Before'!A:H,8,FALSE),0),0)</f>
        <v>-1932471.2253</v>
      </c>
      <c r="R141" s="6">
        <f>_xlfn.IFNA(IF(VLOOKUP($A141,'BU Raw After'!A:H,1,FALSE)=$A141,VLOOKUP($A141,'BU Raw After'!A:H,8,FALSE),0),0)</f>
        <v>-1822175.9415</v>
      </c>
      <c r="S141" s="6">
        <f t="shared" si="22"/>
        <v>110295.28380000009</v>
      </c>
      <c r="T141" s="7">
        <f t="shared" si="23"/>
        <v>-6.0529436970398115E-2</v>
      </c>
    </row>
    <row r="142" spans="1:20" ht="15" x14ac:dyDescent="0.25">
      <c r="A142" t="s">
        <v>134</v>
      </c>
      <c r="B142" t="s">
        <v>116</v>
      </c>
      <c r="C142" t="s">
        <v>32</v>
      </c>
      <c r="D142" t="s">
        <v>11</v>
      </c>
      <c r="E142" s="6">
        <f>_xlfn.IFNA(IF(VLOOKUP($A142,'BU Raw Before'!A:H,1,FALSE)=$A142,VLOOKUP($A142,'BU Raw Before'!A:H,5,FALSE),0),0)</f>
        <v>72988423</v>
      </c>
      <c r="F142" s="6">
        <f>_xlfn.IFNA(IF(VLOOKUP($A142,'BU Raw After'!A:H,1,FALSE)=$A142,VLOOKUP($A142,'BU Raw After'!A:H,5,FALSE),0),0)</f>
        <v>167051608.44</v>
      </c>
      <c r="G142" s="6">
        <f t="shared" si="16"/>
        <v>94063185.439999998</v>
      </c>
      <c r="H142" s="7">
        <f t="shared" si="17"/>
        <v>0.5630785977962296</v>
      </c>
      <c r="I142" s="6">
        <f>_xlfn.IFNA(IF(VLOOKUP($A142,'BU Raw Before'!A:H,1,FALSE)=$A142,VLOOKUP($A142,'BU Raw Before'!A:H,6,FALSE),0),0)</f>
        <v>261</v>
      </c>
      <c r="J142" s="6">
        <f>_xlfn.IFNA(IF(VLOOKUP($A142,'BU Raw After'!A:H,1,FALSE)=$A142,VLOOKUP($A142,'BU Raw After'!A:H,6,FALSE),0),0)</f>
        <v>171</v>
      </c>
      <c r="K142" s="6">
        <f t="shared" si="18"/>
        <v>-90</v>
      </c>
      <c r="L142" s="7">
        <f t="shared" si="19"/>
        <v>-0.52631578947368418</v>
      </c>
      <c r="M142" s="6">
        <f>_xlfn.IFNA(IF(VLOOKUP($A142,'BU Raw Before'!A:H,1,FALSE)=$A142,VLOOKUP($A142,'BU Raw Before'!A:H,7,FALSE),0),0)</f>
        <v>479</v>
      </c>
      <c r="N142" s="6">
        <f>_xlfn.IFNA(IF(VLOOKUP($A142,'BU Raw After'!A:H,1,FALSE)=$A142,VLOOKUP($A142,'BU Raw After'!A:H,7,FALSE),0),0)</f>
        <v>360</v>
      </c>
      <c r="O142" s="6">
        <f t="shared" si="20"/>
        <v>-119</v>
      </c>
      <c r="P142" s="7">
        <f t="shared" si="21"/>
        <v>-0.33055555555555555</v>
      </c>
      <c r="Q142" s="6">
        <f>_xlfn.IFNA(IF(VLOOKUP($A142,'BU Raw Before'!A:H,1,FALSE)=$A142,VLOOKUP($A142,'BU Raw Before'!A:H,8,FALSE),0),0)</f>
        <v>-3664545.7080999999</v>
      </c>
      <c r="R142" s="6">
        <f>_xlfn.IFNA(IF(VLOOKUP($A142,'BU Raw After'!A:H,1,FALSE)=$A142,VLOOKUP($A142,'BU Raw After'!A:H,8,FALSE),0),0)</f>
        <v>-2769976.6924000001</v>
      </c>
      <c r="S142" s="6">
        <f t="shared" si="22"/>
        <v>894569.01569999987</v>
      </c>
      <c r="T142" s="7">
        <f t="shared" si="23"/>
        <v>-0.32295182055301536</v>
      </c>
    </row>
    <row r="143" spans="1:20" ht="15" x14ac:dyDescent="0.25">
      <c r="A143" t="s">
        <v>135</v>
      </c>
      <c r="B143" t="s">
        <v>116</v>
      </c>
      <c r="C143" t="s">
        <v>32</v>
      </c>
      <c r="D143" t="s">
        <v>13</v>
      </c>
      <c r="E143" s="6">
        <f>_xlfn.IFNA(IF(VLOOKUP($A143,'BU Raw Before'!A:H,1,FALSE)=$A143,VLOOKUP($A143,'BU Raw Before'!A:H,5,FALSE),0),0)</f>
        <v>43732900</v>
      </c>
      <c r="F143" s="6">
        <f>_xlfn.IFNA(IF(VLOOKUP($A143,'BU Raw After'!A:H,1,FALSE)=$A143,VLOOKUP($A143,'BU Raw After'!A:H,5,FALSE),0),0)</f>
        <v>41402444.609999999</v>
      </c>
      <c r="G143" s="6">
        <f t="shared" si="16"/>
        <v>-2330455.3900000006</v>
      </c>
      <c r="H143" s="7">
        <f t="shared" si="17"/>
        <v>-5.6287869278064853E-2</v>
      </c>
      <c r="I143" s="6">
        <f>_xlfn.IFNA(IF(VLOOKUP($A143,'BU Raw Before'!A:H,1,FALSE)=$A143,VLOOKUP($A143,'BU Raw Before'!A:H,6,FALSE),0),0)</f>
        <v>85</v>
      </c>
      <c r="J143" s="6">
        <f>_xlfn.IFNA(IF(VLOOKUP($A143,'BU Raw After'!A:H,1,FALSE)=$A143,VLOOKUP($A143,'BU Raw After'!A:H,6,FALSE),0),0)</f>
        <v>59</v>
      </c>
      <c r="K143" s="6">
        <f t="shared" si="18"/>
        <v>-26</v>
      </c>
      <c r="L143" s="7">
        <f t="shared" si="19"/>
        <v>-0.44067796610169491</v>
      </c>
      <c r="M143" s="6">
        <f>_xlfn.IFNA(IF(VLOOKUP($A143,'BU Raw Before'!A:H,1,FALSE)=$A143,VLOOKUP($A143,'BU Raw Before'!A:H,7,FALSE),0),0)</f>
        <v>120</v>
      </c>
      <c r="N143" s="6">
        <f>_xlfn.IFNA(IF(VLOOKUP($A143,'BU Raw After'!A:H,1,FALSE)=$A143,VLOOKUP($A143,'BU Raw After'!A:H,7,FALSE),0),0)</f>
        <v>82</v>
      </c>
      <c r="O143" s="6">
        <f t="shared" si="20"/>
        <v>-38</v>
      </c>
      <c r="P143" s="7">
        <f t="shared" si="21"/>
        <v>-0.46341463414634149</v>
      </c>
      <c r="Q143" s="6">
        <f>_xlfn.IFNA(IF(VLOOKUP($A143,'BU Raw Before'!A:H,1,FALSE)=$A143,VLOOKUP($A143,'BU Raw Before'!A:H,8,FALSE),0),0)</f>
        <v>-1450822.2056</v>
      </c>
      <c r="R143" s="6">
        <f>_xlfn.IFNA(IF(VLOOKUP($A143,'BU Raw After'!A:H,1,FALSE)=$A143,VLOOKUP($A143,'BU Raw After'!A:H,8,FALSE),0),0)</f>
        <v>-973436.65229999996</v>
      </c>
      <c r="S143" s="6">
        <f t="shared" si="22"/>
        <v>477385.55330000003</v>
      </c>
      <c r="T143" s="7">
        <f t="shared" si="23"/>
        <v>-0.49041255244709675</v>
      </c>
    </row>
    <row r="144" spans="1:20" ht="15" x14ac:dyDescent="0.25">
      <c r="A144" t="s">
        <v>136</v>
      </c>
      <c r="B144" t="s">
        <v>116</v>
      </c>
      <c r="C144" t="s">
        <v>32</v>
      </c>
      <c r="D144" t="s">
        <v>15</v>
      </c>
      <c r="E144" s="6">
        <f>_xlfn.IFNA(IF(VLOOKUP($A144,'BU Raw Before'!A:H,1,FALSE)=$A144,VLOOKUP($A144,'BU Raw Before'!A:H,5,FALSE),0),0)</f>
        <v>41929160</v>
      </c>
      <c r="F144" s="6">
        <f>_xlfn.IFNA(IF(VLOOKUP($A144,'BU Raw After'!A:H,1,FALSE)=$A144,VLOOKUP($A144,'BU Raw After'!A:H,5,FALSE),0),0)</f>
        <v>42505403.469999999</v>
      </c>
      <c r="G144" s="6">
        <f t="shared" si="16"/>
        <v>576243.46999999881</v>
      </c>
      <c r="H144" s="7">
        <f t="shared" si="17"/>
        <v>1.355694624582748E-2</v>
      </c>
      <c r="I144" s="6">
        <f>_xlfn.IFNA(IF(VLOOKUP($A144,'BU Raw Before'!A:H,1,FALSE)=$A144,VLOOKUP($A144,'BU Raw Before'!A:H,6,FALSE),0),0)</f>
        <v>80</v>
      </c>
      <c r="J144" s="6">
        <f>_xlfn.IFNA(IF(VLOOKUP($A144,'BU Raw After'!A:H,1,FALSE)=$A144,VLOOKUP($A144,'BU Raw After'!A:H,6,FALSE),0),0)</f>
        <v>50</v>
      </c>
      <c r="K144" s="6">
        <f t="shared" si="18"/>
        <v>-30</v>
      </c>
      <c r="L144" s="7">
        <f t="shared" si="19"/>
        <v>-0.6</v>
      </c>
      <c r="M144" s="6">
        <f>_xlfn.IFNA(IF(VLOOKUP($A144,'BU Raw Before'!A:H,1,FALSE)=$A144,VLOOKUP($A144,'BU Raw Before'!A:H,7,FALSE),0),0)</f>
        <v>206</v>
      </c>
      <c r="N144" s="6">
        <f>_xlfn.IFNA(IF(VLOOKUP($A144,'BU Raw After'!A:H,1,FALSE)=$A144,VLOOKUP($A144,'BU Raw After'!A:H,7,FALSE),0),0)</f>
        <v>152</v>
      </c>
      <c r="O144" s="6">
        <f t="shared" si="20"/>
        <v>-54</v>
      </c>
      <c r="P144" s="7">
        <f t="shared" si="21"/>
        <v>-0.35526315789473684</v>
      </c>
      <c r="Q144" s="6">
        <f>_xlfn.IFNA(IF(VLOOKUP($A144,'BU Raw Before'!A:H,1,FALSE)=$A144,VLOOKUP($A144,'BU Raw Before'!A:H,8,FALSE),0),0)</f>
        <v>-1800556.7492</v>
      </c>
      <c r="R144" s="6">
        <f>_xlfn.IFNA(IF(VLOOKUP($A144,'BU Raw After'!A:H,1,FALSE)=$A144,VLOOKUP($A144,'BU Raw After'!A:H,8,FALSE),0),0)</f>
        <v>-1127708.7544</v>
      </c>
      <c r="S144" s="6">
        <f t="shared" si="22"/>
        <v>672847.99479999999</v>
      </c>
      <c r="T144" s="7">
        <f t="shared" si="23"/>
        <v>-0.59665050233470107</v>
      </c>
    </row>
    <row r="145" spans="1:20" ht="15" x14ac:dyDescent="0.25">
      <c r="A145" t="s">
        <v>137</v>
      </c>
      <c r="B145" t="s">
        <v>116</v>
      </c>
      <c r="C145" t="s">
        <v>32</v>
      </c>
      <c r="D145" t="s">
        <v>17</v>
      </c>
      <c r="E145" s="6">
        <f>_xlfn.IFNA(IF(VLOOKUP($A145,'BU Raw Before'!A:H,1,FALSE)=$A145,VLOOKUP($A145,'BU Raw Before'!A:H,5,FALSE),0),0)</f>
        <v>1900100</v>
      </c>
      <c r="F145" s="6">
        <f>_xlfn.IFNA(IF(VLOOKUP($A145,'BU Raw After'!A:H,1,FALSE)=$A145,VLOOKUP($A145,'BU Raw After'!A:H,5,FALSE),0),0)</f>
        <v>857200</v>
      </c>
      <c r="G145" s="6">
        <f t="shared" si="16"/>
        <v>-1042900</v>
      </c>
      <c r="H145" s="7">
        <f t="shared" si="17"/>
        <v>-1.2166355576294914</v>
      </c>
      <c r="I145" s="6">
        <f>_xlfn.IFNA(IF(VLOOKUP($A145,'BU Raw Before'!A:H,1,FALSE)=$A145,VLOOKUP($A145,'BU Raw Before'!A:H,6,FALSE),0),0)</f>
        <v>8</v>
      </c>
      <c r="J145" s="6">
        <f>_xlfn.IFNA(IF(VLOOKUP($A145,'BU Raw After'!A:H,1,FALSE)=$A145,VLOOKUP($A145,'BU Raw After'!A:H,6,FALSE),0),0)</f>
        <v>5</v>
      </c>
      <c r="K145" s="6">
        <f t="shared" si="18"/>
        <v>-3</v>
      </c>
      <c r="L145" s="7">
        <f t="shared" si="19"/>
        <v>-0.6</v>
      </c>
      <c r="M145" s="6">
        <f>_xlfn.IFNA(IF(VLOOKUP($A145,'BU Raw Before'!A:H,1,FALSE)=$A145,VLOOKUP($A145,'BU Raw Before'!A:H,7,FALSE),0),0)</f>
        <v>18</v>
      </c>
      <c r="N145" s="6">
        <f>_xlfn.IFNA(IF(VLOOKUP($A145,'BU Raw After'!A:H,1,FALSE)=$A145,VLOOKUP($A145,'BU Raw After'!A:H,7,FALSE),0),0)</f>
        <v>11</v>
      </c>
      <c r="O145" s="6">
        <f t="shared" si="20"/>
        <v>-7</v>
      </c>
      <c r="P145" s="7">
        <f t="shared" si="21"/>
        <v>-0.63636363636363635</v>
      </c>
      <c r="Q145" s="6">
        <f>_xlfn.IFNA(IF(VLOOKUP($A145,'BU Raw Before'!A:H,1,FALSE)=$A145,VLOOKUP($A145,'BU Raw Before'!A:H,8,FALSE),0),0)</f>
        <v>-145752.63630000001</v>
      </c>
      <c r="R145" s="6">
        <f>_xlfn.IFNA(IF(VLOOKUP($A145,'BU Raw After'!A:H,1,FALSE)=$A145,VLOOKUP($A145,'BU Raw After'!A:H,8,FALSE),0),0)</f>
        <v>-123350.0001</v>
      </c>
      <c r="S145" s="6">
        <f t="shared" si="22"/>
        <v>22402.636200000008</v>
      </c>
      <c r="T145" s="7">
        <f t="shared" si="23"/>
        <v>-0.18161845303476418</v>
      </c>
    </row>
    <row r="146" spans="1:20" ht="15" x14ac:dyDescent="0.25">
      <c r="A146" t="s">
        <v>138</v>
      </c>
      <c r="B146" t="s">
        <v>116</v>
      </c>
      <c r="C146" t="s">
        <v>32</v>
      </c>
      <c r="D146" t="s">
        <v>19</v>
      </c>
      <c r="E146" s="6">
        <f>_xlfn.IFNA(IF(VLOOKUP($A146,'BU Raw Before'!A:H,1,FALSE)=$A146,VLOOKUP($A146,'BU Raw Before'!A:H,5,FALSE),0),0)</f>
        <v>41364580</v>
      </c>
      <c r="F146" s="6">
        <f>_xlfn.IFNA(IF(VLOOKUP($A146,'BU Raw After'!A:H,1,FALSE)=$A146,VLOOKUP($A146,'BU Raw After'!A:H,5,FALSE),0),0)</f>
        <v>162629781.28</v>
      </c>
      <c r="G146" s="6">
        <f t="shared" si="16"/>
        <v>121265201.28</v>
      </c>
      <c r="H146" s="7">
        <f t="shared" si="17"/>
        <v>0.74565187461709415</v>
      </c>
      <c r="I146" s="6">
        <f>_xlfn.IFNA(IF(VLOOKUP($A146,'BU Raw Before'!A:H,1,FALSE)=$A146,VLOOKUP($A146,'BU Raw Before'!A:H,6,FALSE),0),0)</f>
        <v>52</v>
      </c>
      <c r="J146" s="6">
        <f>_xlfn.IFNA(IF(VLOOKUP($A146,'BU Raw After'!A:H,1,FALSE)=$A146,VLOOKUP($A146,'BU Raw After'!A:H,6,FALSE),0),0)</f>
        <v>43</v>
      </c>
      <c r="K146" s="6">
        <f t="shared" si="18"/>
        <v>-9</v>
      </c>
      <c r="L146" s="7">
        <f t="shared" si="19"/>
        <v>-0.20930232558139536</v>
      </c>
      <c r="M146" s="6">
        <f>_xlfn.IFNA(IF(VLOOKUP($A146,'BU Raw Before'!A:H,1,FALSE)=$A146,VLOOKUP($A146,'BU Raw Before'!A:H,7,FALSE),0),0)</f>
        <v>175</v>
      </c>
      <c r="N146" s="6">
        <f>_xlfn.IFNA(IF(VLOOKUP($A146,'BU Raw After'!A:H,1,FALSE)=$A146,VLOOKUP($A146,'BU Raw After'!A:H,7,FALSE),0),0)</f>
        <v>205</v>
      </c>
      <c r="O146" s="6">
        <f t="shared" si="20"/>
        <v>30</v>
      </c>
      <c r="P146" s="7">
        <f t="shared" si="21"/>
        <v>0.14634146341463414</v>
      </c>
      <c r="Q146" s="6">
        <f>_xlfn.IFNA(IF(VLOOKUP($A146,'BU Raw Before'!A:H,1,FALSE)=$A146,VLOOKUP($A146,'BU Raw Before'!A:H,8,FALSE),0),0)</f>
        <v>-2017854.9768999999</v>
      </c>
      <c r="R146" s="6">
        <f>_xlfn.IFNA(IF(VLOOKUP($A146,'BU Raw After'!A:H,1,FALSE)=$A146,VLOOKUP($A146,'BU Raw After'!A:H,8,FALSE),0),0)</f>
        <v>-2075883.7863</v>
      </c>
      <c r="S146" s="6">
        <f t="shared" si="22"/>
        <v>-58028.809400000144</v>
      </c>
      <c r="T146" s="7">
        <f t="shared" si="23"/>
        <v>2.7953785169944002E-2</v>
      </c>
    </row>
    <row r="147" spans="1:20" ht="15" x14ac:dyDescent="0.25">
      <c r="A147" t="s">
        <v>139</v>
      </c>
      <c r="B147" t="s">
        <v>116</v>
      </c>
      <c r="C147" t="s">
        <v>32</v>
      </c>
      <c r="D147" t="s">
        <v>21</v>
      </c>
      <c r="E147" s="6">
        <f>_xlfn.IFNA(IF(VLOOKUP($A147,'BU Raw Before'!A:H,1,FALSE)=$A147,VLOOKUP($A147,'BU Raw Before'!A:H,5,FALSE),0),0)</f>
        <v>589000</v>
      </c>
      <c r="F147" s="6">
        <f>_xlfn.IFNA(IF(VLOOKUP($A147,'BU Raw After'!A:H,1,FALSE)=$A147,VLOOKUP($A147,'BU Raw After'!A:H,5,FALSE),0),0)</f>
        <v>31194722.43</v>
      </c>
      <c r="G147" s="6">
        <f t="shared" si="16"/>
        <v>30605722.43</v>
      </c>
      <c r="H147" s="7">
        <f t="shared" si="17"/>
        <v>0.9811186010286933</v>
      </c>
      <c r="I147" s="6">
        <f>_xlfn.IFNA(IF(VLOOKUP($A147,'BU Raw Before'!A:H,1,FALSE)=$A147,VLOOKUP($A147,'BU Raw Before'!A:H,6,FALSE),0),0)</f>
        <v>1</v>
      </c>
      <c r="J147" s="6">
        <f>_xlfn.IFNA(IF(VLOOKUP($A147,'BU Raw After'!A:H,1,FALSE)=$A147,VLOOKUP($A147,'BU Raw After'!A:H,6,FALSE),0),0)</f>
        <v>151</v>
      </c>
      <c r="K147" s="6">
        <f t="shared" si="18"/>
        <v>150</v>
      </c>
      <c r="L147" s="7">
        <f t="shared" si="19"/>
        <v>0.99337748344370858</v>
      </c>
      <c r="M147" s="6">
        <f>_xlfn.IFNA(IF(VLOOKUP($A147,'BU Raw Before'!A:H,1,FALSE)=$A147,VLOOKUP($A147,'BU Raw Before'!A:H,7,FALSE),0),0)</f>
        <v>1</v>
      </c>
      <c r="N147" s="6">
        <f>_xlfn.IFNA(IF(VLOOKUP($A147,'BU Raw After'!A:H,1,FALSE)=$A147,VLOOKUP($A147,'BU Raw After'!A:H,7,FALSE),0),0)</f>
        <v>159</v>
      </c>
      <c r="O147" s="6">
        <f t="shared" si="20"/>
        <v>158</v>
      </c>
      <c r="P147" s="7">
        <f t="shared" si="21"/>
        <v>0.99371069182389937</v>
      </c>
      <c r="Q147" s="6">
        <f>_xlfn.IFNA(IF(VLOOKUP($A147,'BU Raw Before'!A:H,1,FALSE)=$A147,VLOOKUP($A147,'BU Raw Before'!A:H,8,FALSE),0),0)</f>
        <v>-8972.5</v>
      </c>
      <c r="R147" s="6">
        <f>_xlfn.IFNA(IF(VLOOKUP($A147,'BU Raw After'!A:H,1,FALSE)=$A147,VLOOKUP($A147,'BU Raw After'!A:H,8,FALSE),0),0)</f>
        <v>-2595797.5</v>
      </c>
      <c r="S147" s="6">
        <f t="shared" si="22"/>
        <v>-2586825</v>
      </c>
      <c r="T147" s="7">
        <f t="shared" si="23"/>
        <v>0.99654345148263679</v>
      </c>
    </row>
    <row r="148" spans="1:20" ht="15" x14ac:dyDescent="0.25">
      <c r="A148" t="s">
        <v>140</v>
      </c>
      <c r="B148" t="s">
        <v>116</v>
      </c>
      <c r="C148" t="s">
        <v>41</v>
      </c>
      <c r="D148" t="s">
        <v>7</v>
      </c>
      <c r="E148" s="6">
        <f>_xlfn.IFNA(IF(VLOOKUP($A148,'BU Raw Before'!A:H,1,FALSE)=$A148,VLOOKUP($A148,'BU Raw Before'!A:H,5,FALSE),0),0)</f>
        <v>9429042949.8600006</v>
      </c>
      <c r="F148" s="6">
        <f>_xlfn.IFNA(IF(VLOOKUP($A148,'BU Raw After'!A:H,1,FALSE)=$A148,VLOOKUP($A148,'BU Raw After'!A:H,5,FALSE),0),0)</f>
        <v>11736764825.809999</v>
      </c>
      <c r="G148" s="6">
        <f t="shared" si="16"/>
        <v>2307721875.9499989</v>
      </c>
      <c r="H148" s="7">
        <f t="shared" si="17"/>
        <v>0.19662333787886341</v>
      </c>
      <c r="I148" s="6">
        <f>_xlfn.IFNA(IF(VLOOKUP($A148,'BU Raw Before'!A:H,1,FALSE)=$A148,VLOOKUP($A148,'BU Raw Before'!A:H,6,FALSE),0),0)</f>
        <v>31329</v>
      </c>
      <c r="J148" s="6">
        <f>_xlfn.IFNA(IF(VLOOKUP($A148,'BU Raw After'!A:H,1,FALSE)=$A148,VLOOKUP($A148,'BU Raw After'!A:H,6,FALSE),0),0)</f>
        <v>29657</v>
      </c>
      <c r="K148" s="6">
        <f t="shared" si="18"/>
        <v>-1672</v>
      </c>
      <c r="L148" s="7">
        <f t="shared" si="19"/>
        <v>-5.6377920895572711E-2</v>
      </c>
      <c r="M148" s="6">
        <f>_xlfn.IFNA(IF(VLOOKUP($A148,'BU Raw Before'!A:H,1,FALSE)=$A148,VLOOKUP($A148,'BU Raw Before'!A:H,7,FALSE),0),0)</f>
        <v>36147</v>
      </c>
      <c r="N148" s="6">
        <f>_xlfn.IFNA(IF(VLOOKUP($A148,'BU Raw After'!A:H,1,FALSE)=$A148,VLOOKUP($A148,'BU Raw After'!A:H,7,FALSE),0),0)</f>
        <v>33822</v>
      </c>
      <c r="O148" s="6">
        <f t="shared" si="20"/>
        <v>-2325</v>
      </c>
      <c r="P148" s="7">
        <f t="shared" si="21"/>
        <v>-6.8742238779492634E-2</v>
      </c>
      <c r="Q148" s="6">
        <f>_xlfn.IFNA(IF(VLOOKUP($A148,'BU Raw Before'!A:H,1,FALSE)=$A148,VLOOKUP($A148,'BU Raw Before'!A:H,8,FALSE),0),0)</f>
        <v>-579716316.87779999</v>
      </c>
      <c r="R148" s="6">
        <f>_xlfn.IFNA(IF(VLOOKUP($A148,'BU Raw After'!A:H,1,FALSE)=$A148,VLOOKUP($A148,'BU Raw After'!A:H,8,FALSE),0),0)</f>
        <v>-555441658.60679996</v>
      </c>
      <c r="S148" s="6">
        <f t="shared" si="22"/>
        <v>24274658.271000028</v>
      </c>
      <c r="T148" s="7">
        <f t="shared" si="23"/>
        <v>-4.3703344707502728E-2</v>
      </c>
    </row>
    <row r="149" spans="1:20" ht="15" x14ac:dyDescent="0.25">
      <c r="A149" t="s">
        <v>141</v>
      </c>
      <c r="B149" t="s">
        <v>116</v>
      </c>
      <c r="C149" t="s">
        <v>41</v>
      </c>
      <c r="D149" t="s">
        <v>9</v>
      </c>
      <c r="E149" s="6">
        <f>_xlfn.IFNA(IF(VLOOKUP($A149,'BU Raw Before'!A:H,1,FALSE)=$A149,VLOOKUP($A149,'BU Raw Before'!A:H,5,FALSE),0),0)</f>
        <v>622947430.51999998</v>
      </c>
      <c r="F149" s="6">
        <f>_xlfn.IFNA(IF(VLOOKUP($A149,'BU Raw After'!A:H,1,FALSE)=$A149,VLOOKUP($A149,'BU Raw After'!A:H,5,FALSE),0),0)</f>
        <v>487757113.52999997</v>
      </c>
      <c r="G149" s="6">
        <f t="shared" si="16"/>
        <v>-135190316.99000001</v>
      </c>
      <c r="H149" s="7">
        <f t="shared" si="17"/>
        <v>-0.27716728929199924</v>
      </c>
      <c r="I149" s="6">
        <f>_xlfn.IFNA(IF(VLOOKUP($A149,'BU Raw Before'!A:H,1,FALSE)=$A149,VLOOKUP($A149,'BU Raw Before'!A:H,6,FALSE),0),0)</f>
        <v>1361</v>
      </c>
      <c r="J149" s="6">
        <f>_xlfn.IFNA(IF(VLOOKUP($A149,'BU Raw After'!A:H,1,FALSE)=$A149,VLOOKUP($A149,'BU Raw After'!A:H,6,FALSE),0),0)</f>
        <v>1063</v>
      </c>
      <c r="K149" s="6">
        <f t="shared" si="18"/>
        <v>-298</v>
      </c>
      <c r="L149" s="7">
        <f t="shared" si="19"/>
        <v>-0.28033866415804326</v>
      </c>
      <c r="M149" s="6">
        <f>_xlfn.IFNA(IF(VLOOKUP($A149,'BU Raw Before'!A:H,1,FALSE)=$A149,VLOOKUP($A149,'BU Raw Before'!A:H,7,FALSE),0),0)</f>
        <v>2739</v>
      </c>
      <c r="N149" s="6">
        <f>_xlfn.IFNA(IF(VLOOKUP($A149,'BU Raw After'!A:H,1,FALSE)=$A149,VLOOKUP($A149,'BU Raw After'!A:H,7,FALSE),0),0)</f>
        <v>2030</v>
      </c>
      <c r="O149" s="6">
        <f t="shared" si="20"/>
        <v>-709</v>
      </c>
      <c r="P149" s="7">
        <f t="shared" si="21"/>
        <v>-0.34926108374384235</v>
      </c>
      <c r="Q149" s="6">
        <f>_xlfn.IFNA(IF(VLOOKUP($A149,'BU Raw Before'!A:H,1,FALSE)=$A149,VLOOKUP($A149,'BU Raw Before'!A:H,8,FALSE),0),0)</f>
        <v>-36270996.446000002</v>
      </c>
      <c r="R149" s="6">
        <f>_xlfn.IFNA(IF(VLOOKUP($A149,'BU Raw After'!A:H,1,FALSE)=$A149,VLOOKUP($A149,'BU Raw After'!A:H,8,FALSE),0),0)</f>
        <v>-28324583.379299998</v>
      </c>
      <c r="S149" s="6">
        <f t="shared" si="22"/>
        <v>7946413.066700004</v>
      </c>
      <c r="T149" s="7">
        <f t="shared" si="23"/>
        <v>-0.28054827710219221</v>
      </c>
    </row>
    <row r="150" spans="1:20" ht="15" x14ac:dyDescent="0.25">
      <c r="A150" t="s">
        <v>142</v>
      </c>
      <c r="B150" t="s">
        <v>116</v>
      </c>
      <c r="C150" t="s">
        <v>41</v>
      </c>
      <c r="D150" t="s">
        <v>11</v>
      </c>
      <c r="E150" s="6">
        <f>_xlfn.IFNA(IF(VLOOKUP($A150,'BU Raw Before'!A:H,1,FALSE)=$A150,VLOOKUP($A150,'BU Raw Before'!A:H,5,FALSE),0),0)</f>
        <v>711258116.86000001</v>
      </c>
      <c r="F150" s="6">
        <f>_xlfn.IFNA(IF(VLOOKUP($A150,'BU Raw After'!A:H,1,FALSE)=$A150,VLOOKUP($A150,'BU Raw After'!A:H,5,FALSE),0),0)</f>
        <v>984681265.57000005</v>
      </c>
      <c r="G150" s="6">
        <f t="shared" si="16"/>
        <v>273423148.71000004</v>
      </c>
      <c r="H150" s="7">
        <f t="shared" si="17"/>
        <v>0.27767680595783878</v>
      </c>
      <c r="I150" s="6">
        <f>_xlfn.IFNA(IF(VLOOKUP($A150,'BU Raw Before'!A:H,1,FALSE)=$A150,VLOOKUP($A150,'BU Raw Before'!A:H,6,FALSE),0),0)</f>
        <v>3404</v>
      </c>
      <c r="J150" s="6">
        <f>_xlfn.IFNA(IF(VLOOKUP($A150,'BU Raw After'!A:H,1,FALSE)=$A150,VLOOKUP($A150,'BU Raw After'!A:H,6,FALSE),0),0)</f>
        <v>3829</v>
      </c>
      <c r="K150" s="6">
        <f t="shared" si="18"/>
        <v>425</v>
      </c>
      <c r="L150" s="7">
        <f t="shared" si="19"/>
        <v>0.11099503786889527</v>
      </c>
      <c r="M150" s="6">
        <f>_xlfn.IFNA(IF(VLOOKUP($A150,'BU Raw Before'!A:H,1,FALSE)=$A150,VLOOKUP($A150,'BU Raw Before'!A:H,7,FALSE),0),0)</f>
        <v>7117</v>
      </c>
      <c r="N150" s="6">
        <f>_xlfn.IFNA(IF(VLOOKUP($A150,'BU Raw After'!A:H,1,FALSE)=$A150,VLOOKUP($A150,'BU Raw After'!A:H,7,FALSE),0),0)</f>
        <v>7988</v>
      </c>
      <c r="O150" s="6">
        <f t="shared" si="20"/>
        <v>871</v>
      </c>
      <c r="P150" s="7">
        <f t="shared" si="21"/>
        <v>0.10903855783675513</v>
      </c>
      <c r="Q150" s="6">
        <f>_xlfn.IFNA(IF(VLOOKUP($A150,'BU Raw Before'!A:H,1,FALSE)=$A150,VLOOKUP($A150,'BU Raw Before'!A:H,8,FALSE),0),0)</f>
        <v>-126548609.23800001</v>
      </c>
      <c r="R150" s="6">
        <f>_xlfn.IFNA(IF(VLOOKUP($A150,'BU Raw After'!A:H,1,FALSE)=$A150,VLOOKUP($A150,'BU Raw After'!A:H,8,FALSE),0),0)</f>
        <v>-150263611.2958</v>
      </c>
      <c r="S150" s="6">
        <f t="shared" si="22"/>
        <v>-23715002.057799995</v>
      </c>
      <c r="T150" s="7">
        <f t="shared" si="23"/>
        <v>0.15782265482170565</v>
      </c>
    </row>
    <row r="151" spans="1:20" ht="15" x14ac:dyDescent="0.25">
      <c r="A151" t="s">
        <v>143</v>
      </c>
      <c r="B151" t="s">
        <v>116</v>
      </c>
      <c r="C151" t="s">
        <v>41</v>
      </c>
      <c r="D151" t="s">
        <v>13</v>
      </c>
      <c r="E151" s="6">
        <f>_xlfn.IFNA(IF(VLOOKUP($A151,'BU Raw Before'!A:H,1,FALSE)=$A151,VLOOKUP($A151,'BU Raw Before'!A:H,5,FALSE),0),0)</f>
        <v>182352568.15000001</v>
      </c>
      <c r="F151" s="6">
        <f>_xlfn.IFNA(IF(VLOOKUP($A151,'BU Raw After'!A:H,1,FALSE)=$A151,VLOOKUP($A151,'BU Raw After'!A:H,5,FALSE),0),0)</f>
        <v>181204944.58000001</v>
      </c>
      <c r="G151" s="6">
        <f t="shared" si="16"/>
        <v>-1147623.5699999928</v>
      </c>
      <c r="H151" s="7">
        <f t="shared" si="17"/>
        <v>-6.3332905879581536E-3</v>
      </c>
      <c r="I151" s="6">
        <f>_xlfn.IFNA(IF(VLOOKUP($A151,'BU Raw Before'!A:H,1,FALSE)=$A151,VLOOKUP($A151,'BU Raw Before'!A:H,6,FALSE),0),0)</f>
        <v>432</v>
      </c>
      <c r="J151" s="6">
        <f>_xlfn.IFNA(IF(VLOOKUP($A151,'BU Raw After'!A:H,1,FALSE)=$A151,VLOOKUP($A151,'BU Raw After'!A:H,6,FALSE),0),0)</f>
        <v>288</v>
      </c>
      <c r="K151" s="6">
        <f t="shared" si="18"/>
        <v>-144</v>
      </c>
      <c r="L151" s="7">
        <f t="shared" si="19"/>
        <v>-0.5</v>
      </c>
      <c r="M151" s="6">
        <f>_xlfn.IFNA(IF(VLOOKUP($A151,'BU Raw Before'!A:H,1,FALSE)=$A151,VLOOKUP($A151,'BU Raw Before'!A:H,7,FALSE),0),0)</f>
        <v>1191</v>
      </c>
      <c r="N151" s="6">
        <f>_xlfn.IFNA(IF(VLOOKUP($A151,'BU Raw After'!A:H,1,FALSE)=$A151,VLOOKUP($A151,'BU Raw After'!A:H,7,FALSE),0),0)</f>
        <v>763</v>
      </c>
      <c r="O151" s="6">
        <f t="shared" si="20"/>
        <v>-428</v>
      </c>
      <c r="P151" s="7">
        <f t="shared" si="21"/>
        <v>-0.56094364351245085</v>
      </c>
      <c r="Q151" s="6">
        <f>_xlfn.IFNA(IF(VLOOKUP($A151,'BU Raw Before'!A:H,1,FALSE)=$A151,VLOOKUP($A151,'BU Raw Before'!A:H,8,FALSE),0),0)</f>
        <v>-14701120.178400001</v>
      </c>
      <c r="R151" s="6">
        <f>_xlfn.IFNA(IF(VLOOKUP($A151,'BU Raw After'!A:H,1,FALSE)=$A151,VLOOKUP($A151,'BU Raw After'!A:H,8,FALSE),0),0)</f>
        <v>-8896364.1785000004</v>
      </c>
      <c r="S151" s="6">
        <f t="shared" si="22"/>
        <v>5804755.9999000002</v>
      </c>
      <c r="T151" s="7">
        <f t="shared" si="23"/>
        <v>-0.65248632850805011</v>
      </c>
    </row>
    <row r="152" spans="1:20" ht="15" x14ac:dyDescent="0.25">
      <c r="A152" t="s">
        <v>144</v>
      </c>
      <c r="B152" t="s">
        <v>116</v>
      </c>
      <c r="C152" t="s">
        <v>41</v>
      </c>
      <c r="D152" t="s">
        <v>15</v>
      </c>
      <c r="E152" s="6">
        <f>_xlfn.IFNA(IF(VLOOKUP($A152,'BU Raw Before'!A:H,1,FALSE)=$A152,VLOOKUP($A152,'BU Raw Before'!A:H,5,FALSE),0),0)</f>
        <v>343519436.47000003</v>
      </c>
      <c r="F152" s="6">
        <f>_xlfn.IFNA(IF(VLOOKUP($A152,'BU Raw After'!A:H,1,FALSE)=$A152,VLOOKUP($A152,'BU Raw After'!A:H,5,FALSE),0),0)</f>
        <v>375363317.18000001</v>
      </c>
      <c r="G152" s="6">
        <f t="shared" si="16"/>
        <v>31843880.709999979</v>
      </c>
      <c r="H152" s="7">
        <f t="shared" si="17"/>
        <v>8.4834823363226272E-2</v>
      </c>
      <c r="I152" s="6">
        <f>_xlfn.IFNA(IF(VLOOKUP($A152,'BU Raw Before'!A:H,1,FALSE)=$A152,VLOOKUP($A152,'BU Raw Before'!A:H,6,FALSE),0),0)</f>
        <v>1285</v>
      </c>
      <c r="J152" s="6">
        <f>_xlfn.IFNA(IF(VLOOKUP($A152,'BU Raw After'!A:H,1,FALSE)=$A152,VLOOKUP($A152,'BU Raw After'!A:H,6,FALSE),0),0)</f>
        <v>1594</v>
      </c>
      <c r="K152" s="6">
        <f t="shared" si="18"/>
        <v>309</v>
      </c>
      <c r="L152" s="7">
        <f t="shared" si="19"/>
        <v>0.19385194479297366</v>
      </c>
      <c r="M152" s="6">
        <f>_xlfn.IFNA(IF(VLOOKUP($A152,'BU Raw Before'!A:H,1,FALSE)=$A152,VLOOKUP($A152,'BU Raw Before'!A:H,7,FALSE),0),0)</f>
        <v>3978</v>
      </c>
      <c r="N152" s="6">
        <f>_xlfn.IFNA(IF(VLOOKUP($A152,'BU Raw After'!A:H,1,FALSE)=$A152,VLOOKUP($A152,'BU Raw After'!A:H,7,FALSE),0),0)</f>
        <v>4789</v>
      </c>
      <c r="O152" s="6">
        <f t="shared" si="20"/>
        <v>811</v>
      </c>
      <c r="P152" s="7">
        <f t="shared" si="21"/>
        <v>0.16934641887659219</v>
      </c>
      <c r="Q152" s="6">
        <f>_xlfn.IFNA(IF(VLOOKUP($A152,'BU Raw Before'!A:H,1,FALSE)=$A152,VLOOKUP($A152,'BU Raw Before'!A:H,8,FALSE),0),0)</f>
        <v>-69465671.731600001</v>
      </c>
      <c r="R152" s="6">
        <f>_xlfn.IFNA(IF(VLOOKUP($A152,'BU Raw After'!A:H,1,FALSE)=$A152,VLOOKUP($A152,'BU Raw After'!A:H,8,FALSE),0),0)</f>
        <v>-91142508.641399994</v>
      </c>
      <c r="S152" s="6">
        <f t="shared" si="22"/>
        <v>-21676836.909799993</v>
      </c>
      <c r="T152" s="7">
        <f t="shared" si="23"/>
        <v>0.23783454321064895</v>
      </c>
    </row>
    <row r="153" spans="1:20" ht="15" x14ac:dyDescent="0.25">
      <c r="A153" t="s">
        <v>145</v>
      </c>
      <c r="B153" t="s">
        <v>116</v>
      </c>
      <c r="C153" t="s">
        <v>41</v>
      </c>
      <c r="D153" t="s">
        <v>17</v>
      </c>
      <c r="E153" s="6">
        <f>_xlfn.IFNA(IF(VLOOKUP($A153,'BU Raw Before'!A:H,1,FALSE)=$A153,VLOOKUP($A153,'BU Raw Before'!A:H,5,FALSE),0),0)</f>
        <v>48297808.340000004</v>
      </c>
      <c r="F153" s="6">
        <f>_xlfn.IFNA(IF(VLOOKUP($A153,'BU Raw After'!A:H,1,FALSE)=$A153,VLOOKUP($A153,'BU Raw After'!A:H,5,FALSE),0),0)</f>
        <v>24251807</v>
      </c>
      <c r="G153" s="6">
        <f t="shared" si="16"/>
        <v>-24046001.340000004</v>
      </c>
      <c r="H153" s="7">
        <f t="shared" si="17"/>
        <v>-0.99151380101284836</v>
      </c>
      <c r="I153" s="6">
        <f>_xlfn.IFNA(IF(VLOOKUP($A153,'BU Raw Before'!A:H,1,FALSE)=$A153,VLOOKUP($A153,'BU Raw Before'!A:H,6,FALSE),0),0)</f>
        <v>316</v>
      </c>
      <c r="J153" s="6">
        <f>_xlfn.IFNA(IF(VLOOKUP($A153,'BU Raw After'!A:H,1,FALSE)=$A153,VLOOKUP($A153,'BU Raw After'!A:H,6,FALSE),0),0)</f>
        <v>65</v>
      </c>
      <c r="K153" s="6">
        <f t="shared" si="18"/>
        <v>-251</v>
      </c>
      <c r="L153" s="7">
        <f t="shared" si="19"/>
        <v>-3.8615384615384616</v>
      </c>
      <c r="M153" s="6">
        <f>_xlfn.IFNA(IF(VLOOKUP($A153,'BU Raw Before'!A:H,1,FALSE)=$A153,VLOOKUP($A153,'BU Raw Before'!A:H,7,FALSE),0),0)</f>
        <v>1153</v>
      </c>
      <c r="N153" s="6">
        <f>_xlfn.IFNA(IF(VLOOKUP($A153,'BU Raw After'!A:H,1,FALSE)=$A153,VLOOKUP($A153,'BU Raw After'!A:H,7,FALSE),0),0)</f>
        <v>205</v>
      </c>
      <c r="O153" s="6">
        <f t="shared" si="20"/>
        <v>-948</v>
      </c>
      <c r="P153" s="7">
        <f t="shared" si="21"/>
        <v>-4.6243902439024387</v>
      </c>
      <c r="Q153" s="6">
        <f>_xlfn.IFNA(IF(VLOOKUP($A153,'BU Raw Before'!A:H,1,FALSE)=$A153,VLOOKUP($A153,'BU Raw Before'!A:H,8,FALSE),0),0)</f>
        <v>-22998264.431299999</v>
      </c>
      <c r="R153" s="6">
        <f>_xlfn.IFNA(IF(VLOOKUP($A153,'BU Raw After'!A:H,1,FALSE)=$A153,VLOOKUP($A153,'BU Raw After'!A:H,8,FALSE),0),0)</f>
        <v>-2627838.6833000001</v>
      </c>
      <c r="S153" s="6">
        <f t="shared" si="22"/>
        <v>20370425.748</v>
      </c>
      <c r="T153" s="7">
        <f t="shared" si="23"/>
        <v>-7.7517793909705013</v>
      </c>
    </row>
    <row r="154" spans="1:20" ht="15" x14ac:dyDescent="0.25">
      <c r="A154" t="s">
        <v>146</v>
      </c>
      <c r="B154" t="s">
        <v>116</v>
      </c>
      <c r="C154" t="s">
        <v>41</v>
      </c>
      <c r="D154" t="s">
        <v>19</v>
      </c>
      <c r="E154" s="6">
        <f>_xlfn.IFNA(IF(VLOOKUP($A154,'BU Raw Before'!A:H,1,FALSE)=$A154,VLOOKUP($A154,'BU Raw Before'!A:H,5,FALSE),0),0)</f>
        <v>574749268.25999999</v>
      </c>
      <c r="F154" s="6">
        <f>_xlfn.IFNA(IF(VLOOKUP($A154,'BU Raw After'!A:H,1,FALSE)=$A154,VLOOKUP($A154,'BU Raw After'!A:H,5,FALSE),0),0)</f>
        <v>453105722.82999998</v>
      </c>
      <c r="G154" s="6">
        <f t="shared" si="16"/>
        <v>-121643545.43000001</v>
      </c>
      <c r="H154" s="7">
        <f t="shared" si="17"/>
        <v>-0.26846614222888388</v>
      </c>
      <c r="I154" s="6">
        <f>_xlfn.IFNA(IF(VLOOKUP($A154,'BU Raw Before'!A:H,1,FALSE)=$A154,VLOOKUP($A154,'BU Raw Before'!A:H,6,FALSE),0),0)</f>
        <v>804</v>
      </c>
      <c r="J154" s="6">
        <f>_xlfn.IFNA(IF(VLOOKUP($A154,'BU Raw After'!A:H,1,FALSE)=$A154,VLOOKUP($A154,'BU Raw After'!A:H,6,FALSE),0),0)</f>
        <v>828</v>
      </c>
      <c r="K154" s="6">
        <f t="shared" si="18"/>
        <v>24</v>
      </c>
      <c r="L154" s="7">
        <f t="shared" si="19"/>
        <v>2.8985507246376812E-2</v>
      </c>
      <c r="M154" s="6">
        <f>_xlfn.IFNA(IF(VLOOKUP($A154,'BU Raw Before'!A:H,1,FALSE)=$A154,VLOOKUP($A154,'BU Raw Before'!A:H,7,FALSE),0),0)</f>
        <v>3678</v>
      </c>
      <c r="N154" s="6">
        <f>_xlfn.IFNA(IF(VLOOKUP($A154,'BU Raw After'!A:H,1,FALSE)=$A154,VLOOKUP($A154,'BU Raw After'!A:H,7,FALSE),0),0)</f>
        <v>4409</v>
      </c>
      <c r="O154" s="6">
        <f t="shared" si="20"/>
        <v>731</v>
      </c>
      <c r="P154" s="7">
        <f t="shared" si="21"/>
        <v>0.16579723293263779</v>
      </c>
      <c r="Q154" s="6">
        <f>_xlfn.IFNA(IF(VLOOKUP($A154,'BU Raw Before'!A:H,1,FALSE)=$A154,VLOOKUP($A154,'BU Raw Before'!A:H,8,FALSE),0),0)</f>
        <v>-60419514.9868</v>
      </c>
      <c r="R154" s="6">
        <f>_xlfn.IFNA(IF(VLOOKUP($A154,'BU Raw After'!A:H,1,FALSE)=$A154,VLOOKUP($A154,'BU Raw After'!A:H,8,FALSE),0),0)</f>
        <v>-83818452.369299993</v>
      </c>
      <c r="S154" s="6">
        <f t="shared" si="22"/>
        <v>-23398937.382499993</v>
      </c>
      <c r="T154" s="7">
        <f t="shared" si="23"/>
        <v>0.27916212625121523</v>
      </c>
    </row>
    <row r="155" spans="1:20" ht="15" x14ac:dyDescent="0.25">
      <c r="A155" t="s">
        <v>147</v>
      </c>
      <c r="B155" t="s">
        <v>116</v>
      </c>
      <c r="C155" t="s">
        <v>41</v>
      </c>
      <c r="D155" t="s">
        <v>21</v>
      </c>
      <c r="E155" s="6">
        <f>_xlfn.IFNA(IF(VLOOKUP($A155,'BU Raw Before'!A:H,1,FALSE)=$A155,VLOOKUP($A155,'BU Raw Before'!A:H,5,FALSE),0),0)</f>
        <v>2711314</v>
      </c>
      <c r="F155" s="6">
        <f>_xlfn.IFNA(IF(VLOOKUP($A155,'BU Raw After'!A:H,1,FALSE)=$A155,VLOOKUP($A155,'BU Raw After'!A:H,5,FALSE),0),0)</f>
        <v>78019235.909999996</v>
      </c>
      <c r="G155" s="6">
        <f t="shared" si="16"/>
        <v>75307921.909999996</v>
      </c>
      <c r="H155" s="7">
        <f t="shared" si="17"/>
        <v>0.96524813440716506</v>
      </c>
      <c r="I155" s="6">
        <f>_xlfn.IFNA(IF(VLOOKUP($A155,'BU Raw Before'!A:H,1,FALSE)=$A155,VLOOKUP($A155,'BU Raw Before'!A:H,6,FALSE),0),0)</f>
        <v>5</v>
      </c>
      <c r="J155" s="6">
        <f>_xlfn.IFNA(IF(VLOOKUP($A155,'BU Raw After'!A:H,1,FALSE)=$A155,VLOOKUP($A155,'BU Raw After'!A:H,6,FALSE),0),0)</f>
        <v>350</v>
      </c>
      <c r="K155" s="6">
        <f t="shared" si="18"/>
        <v>345</v>
      </c>
      <c r="L155" s="7">
        <f t="shared" si="19"/>
        <v>0.98571428571428577</v>
      </c>
      <c r="M155" s="6">
        <f>_xlfn.IFNA(IF(VLOOKUP($A155,'BU Raw Before'!A:H,1,FALSE)=$A155,VLOOKUP($A155,'BU Raw Before'!A:H,7,FALSE),0),0)</f>
        <v>5</v>
      </c>
      <c r="N155" s="6">
        <f>_xlfn.IFNA(IF(VLOOKUP($A155,'BU Raw After'!A:H,1,FALSE)=$A155,VLOOKUP($A155,'BU Raw After'!A:H,7,FALSE),0),0)</f>
        <v>404</v>
      </c>
      <c r="O155" s="6">
        <f t="shared" si="20"/>
        <v>399</v>
      </c>
      <c r="P155" s="7">
        <f t="shared" si="21"/>
        <v>0.98762376237623761</v>
      </c>
      <c r="Q155" s="6">
        <f>_xlfn.IFNA(IF(VLOOKUP($A155,'BU Raw Before'!A:H,1,FALSE)=$A155,VLOOKUP($A155,'BU Raw Before'!A:H,8,FALSE),0),0)</f>
        <v>-73617.035000000003</v>
      </c>
      <c r="R155" s="6">
        <f>_xlfn.IFNA(IF(VLOOKUP($A155,'BU Raw After'!A:H,1,FALSE)=$A155,VLOOKUP($A155,'BU Raw After'!A:H,8,FALSE),0),0)</f>
        <v>-4624513.3068000004</v>
      </c>
      <c r="S155" s="6">
        <f t="shared" si="22"/>
        <v>-4550896.2718000002</v>
      </c>
      <c r="T155" s="7">
        <f t="shared" si="23"/>
        <v>0.98408112808503512</v>
      </c>
    </row>
    <row r="156" spans="1:20" ht="15" x14ac:dyDescent="0.25">
      <c r="A156" t="s">
        <v>328</v>
      </c>
      <c r="B156" t="s">
        <v>116</v>
      </c>
      <c r="C156" t="s">
        <v>286</v>
      </c>
      <c r="D156" t="s">
        <v>7</v>
      </c>
      <c r="E156" s="6">
        <f>_xlfn.IFNA(IF(VLOOKUP($A156,'BU Raw Before'!A:H,1,FALSE)=$A156,VLOOKUP($A156,'BU Raw Before'!A:H,5,FALSE),0),0)</f>
        <v>49416545775.849998</v>
      </c>
      <c r="F156" s="6">
        <f>_xlfn.IFNA(IF(VLOOKUP($A156,'BU Raw After'!A:H,1,FALSE)=$A156,VLOOKUP($A156,'BU Raw After'!A:H,5,FALSE),0),0)</f>
        <v>58080898260.529999</v>
      </c>
      <c r="G156" s="6">
        <f t="shared" si="16"/>
        <v>8664352484.6800003</v>
      </c>
      <c r="H156" s="7">
        <f t="shared" si="17"/>
        <v>0.14917731550594887</v>
      </c>
      <c r="I156" s="6">
        <f>_xlfn.IFNA(IF(VLOOKUP($A156,'BU Raw Before'!A:H,1,FALSE)=$A156,VLOOKUP($A156,'BU Raw Before'!A:H,6,FALSE),0),0)</f>
        <v>72567</v>
      </c>
      <c r="J156" s="6">
        <f>_xlfn.IFNA(IF(VLOOKUP($A156,'BU Raw After'!A:H,1,FALSE)=$A156,VLOOKUP($A156,'BU Raw After'!A:H,6,FALSE),0),0)</f>
        <v>72005</v>
      </c>
      <c r="K156" s="6">
        <f t="shared" si="18"/>
        <v>-562</v>
      </c>
      <c r="L156" s="7">
        <f t="shared" si="19"/>
        <v>-7.8050135407263382E-3</v>
      </c>
      <c r="M156" s="6">
        <f>_xlfn.IFNA(IF(VLOOKUP($A156,'BU Raw Before'!A:H,1,FALSE)=$A156,VLOOKUP($A156,'BU Raw Before'!A:H,7,FALSE),0),0)</f>
        <v>88300</v>
      </c>
      <c r="N156" s="6">
        <f>_xlfn.IFNA(IF(VLOOKUP($A156,'BU Raw After'!A:H,1,FALSE)=$A156,VLOOKUP($A156,'BU Raw After'!A:H,7,FALSE),0),0)</f>
        <v>85191</v>
      </c>
      <c r="O156" s="6">
        <f t="shared" si="20"/>
        <v>-3109</v>
      </c>
      <c r="P156" s="7">
        <f t="shared" si="21"/>
        <v>-3.6494465377798123E-2</v>
      </c>
      <c r="Q156" s="6">
        <f>_xlfn.IFNA(IF(VLOOKUP($A156,'BU Raw Before'!A:H,1,FALSE)=$A156,VLOOKUP($A156,'BU Raw Before'!A:H,8,FALSE),0),0)</f>
        <v>-846955321.99660003</v>
      </c>
      <c r="R156" s="6">
        <f>_xlfn.IFNA(IF(VLOOKUP($A156,'BU Raw After'!A:H,1,FALSE)=$A156,VLOOKUP($A156,'BU Raw After'!A:H,8,FALSE),0),0)</f>
        <v>-850122461.15880001</v>
      </c>
      <c r="S156" s="6">
        <f t="shared" si="22"/>
        <v>-3167139.1621999741</v>
      </c>
      <c r="T156" s="7">
        <f t="shared" si="23"/>
        <v>3.7255093317765699E-3</v>
      </c>
    </row>
    <row r="157" spans="1:20" ht="15" x14ac:dyDescent="0.25">
      <c r="A157" t="s">
        <v>329</v>
      </c>
      <c r="B157" t="s">
        <v>116</v>
      </c>
      <c r="C157" t="s">
        <v>286</v>
      </c>
      <c r="D157" t="s">
        <v>9</v>
      </c>
      <c r="E157" s="6">
        <f>_xlfn.IFNA(IF(VLOOKUP($A157,'BU Raw Before'!A:H,1,FALSE)=$A157,VLOOKUP($A157,'BU Raw Before'!A:H,5,FALSE),0),0)</f>
        <v>2770127410.7399998</v>
      </c>
      <c r="F157" s="6">
        <f>_xlfn.IFNA(IF(VLOOKUP($A157,'BU Raw After'!A:H,1,FALSE)=$A157,VLOOKUP($A157,'BU Raw After'!A:H,5,FALSE),0),0)</f>
        <v>4653048856.5900002</v>
      </c>
      <c r="G157" s="6">
        <f t="shared" si="16"/>
        <v>1882921445.8500004</v>
      </c>
      <c r="H157" s="7">
        <f t="shared" si="17"/>
        <v>0.40466401791231238</v>
      </c>
      <c r="I157" s="6">
        <f>_xlfn.IFNA(IF(VLOOKUP($A157,'BU Raw Before'!A:H,1,FALSE)=$A157,VLOOKUP($A157,'BU Raw Before'!A:H,6,FALSE),0),0)</f>
        <v>3648</v>
      </c>
      <c r="J157" s="6">
        <f>_xlfn.IFNA(IF(VLOOKUP($A157,'BU Raw After'!A:H,1,FALSE)=$A157,VLOOKUP($A157,'BU Raw After'!A:H,6,FALSE),0),0)</f>
        <v>3158</v>
      </c>
      <c r="K157" s="6">
        <f t="shared" si="18"/>
        <v>-490</v>
      </c>
      <c r="L157" s="7">
        <f t="shared" si="19"/>
        <v>-0.15516149461684611</v>
      </c>
      <c r="M157" s="6">
        <f>_xlfn.IFNA(IF(VLOOKUP($A157,'BU Raw Before'!A:H,1,FALSE)=$A157,VLOOKUP($A157,'BU Raw Before'!A:H,7,FALSE),0),0)</f>
        <v>7819</v>
      </c>
      <c r="N157" s="6">
        <f>_xlfn.IFNA(IF(VLOOKUP($A157,'BU Raw After'!A:H,1,FALSE)=$A157,VLOOKUP($A157,'BU Raw After'!A:H,7,FALSE),0),0)</f>
        <v>7193</v>
      </c>
      <c r="O157" s="6">
        <f t="shared" si="20"/>
        <v>-626</v>
      </c>
      <c r="P157" s="7">
        <f t="shared" si="21"/>
        <v>-8.7029056026692614E-2</v>
      </c>
      <c r="Q157" s="6">
        <f>_xlfn.IFNA(IF(VLOOKUP($A157,'BU Raw Before'!A:H,1,FALSE)=$A157,VLOOKUP($A157,'BU Raw Before'!A:H,8,FALSE),0),0)</f>
        <v>-62879486.812200002</v>
      </c>
      <c r="R157" s="6">
        <f>_xlfn.IFNA(IF(VLOOKUP($A157,'BU Raw After'!A:H,1,FALSE)=$A157,VLOOKUP($A157,'BU Raw After'!A:H,8,FALSE),0),0)</f>
        <v>-62049022.936700001</v>
      </c>
      <c r="S157" s="6">
        <f t="shared" si="22"/>
        <v>830463.87550000101</v>
      </c>
      <c r="T157" s="7">
        <f t="shared" si="23"/>
        <v>-1.3383996011463516E-2</v>
      </c>
    </row>
    <row r="158" spans="1:20" ht="15" x14ac:dyDescent="0.25">
      <c r="A158" t="s">
        <v>330</v>
      </c>
      <c r="B158" t="s">
        <v>116</v>
      </c>
      <c r="C158" t="s">
        <v>286</v>
      </c>
      <c r="D158" t="s">
        <v>11</v>
      </c>
      <c r="E158" s="6">
        <f>_xlfn.IFNA(IF(VLOOKUP($A158,'BU Raw Before'!A:H,1,FALSE)=$A158,VLOOKUP($A158,'BU Raw Before'!A:H,5,FALSE),0),0)</f>
        <v>2731126100.8400002</v>
      </c>
      <c r="F158" s="6">
        <f>_xlfn.IFNA(IF(VLOOKUP($A158,'BU Raw After'!A:H,1,FALSE)=$A158,VLOOKUP($A158,'BU Raw After'!A:H,5,FALSE),0),0)</f>
        <v>3546618154.8600001</v>
      </c>
      <c r="G158" s="6">
        <f t="shared" si="16"/>
        <v>815492054.01999998</v>
      </c>
      <c r="H158" s="7">
        <f t="shared" si="17"/>
        <v>0.22993511520334245</v>
      </c>
      <c r="I158" s="6">
        <f>_xlfn.IFNA(IF(VLOOKUP($A158,'BU Raw Before'!A:H,1,FALSE)=$A158,VLOOKUP($A158,'BU Raw Before'!A:H,6,FALSE),0),0)</f>
        <v>7557</v>
      </c>
      <c r="J158" s="6">
        <f>_xlfn.IFNA(IF(VLOOKUP($A158,'BU Raw After'!A:H,1,FALSE)=$A158,VLOOKUP($A158,'BU Raw After'!A:H,6,FALSE),0),0)</f>
        <v>7617</v>
      </c>
      <c r="K158" s="6">
        <f t="shared" si="18"/>
        <v>60</v>
      </c>
      <c r="L158" s="7">
        <f t="shared" si="19"/>
        <v>7.8771169751870821E-3</v>
      </c>
      <c r="M158" s="6">
        <f>_xlfn.IFNA(IF(VLOOKUP($A158,'BU Raw Before'!A:H,1,FALSE)=$A158,VLOOKUP($A158,'BU Raw Before'!A:H,7,FALSE),0),0)</f>
        <v>16204</v>
      </c>
      <c r="N158" s="6">
        <f>_xlfn.IFNA(IF(VLOOKUP($A158,'BU Raw After'!A:H,1,FALSE)=$A158,VLOOKUP($A158,'BU Raw After'!A:H,7,FALSE),0),0)</f>
        <v>16616</v>
      </c>
      <c r="O158" s="6">
        <f t="shared" si="20"/>
        <v>412</v>
      </c>
      <c r="P158" s="7">
        <f t="shared" si="21"/>
        <v>2.4795377948964852E-2</v>
      </c>
      <c r="Q158" s="6">
        <f>_xlfn.IFNA(IF(VLOOKUP($A158,'BU Raw Before'!A:H,1,FALSE)=$A158,VLOOKUP($A158,'BU Raw Before'!A:H,8,FALSE),0),0)</f>
        <v>-189394890.06099999</v>
      </c>
      <c r="R158" s="6">
        <f>_xlfn.IFNA(IF(VLOOKUP($A158,'BU Raw After'!A:H,1,FALSE)=$A158,VLOOKUP($A158,'BU Raw After'!A:H,8,FALSE),0),0)</f>
        <v>-207359907.89410001</v>
      </c>
      <c r="S158" s="6">
        <f t="shared" si="22"/>
        <v>-17965017.833100021</v>
      </c>
      <c r="T158" s="7">
        <f t="shared" si="23"/>
        <v>8.6636891458665516E-2</v>
      </c>
    </row>
    <row r="159" spans="1:20" ht="15" x14ac:dyDescent="0.25">
      <c r="A159" t="s">
        <v>331</v>
      </c>
      <c r="B159" t="s">
        <v>116</v>
      </c>
      <c r="C159" t="s">
        <v>286</v>
      </c>
      <c r="D159" t="s">
        <v>13</v>
      </c>
      <c r="E159" s="6">
        <f>_xlfn.IFNA(IF(VLOOKUP($A159,'BU Raw Before'!A:H,1,FALSE)=$A159,VLOOKUP($A159,'BU Raw Before'!A:H,5,FALSE),0),0)</f>
        <v>679932559.12</v>
      </c>
      <c r="F159" s="6">
        <f>_xlfn.IFNA(IF(VLOOKUP($A159,'BU Raw After'!A:H,1,FALSE)=$A159,VLOOKUP($A159,'BU Raw After'!A:H,5,FALSE),0),0)</f>
        <v>860894343.46000004</v>
      </c>
      <c r="G159" s="6">
        <f t="shared" si="16"/>
        <v>180961784.34000003</v>
      </c>
      <c r="H159" s="7">
        <f t="shared" si="17"/>
        <v>0.21020208311823821</v>
      </c>
      <c r="I159" s="6">
        <f>_xlfn.IFNA(IF(VLOOKUP($A159,'BU Raw Before'!A:H,1,FALSE)=$A159,VLOOKUP($A159,'BU Raw Before'!A:H,6,FALSE),0),0)</f>
        <v>1112</v>
      </c>
      <c r="J159" s="6">
        <f>_xlfn.IFNA(IF(VLOOKUP($A159,'BU Raw After'!A:H,1,FALSE)=$A159,VLOOKUP($A159,'BU Raw After'!A:H,6,FALSE),0),0)</f>
        <v>870</v>
      </c>
      <c r="K159" s="6">
        <f t="shared" si="18"/>
        <v>-242</v>
      </c>
      <c r="L159" s="7">
        <f t="shared" si="19"/>
        <v>-0.27816091954022987</v>
      </c>
      <c r="M159" s="6">
        <f>_xlfn.IFNA(IF(VLOOKUP($A159,'BU Raw Before'!A:H,1,FALSE)=$A159,VLOOKUP($A159,'BU Raw Before'!A:H,7,FALSE),0),0)</f>
        <v>3066</v>
      </c>
      <c r="N159" s="6">
        <f>_xlfn.IFNA(IF(VLOOKUP($A159,'BU Raw After'!A:H,1,FALSE)=$A159,VLOOKUP($A159,'BU Raw After'!A:H,7,FALSE),0),0)</f>
        <v>2295</v>
      </c>
      <c r="O159" s="6">
        <f t="shared" si="20"/>
        <v>-771</v>
      </c>
      <c r="P159" s="7">
        <f t="shared" si="21"/>
        <v>-0.33594771241830068</v>
      </c>
      <c r="Q159" s="6">
        <f>_xlfn.IFNA(IF(VLOOKUP($A159,'BU Raw Before'!A:H,1,FALSE)=$A159,VLOOKUP($A159,'BU Raw Before'!A:H,8,FALSE),0),0)</f>
        <v>-21928799.186500002</v>
      </c>
      <c r="R159" s="6">
        <f>_xlfn.IFNA(IF(VLOOKUP($A159,'BU Raw After'!A:H,1,FALSE)=$A159,VLOOKUP($A159,'BU Raw After'!A:H,8,FALSE),0),0)</f>
        <v>-18170517.563000001</v>
      </c>
      <c r="S159" s="6">
        <f t="shared" si="22"/>
        <v>3758281.6235000007</v>
      </c>
      <c r="T159" s="7">
        <f t="shared" si="23"/>
        <v>-0.20683404369025019</v>
      </c>
    </row>
    <row r="160" spans="1:20" ht="15" x14ac:dyDescent="0.25">
      <c r="A160" t="s">
        <v>332</v>
      </c>
      <c r="B160" t="s">
        <v>116</v>
      </c>
      <c r="C160" t="s">
        <v>286</v>
      </c>
      <c r="D160" t="s">
        <v>15</v>
      </c>
      <c r="E160" s="6">
        <f>_xlfn.IFNA(IF(VLOOKUP($A160,'BU Raw Before'!A:H,1,FALSE)=$A160,VLOOKUP($A160,'BU Raw Before'!A:H,5,FALSE),0),0)</f>
        <v>837309339.5</v>
      </c>
      <c r="F160" s="6">
        <f>_xlfn.IFNA(IF(VLOOKUP($A160,'BU Raw After'!A:H,1,FALSE)=$A160,VLOOKUP($A160,'BU Raw After'!A:H,5,FALSE),0),0)</f>
        <v>2871193047.8200002</v>
      </c>
      <c r="G160" s="6">
        <f t="shared" si="16"/>
        <v>2033883708.3200002</v>
      </c>
      <c r="H160" s="7">
        <f t="shared" si="17"/>
        <v>0.70837581257876736</v>
      </c>
      <c r="I160" s="6">
        <f>_xlfn.IFNA(IF(VLOOKUP($A160,'BU Raw Before'!A:H,1,FALSE)=$A160,VLOOKUP($A160,'BU Raw Before'!A:H,6,FALSE),0),0)</f>
        <v>2681</v>
      </c>
      <c r="J160" s="6">
        <f>_xlfn.IFNA(IF(VLOOKUP($A160,'BU Raw After'!A:H,1,FALSE)=$A160,VLOOKUP($A160,'BU Raw After'!A:H,6,FALSE),0),0)</f>
        <v>3420</v>
      </c>
      <c r="K160" s="6">
        <f t="shared" si="18"/>
        <v>739</v>
      </c>
      <c r="L160" s="7">
        <f t="shared" si="19"/>
        <v>0.21608187134502924</v>
      </c>
      <c r="M160" s="6">
        <f>_xlfn.IFNA(IF(VLOOKUP($A160,'BU Raw Before'!A:H,1,FALSE)=$A160,VLOOKUP($A160,'BU Raw Before'!A:H,7,FALSE),0),0)</f>
        <v>8243</v>
      </c>
      <c r="N160" s="6">
        <f>_xlfn.IFNA(IF(VLOOKUP($A160,'BU Raw After'!A:H,1,FALSE)=$A160,VLOOKUP($A160,'BU Raw After'!A:H,7,FALSE),0),0)</f>
        <v>10773</v>
      </c>
      <c r="O160" s="6">
        <f t="shared" si="20"/>
        <v>2530</v>
      </c>
      <c r="P160" s="7">
        <f t="shared" si="21"/>
        <v>0.23484637519725238</v>
      </c>
      <c r="Q160" s="6">
        <f>_xlfn.IFNA(IF(VLOOKUP($A160,'BU Raw Before'!A:H,1,FALSE)=$A160,VLOOKUP($A160,'BU Raw Before'!A:H,8,FALSE),0),0)</f>
        <v>-101232033.38699999</v>
      </c>
      <c r="R160" s="6">
        <f>_xlfn.IFNA(IF(VLOOKUP($A160,'BU Raw After'!A:H,1,FALSE)=$A160,VLOOKUP($A160,'BU Raw After'!A:H,8,FALSE),0),0)</f>
        <v>-133528879.7631</v>
      </c>
      <c r="S160" s="6">
        <f t="shared" si="22"/>
        <v>-32296846.376100004</v>
      </c>
      <c r="T160" s="7">
        <f t="shared" si="23"/>
        <v>0.24187161933358081</v>
      </c>
    </row>
    <row r="161" spans="1:20" ht="15" x14ac:dyDescent="0.25">
      <c r="A161" t="s">
        <v>333</v>
      </c>
      <c r="B161" t="s">
        <v>116</v>
      </c>
      <c r="C161" t="s">
        <v>286</v>
      </c>
      <c r="D161" t="s">
        <v>17</v>
      </c>
      <c r="E161" s="6">
        <f>_xlfn.IFNA(IF(VLOOKUP($A161,'BU Raw Before'!A:H,1,FALSE)=$A161,VLOOKUP($A161,'BU Raw Before'!A:H,5,FALSE),0),0)</f>
        <v>173690566.62</v>
      </c>
      <c r="F161" s="6">
        <f>_xlfn.IFNA(IF(VLOOKUP($A161,'BU Raw After'!A:H,1,FALSE)=$A161,VLOOKUP($A161,'BU Raw After'!A:H,5,FALSE),0),0)</f>
        <v>263820181.59999999</v>
      </c>
      <c r="G161" s="6">
        <f t="shared" si="16"/>
        <v>90129614.979999989</v>
      </c>
      <c r="H161" s="7">
        <f t="shared" si="17"/>
        <v>0.34163275316311126</v>
      </c>
      <c r="I161" s="6">
        <f>_xlfn.IFNA(IF(VLOOKUP($A161,'BU Raw Before'!A:H,1,FALSE)=$A161,VLOOKUP($A161,'BU Raw Before'!A:H,6,FALSE),0),0)</f>
        <v>595</v>
      </c>
      <c r="J161" s="6">
        <f>_xlfn.IFNA(IF(VLOOKUP($A161,'BU Raw After'!A:H,1,FALSE)=$A161,VLOOKUP($A161,'BU Raw After'!A:H,6,FALSE),0),0)</f>
        <v>234</v>
      </c>
      <c r="K161" s="6">
        <f t="shared" si="18"/>
        <v>-361</v>
      </c>
      <c r="L161" s="7">
        <f t="shared" si="19"/>
        <v>-1.5427350427350428</v>
      </c>
      <c r="M161" s="6">
        <f>_xlfn.IFNA(IF(VLOOKUP($A161,'BU Raw Before'!A:H,1,FALSE)=$A161,VLOOKUP($A161,'BU Raw Before'!A:H,7,FALSE),0),0)</f>
        <v>2014</v>
      </c>
      <c r="N161" s="6">
        <f>_xlfn.IFNA(IF(VLOOKUP($A161,'BU Raw After'!A:H,1,FALSE)=$A161,VLOOKUP($A161,'BU Raw After'!A:H,7,FALSE),0),0)</f>
        <v>656</v>
      </c>
      <c r="O161" s="6">
        <f t="shared" si="20"/>
        <v>-1358</v>
      </c>
      <c r="P161" s="7">
        <f t="shared" si="21"/>
        <v>-2.0701219512195124</v>
      </c>
      <c r="Q161" s="6">
        <f>_xlfn.IFNA(IF(VLOOKUP($A161,'BU Raw Before'!A:H,1,FALSE)=$A161,VLOOKUP($A161,'BU Raw Before'!A:H,8,FALSE),0),0)</f>
        <v>-17210301.861900002</v>
      </c>
      <c r="R161" s="6">
        <f>_xlfn.IFNA(IF(VLOOKUP($A161,'BU Raw After'!A:H,1,FALSE)=$A161,VLOOKUP($A161,'BU Raw After'!A:H,8,FALSE),0),0)</f>
        <v>-5247537.7224000003</v>
      </c>
      <c r="S161" s="6">
        <f t="shared" si="22"/>
        <v>11962764.139500001</v>
      </c>
      <c r="T161" s="7">
        <f t="shared" si="23"/>
        <v>-2.2796909278869828</v>
      </c>
    </row>
    <row r="162" spans="1:20" ht="15" x14ac:dyDescent="0.25">
      <c r="A162" t="s">
        <v>334</v>
      </c>
      <c r="B162" t="s">
        <v>116</v>
      </c>
      <c r="C162" t="s">
        <v>286</v>
      </c>
      <c r="D162" t="s">
        <v>19</v>
      </c>
      <c r="E162" s="6">
        <f>_xlfn.IFNA(IF(VLOOKUP($A162,'BU Raw Before'!A:H,1,FALSE)=$A162,VLOOKUP($A162,'BU Raw Before'!A:H,5,FALSE),0),0)</f>
        <v>1902608336.5699999</v>
      </c>
      <c r="F162" s="6">
        <f>_xlfn.IFNA(IF(VLOOKUP($A162,'BU Raw After'!A:H,1,FALSE)=$A162,VLOOKUP($A162,'BU Raw After'!A:H,5,FALSE),0),0)</f>
        <v>4970388402.1099997</v>
      </c>
      <c r="G162" s="6">
        <f t="shared" si="16"/>
        <v>3067780065.54</v>
      </c>
      <c r="H162" s="7">
        <f t="shared" si="17"/>
        <v>0.61721133588628285</v>
      </c>
      <c r="I162" s="6">
        <f>_xlfn.IFNA(IF(VLOOKUP($A162,'BU Raw Before'!A:H,1,FALSE)=$A162,VLOOKUP($A162,'BU Raw Before'!A:H,6,FALSE),0),0)</f>
        <v>1714</v>
      </c>
      <c r="J162" s="6">
        <f>_xlfn.IFNA(IF(VLOOKUP($A162,'BU Raw After'!A:H,1,FALSE)=$A162,VLOOKUP($A162,'BU Raw After'!A:H,6,FALSE),0),0)</f>
        <v>1919</v>
      </c>
      <c r="K162" s="6">
        <f t="shared" si="18"/>
        <v>205</v>
      </c>
      <c r="L162" s="7">
        <f t="shared" si="19"/>
        <v>0.1068264721208963</v>
      </c>
      <c r="M162" s="6">
        <f>_xlfn.IFNA(IF(VLOOKUP($A162,'BU Raw Before'!A:H,1,FALSE)=$A162,VLOOKUP($A162,'BU Raw Before'!A:H,7,FALSE),0),0)</f>
        <v>7216</v>
      </c>
      <c r="N162" s="6">
        <f>_xlfn.IFNA(IF(VLOOKUP($A162,'BU Raw After'!A:H,1,FALSE)=$A162,VLOOKUP($A162,'BU Raw After'!A:H,7,FALSE),0),0)</f>
        <v>9221</v>
      </c>
      <c r="O162" s="6">
        <f t="shared" si="20"/>
        <v>2005</v>
      </c>
      <c r="P162" s="7">
        <f t="shared" si="21"/>
        <v>0.21743845569894804</v>
      </c>
      <c r="Q162" s="6">
        <f>_xlfn.IFNA(IF(VLOOKUP($A162,'BU Raw Before'!A:H,1,FALSE)=$A162,VLOOKUP($A162,'BU Raw Before'!A:H,8,FALSE),0),0)</f>
        <v>-71580255.627700001</v>
      </c>
      <c r="R162" s="6">
        <f>_xlfn.IFNA(IF(VLOOKUP($A162,'BU Raw After'!A:H,1,FALSE)=$A162,VLOOKUP($A162,'BU Raw After'!A:H,8,FALSE),0),0)</f>
        <v>-114896876.0363</v>
      </c>
      <c r="S162" s="6">
        <f t="shared" si="22"/>
        <v>-43316620.408600003</v>
      </c>
      <c r="T162" s="7">
        <f t="shared" si="23"/>
        <v>0.3770043355653529</v>
      </c>
    </row>
    <row r="163" spans="1:20" ht="15" x14ac:dyDescent="0.25">
      <c r="A163" t="s">
        <v>335</v>
      </c>
      <c r="B163" t="s">
        <v>116</v>
      </c>
      <c r="C163" t="s">
        <v>286</v>
      </c>
      <c r="D163" t="s">
        <v>21</v>
      </c>
      <c r="E163" s="6">
        <f>_xlfn.IFNA(IF(VLOOKUP($A163,'BU Raw Before'!A:H,1,FALSE)=$A163,VLOOKUP($A163,'BU Raw Before'!A:H,5,FALSE),0),0)</f>
        <v>15200670</v>
      </c>
      <c r="F163" s="6">
        <f>_xlfn.IFNA(IF(VLOOKUP($A163,'BU Raw After'!A:H,1,FALSE)=$A163,VLOOKUP($A163,'BU Raw After'!A:H,5,FALSE),0),0)</f>
        <v>194044748.40000001</v>
      </c>
      <c r="G163" s="6">
        <f t="shared" si="16"/>
        <v>178844078.40000001</v>
      </c>
      <c r="H163" s="7">
        <f t="shared" si="17"/>
        <v>0.92166410003188726</v>
      </c>
      <c r="I163" s="6">
        <f>_xlfn.IFNA(IF(VLOOKUP($A163,'BU Raw Before'!A:H,1,FALSE)=$A163,VLOOKUP($A163,'BU Raw Before'!A:H,6,FALSE),0),0)</f>
        <v>17</v>
      </c>
      <c r="J163" s="6">
        <f>_xlfn.IFNA(IF(VLOOKUP($A163,'BU Raw After'!A:H,1,FALSE)=$A163,VLOOKUP($A163,'BU Raw After'!A:H,6,FALSE),0),0)</f>
        <v>757</v>
      </c>
      <c r="K163" s="6">
        <f t="shared" si="18"/>
        <v>740</v>
      </c>
      <c r="L163" s="7">
        <f t="shared" si="19"/>
        <v>0.97754293262879788</v>
      </c>
      <c r="M163" s="6">
        <f>_xlfn.IFNA(IF(VLOOKUP($A163,'BU Raw Before'!A:H,1,FALSE)=$A163,VLOOKUP($A163,'BU Raw Before'!A:H,7,FALSE),0),0)</f>
        <v>17</v>
      </c>
      <c r="N163" s="6">
        <f>_xlfn.IFNA(IF(VLOOKUP($A163,'BU Raw After'!A:H,1,FALSE)=$A163,VLOOKUP($A163,'BU Raw After'!A:H,7,FALSE),0),0)</f>
        <v>806</v>
      </c>
      <c r="O163" s="6">
        <f t="shared" si="20"/>
        <v>789</v>
      </c>
      <c r="P163" s="7">
        <f t="shared" si="21"/>
        <v>0.97890818858560791</v>
      </c>
      <c r="Q163" s="6">
        <f>_xlfn.IFNA(IF(VLOOKUP($A163,'BU Raw Before'!A:H,1,FALSE)=$A163,VLOOKUP($A163,'BU Raw Before'!A:H,8,FALSE),0),0)</f>
        <v>-131149.93179999999</v>
      </c>
      <c r="R163" s="6">
        <f>_xlfn.IFNA(IF(VLOOKUP($A163,'BU Raw After'!A:H,1,FALSE)=$A163,VLOOKUP($A163,'BU Raw After'!A:H,8,FALSE),0),0)</f>
        <v>-4819222.6595000001</v>
      </c>
      <c r="S163" s="6">
        <f t="shared" si="22"/>
        <v>-4688072.7276999997</v>
      </c>
      <c r="T163" s="7">
        <f t="shared" si="23"/>
        <v>0.97278608168446667</v>
      </c>
    </row>
    <row r="164" spans="1:20" ht="15" x14ac:dyDescent="0.25">
      <c r="A164" t="s">
        <v>148</v>
      </c>
      <c r="B164" t="s">
        <v>149</v>
      </c>
      <c r="C164" t="s">
        <v>6</v>
      </c>
      <c r="D164" t="s">
        <v>7</v>
      </c>
      <c r="E164" s="6">
        <f>_xlfn.IFNA(IF(VLOOKUP($A164,'BU Raw Before'!A:H,1,FALSE)=$A164,VLOOKUP($A164,'BU Raw Before'!A:H,5,FALSE),0),0)</f>
        <v>1205153079.73</v>
      </c>
      <c r="F164" s="6">
        <f>_xlfn.IFNA(IF(VLOOKUP($A164,'BU Raw After'!A:H,1,FALSE)=$A164,VLOOKUP($A164,'BU Raw After'!A:H,5,FALSE),0),0)</f>
        <v>1627649389.1500001</v>
      </c>
      <c r="G164" s="6">
        <f t="shared" si="16"/>
        <v>422496309.42000008</v>
      </c>
      <c r="H164" s="7">
        <f t="shared" si="17"/>
        <v>0.25957452030909334</v>
      </c>
      <c r="I164" s="6">
        <f>_xlfn.IFNA(IF(VLOOKUP($A164,'BU Raw Before'!A:H,1,FALSE)=$A164,VLOOKUP($A164,'BU Raw Before'!A:H,6,FALSE),0),0)</f>
        <v>6892</v>
      </c>
      <c r="J164" s="6">
        <f>_xlfn.IFNA(IF(VLOOKUP($A164,'BU Raw After'!A:H,1,FALSE)=$A164,VLOOKUP($A164,'BU Raw After'!A:H,6,FALSE),0),0)</f>
        <v>9724</v>
      </c>
      <c r="K164" s="6">
        <f t="shared" si="18"/>
        <v>2832</v>
      </c>
      <c r="L164" s="7">
        <f t="shared" si="19"/>
        <v>0.29123817359111476</v>
      </c>
      <c r="M164" s="6">
        <f>_xlfn.IFNA(IF(VLOOKUP($A164,'BU Raw Before'!A:H,1,FALSE)=$A164,VLOOKUP($A164,'BU Raw Before'!A:H,7,FALSE),0),0)</f>
        <v>7922</v>
      </c>
      <c r="N164" s="6">
        <f>_xlfn.IFNA(IF(VLOOKUP($A164,'BU Raw After'!A:H,1,FALSE)=$A164,VLOOKUP($A164,'BU Raw After'!A:H,7,FALSE),0),0)</f>
        <v>11342</v>
      </c>
      <c r="O164" s="6">
        <f t="shared" si="20"/>
        <v>3420</v>
      </c>
      <c r="P164" s="7">
        <f t="shared" si="21"/>
        <v>0.30153412096631987</v>
      </c>
      <c r="Q164" s="6">
        <f>_xlfn.IFNA(IF(VLOOKUP($A164,'BU Raw Before'!A:H,1,FALSE)=$A164,VLOOKUP($A164,'BU Raw Before'!A:H,8,FALSE),0),0)</f>
        <v>35072527</v>
      </c>
      <c r="R164" s="6">
        <f>_xlfn.IFNA(IF(VLOOKUP($A164,'BU Raw After'!A:H,1,FALSE)=$A164,VLOOKUP($A164,'BU Raw After'!A:H,8,FALSE),0),0)</f>
        <v>46800767</v>
      </c>
      <c r="S164" s="6">
        <f t="shared" si="22"/>
        <v>11728240</v>
      </c>
      <c r="T164" s="7">
        <f t="shared" si="23"/>
        <v>0.25059931175914274</v>
      </c>
    </row>
    <row r="165" spans="1:20" ht="15" x14ac:dyDescent="0.25">
      <c r="A165" t="s">
        <v>150</v>
      </c>
      <c r="B165" t="s">
        <v>149</v>
      </c>
      <c r="C165" t="s">
        <v>6</v>
      </c>
      <c r="D165" t="s">
        <v>9</v>
      </c>
      <c r="E165" s="6">
        <f>_xlfn.IFNA(IF(VLOOKUP($A165,'BU Raw Before'!A:H,1,FALSE)=$A165,VLOOKUP($A165,'BU Raw Before'!A:H,5,FALSE),0),0)</f>
        <v>32359615</v>
      </c>
      <c r="F165" s="6">
        <f>_xlfn.IFNA(IF(VLOOKUP($A165,'BU Raw After'!A:H,1,FALSE)=$A165,VLOOKUP($A165,'BU Raw After'!A:H,5,FALSE),0),0)</f>
        <v>48512636</v>
      </c>
      <c r="G165" s="6">
        <f t="shared" si="16"/>
        <v>16153021</v>
      </c>
      <c r="H165" s="7">
        <f t="shared" si="17"/>
        <v>0.33296522992483857</v>
      </c>
      <c r="I165" s="6">
        <f>_xlfn.IFNA(IF(VLOOKUP($A165,'BU Raw Before'!A:H,1,FALSE)=$A165,VLOOKUP($A165,'BU Raw Before'!A:H,6,FALSE),0),0)</f>
        <v>183</v>
      </c>
      <c r="J165" s="6">
        <f>_xlfn.IFNA(IF(VLOOKUP($A165,'BU Raw After'!A:H,1,FALSE)=$A165,VLOOKUP($A165,'BU Raw After'!A:H,6,FALSE),0),0)</f>
        <v>235</v>
      </c>
      <c r="K165" s="6">
        <f t="shared" si="18"/>
        <v>52</v>
      </c>
      <c r="L165" s="7">
        <f t="shared" si="19"/>
        <v>0.22127659574468084</v>
      </c>
      <c r="M165" s="6">
        <f>_xlfn.IFNA(IF(VLOOKUP($A165,'BU Raw Before'!A:H,1,FALSE)=$A165,VLOOKUP($A165,'BU Raw Before'!A:H,7,FALSE),0),0)</f>
        <v>348</v>
      </c>
      <c r="N165" s="6">
        <f>_xlfn.IFNA(IF(VLOOKUP($A165,'BU Raw After'!A:H,1,FALSE)=$A165,VLOOKUP($A165,'BU Raw After'!A:H,7,FALSE),0),0)</f>
        <v>499</v>
      </c>
      <c r="O165" s="6">
        <f t="shared" si="20"/>
        <v>151</v>
      </c>
      <c r="P165" s="7">
        <f t="shared" si="21"/>
        <v>0.30260521042084171</v>
      </c>
      <c r="Q165" s="6">
        <f>_xlfn.IFNA(IF(VLOOKUP($A165,'BU Raw Before'!A:H,1,FALSE)=$A165,VLOOKUP($A165,'BU Raw Before'!A:H,8,FALSE),0),0)</f>
        <v>2582142.5</v>
      </c>
      <c r="R165" s="6">
        <f>_xlfn.IFNA(IF(VLOOKUP($A165,'BU Raw After'!A:H,1,FALSE)=$A165,VLOOKUP($A165,'BU Raw After'!A:H,8,FALSE),0),0)</f>
        <v>4058253.5</v>
      </c>
      <c r="S165" s="6">
        <f t="shared" si="22"/>
        <v>1476111</v>
      </c>
      <c r="T165" s="7">
        <f t="shared" si="23"/>
        <v>0.36373060480327313</v>
      </c>
    </row>
    <row r="166" spans="1:20" ht="15" x14ac:dyDescent="0.25">
      <c r="A166" t="s">
        <v>151</v>
      </c>
      <c r="B166" t="s">
        <v>149</v>
      </c>
      <c r="C166" t="s">
        <v>6</v>
      </c>
      <c r="D166" t="s">
        <v>11</v>
      </c>
      <c r="E166" s="6">
        <f>_xlfn.IFNA(IF(VLOOKUP($A166,'BU Raw Before'!A:H,1,FALSE)=$A166,VLOOKUP($A166,'BU Raw Before'!A:H,5,FALSE),0),0)</f>
        <v>7395593.6699999999</v>
      </c>
      <c r="F166" s="6">
        <f>_xlfn.IFNA(IF(VLOOKUP($A166,'BU Raw After'!A:H,1,FALSE)=$A166,VLOOKUP($A166,'BU Raw After'!A:H,5,FALSE),0),0)</f>
        <v>12993732</v>
      </c>
      <c r="G166" s="6">
        <f t="shared" si="16"/>
        <v>5598138.3300000001</v>
      </c>
      <c r="H166" s="7">
        <f t="shared" si="17"/>
        <v>0.43083375353593562</v>
      </c>
      <c r="I166" s="6">
        <f>_xlfn.IFNA(IF(VLOOKUP($A166,'BU Raw Before'!A:H,1,FALSE)=$A166,VLOOKUP($A166,'BU Raw Before'!A:H,6,FALSE),0),0)</f>
        <v>41</v>
      </c>
      <c r="J166" s="6">
        <f>_xlfn.IFNA(IF(VLOOKUP($A166,'BU Raw After'!A:H,1,FALSE)=$A166,VLOOKUP($A166,'BU Raw After'!A:H,6,FALSE),0),0)</f>
        <v>64</v>
      </c>
      <c r="K166" s="6">
        <f t="shared" si="18"/>
        <v>23</v>
      </c>
      <c r="L166" s="7">
        <f t="shared" si="19"/>
        <v>0.359375</v>
      </c>
      <c r="M166" s="6">
        <f>_xlfn.IFNA(IF(VLOOKUP($A166,'BU Raw Before'!A:H,1,FALSE)=$A166,VLOOKUP($A166,'BU Raw Before'!A:H,7,FALSE),0),0)</f>
        <v>110</v>
      </c>
      <c r="N166" s="6">
        <f>_xlfn.IFNA(IF(VLOOKUP($A166,'BU Raw After'!A:H,1,FALSE)=$A166,VLOOKUP($A166,'BU Raw After'!A:H,7,FALSE),0),0)</f>
        <v>198</v>
      </c>
      <c r="O166" s="6">
        <f t="shared" si="20"/>
        <v>88</v>
      </c>
      <c r="P166" s="7">
        <f t="shared" si="21"/>
        <v>0.44444444444444442</v>
      </c>
      <c r="Q166" s="6">
        <f>_xlfn.IFNA(IF(VLOOKUP($A166,'BU Raw Before'!A:H,1,FALSE)=$A166,VLOOKUP($A166,'BU Raw Before'!A:H,8,FALSE),0),0)</f>
        <v>710416</v>
      </c>
      <c r="R166" s="6">
        <f>_xlfn.IFNA(IF(VLOOKUP($A166,'BU Raw After'!A:H,1,FALSE)=$A166,VLOOKUP($A166,'BU Raw After'!A:H,8,FALSE),0),0)</f>
        <v>1239612</v>
      </c>
      <c r="S166" s="6">
        <f t="shared" si="22"/>
        <v>529196</v>
      </c>
      <c r="T166" s="7">
        <f t="shared" si="23"/>
        <v>0.42690454755197593</v>
      </c>
    </row>
    <row r="167" spans="1:20" ht="15" x14ac:dyDescent="0.25">
      <c r="A167" t="s">
        <v>152</v>
      </c>
      <c r="B167" t="s">
        <v>149</v>
      </c>
      <c r="C167" t="s">
        <v>6</v>
      </c>
      <c r="D167" t="s">
        <v>13</v>
      </c>
      <c r="E167" s="6">
        <f>_xlfn.IFNA(IF(VLOOKUP($A167,'BU Raw Before'!A:H,1,FALSE)=$A167,VLOOKUP($A167,'BU Raw Before'!A:H,5,FALSE),0),0)</f>
        <v>4271912</v>
      </c>
      <c r="F167" s="6">
        <f>_xlfn.IFNA(IF(VLOOKUP($A167,'BU Raw After'!A:H,1,FALSE)=$A167,VLOOKUP($A167,'BU Raw After'!A:H,5,FALSE),0),0)</f>
        <v>35869941</v>
      </c>
      <c r="G167" s="6">
        <f t="shared" si="16"/>
        <v>31598029</v>
      </c>
      <c r="H167" s="7">
        <f t="shared" si="17"/>
        <v>0.88090551919223958</v>
      </c>
      <c r="I167" s="6">
        <f>_xlfn.IFNA(IF(VLOOKUP($A167,'BU Raw Before'!A:H,1,FALSE)=$A167,VLOOKUP($A167,'BU Raw Before'!A:H,6,FALSE),0),0)</f>
        <v>29</v>
      </c>
      <c r="J167" s="6">
        <f>_xlfn.IFNA(IF(VLOOKUP($A167,'BU Raw After'!A:H,1,FALSE)=$A167,VLOOKUP($A167,'BU Raw After'!A:H,6,FALSE),0),0)</f>
        <v>30</v>
      </c>
      <c r="K167" s="6">
        <f t="shared" si="18"/>
        <v>1</v>
      </c>
      <c r="L167" s="7">
        <f t="shared" si="19"/>
        <v>3.3333333333333333E-2</v>
      </c>
      <c r="M167" s="6">
        <f>_xlfn.IFNA(IF(VLOOKUP($A167,'BU Raw Before'!A:H,1,FALSE)=$A167,VLOOKUP($A167,'BU Raw Before'!A:H,7,FALSE),0),0)</f>
        <v>88</v>
      </c>
      <c r="N167" s="6">
        <f>_xlfn.IFNA(IF(VLOOKUP($A167,'BU Raw After'!A:H,1,FALSE)=$A167,VLOOKUP($A167,'BU Raw After'!A:H,7,FALSE),0),0)</f>
        <v>107</v>
      </c>
      <c r="O167" s="6">
        <f t="shared" si="20"/>
        <v>19</v>
      </c>
      <c r="P167" s="7">
        <f t="shared" si="21"/>
        <v>0.17757009345794392</v>
      </c>
      <c r="Q167" s="6">
        <f>_xlfn.IFNA(IF(VLOOKUP($A167,'BU Raw Before'!A:H,1,FALSE)=$A167,VLOOKUP($A167,'BU Raw Before'!A:H,8,FALSE),0),0)</f>
        <v>453115.5</v>
      </c>
      <c r="R167" s="6">
        <f>_xlfn.IFNA(IF(VLOOKUP($A167,'BU Raw After'!A:H,1,FALSE)=$A167,VLOOKUP($A167,'BU Raw After'!A:H,8,FALSE),0),0)</f>
        <v>517658.5</v>
      </c>
      <c r="S167" s="6">
        <f t="shared" si="22"/>
        <v>64543</v>
      </c>
      <c r="T167" s="7">
        <f t="shared" si="23"/>
        <v>0.12468258514058979</v>
      </c>
    </row>
    <row r="168" spans="1:20" ht="15" x14ac:dyDescent="0.25">
      <c r="A168" t="s">
        <v>153</v>
      </c>
      <c r="B168" t="s">
        <v>149</v>
      </c>
      <c r="C168" t="s">
        <v>6</v>
      </c>
      <c r="D168" t="s">
        <v>15</v>
      </c>
      <c r="E168" s="6">
        <f>_xlfn.IFNA(IF(VLOOKUP($A168,'BU Raw Before'!A:H,1,FALSE)=$A168,VLOOKUP($A168,'BU Raw Before'!A:H,5,FALSE),0),0)</f>
        <v>5823290</v>
      </c>
      <c r="F168" s="6">
        <f>_xlfn.IFNA(IF(VLOOKUP($A168,'BU Raw After'!A:H,1,FALSE)=$A168,VLOOKUP($A168,'BU Raw After'!A:H,5,FALSE),0),0)</f>
        <v>6924078</v>
      </c>
      <c r="G168" s="6">
        <f t="shared" si="16"/>
        <v>1100788</v>
      </c>
      <c r="H168" s="7">
        <f t="shared" si="17"/>
        <v>0.15897972264321691</v>
      </c>
      <c r="I168" s="6">
        <f>_xlfn.IFNA(IF(VLOOKUP($A168,'BU Raw Before'!A:H,1,FALSE)=$A168,VLOOKUP($A168,'BU Raw Before'!A:H,6,FALSE),0),0)</f>
        <v>10</v>
      </c>
      <c r="J168" s="6">
        <f>_xlfn.IFNA(IF(VLOOKUP($A168,'BU Raw After'!A:H,1,FALSE)=$A168,VLOOKUP($A168,'BU Raw After'!A:H,6,FALSE),0),0)</f>
        <v>16</v>
      </c>
      <c r="K168" s="6">
        <f t="shared" si="18"/>
        <v>6</v>
      </c>
      <c r="L168" s="7">
        <f t="shared" si="19"/>
        <v>0.375</v>
      </c>
      <c r="M168" s="6">
        <f>_xlfn.IFNA(IF(VLOOKUP($A168,'BU Raw Before'!A:H,1,FALSE)=$A168,VLOOKUP($A168,'BU Raw Before'!A:H,7,FALSE),0),0)</f>
        <v>24</v>
      </c>
      <c r="N168" s="6">
        <f>_xlfn.IFNA(IF(VLOOKUP($A168,'BU Raw After'!A:H,1,FALSE)=$A168,VLOOKUP($A168,'BU Raw After'!A:H,7,FALSE),0),0)</f>
        <v>47</v>
      </c>
      <c r="O168" s="6">
        <f t="shared" si="20"/>
        <v>23</v>
      </c>
      <c r="P168" s="7">
        <f t="shared" si="21"/>
        <v>0.48936170212765956</v>
      </c>
      <c r="Q168" s="6">
        <f>_xlfn.IFNA(IF(VLOOKUP($A168,'BU Raw Before'!A:H,1,FALSE)=$A168,VLOOKUP($A168,'BU Raw Before'!A:H,8,FALSE),0),0)</f>
        <v>246133</v>
      </c>
      <c r="R168" s="6">
        <f>_xlfn.IFNA(IF(VLOOKUP($A168,'BU Raw After'!A:H,1,FALSE)=$A168,VLOOKUP($A168,'BU Raw After'!A:H,8,FALSE),0),0)</f>
        <v>697342</v>
      </c>
      <c r="S168" s="6">
        <f t="shared" si="22"/>
        <v>451209</v>
      </c>
      <c r="T168" s="7">
        <f t="shared" si="23"/>
        <v>0.6470411935606919</v>
      </c>
    </row>
    <row r="169" spans="1:20" ht="15" x14ac:dyDescent="0.25">
      <c r="A169" t="s">
        <v>154</v>
      </c>
      <c r="B169" t="s">
        <v>149</v>
      </c>
      <c r="C169" t="s">
        <v>6</v>
      </c>
      <c r="D169" t="s">
        <v>17</v>
      </c>
      <c r="E169" s="6">
        <f>_xlfn.IFNA(IF(VLOOKUP($A169,'BU Raw Before'!A:H,1,FALSE)=$A169,VLOOKUP($A169,'BU Raw Before'!A:H,5,FALSE),0),0)</f>
        <v>7029768.71</v>
      </c>
      <c r="F169" s="6">
        <f>_xlfn.IFNA(IF(VLOOKUP($A169,'BU Raw After'!A:H,1,FALSE)=$A169,VLOOKUP($A169,'BU Raw After'!A:H,5,FALSE),0),0)</f>
        <v>14179450</v>
      </c>
      <c r="G169" s="6">
        <f t="shared" si="16"/>
        <v>7149681.29</v>
      </c>
      <c r="H169" s="7">
        <f t="shared" si="17"/>
        <v>0.5042283932028393</v>
      </c>
      <c r="I169" s="6">
        <f>_xlfn.IFNA(IF(VLOOKUP($A169,'BU Raw Before'!A:H,1,FALSE)=$A169,VLOOKUP($A169,'BU Raw Before'!A:H,6,FALSE),0),0)</f>
        <v>8</v>
      </c>
      <c r="J169" s="6">
        <f>_xlfn.IFNA(IF(VLOOKUP($A169,'BU Raw After'!A:H,1,FALSE)=$A169,VLOOKUP($A169,'BU Raw After'!A:H,6,FALSE),0),0)</f>
        <v>15</v>
      </c>
      <c r="K169" s="6">
        <f t="shared" si="18"/>
        <v>7</v>
      </c>
      <c r="L169" s="7">
        <f t="shared" si="19"/>
        <v>0.46666666666666667</v>
      </c>
      <c r="M169" s="6">
        <f>_xlfn.IFNA(IF(VLOOKUP($A169,'BU Raw Before'!A:H,1,FALSE)=$A169,VLOOKUP($A169,'BU Raw Before'!A:H,7,FALSE),0),0)</f>
        <v>17</v>
      </c>
      <c r="N169" s="6">
        <f>_xlfn.IFNA(IF(VLOOKUP($A169,'BU Raw After'!A:H,1,FALSE)=$A169,VLOOKUP($A169,'BU Raw After'!A:H,7,FALSE),0),0)</f>
        <v>28</v>
      </c>
      <c r="O169" s="6">
        <f t="shared" si="20"/>
        <v>11</v>
      </c>
      <c r="P169" s="7">
        <f t="shared" si="21"/>
        <v>0.39285714285714285</v>
      </c>
      <c r="Q169" s="6">
        <f>_xlfn.IFNA(IF(VLOOKUP($A169,'BU Raw Before'!A:H,1,FALSE)=$A169,VLOOKUP($A169,'BU Raw Before'!A:H,8,FALSE),0),0)</f>
        <v>118187.5</v>
      </c>
      <c r="R169" s="6">
        <f>_xlfn.IFNA(IF(VLOOKUP($A169,'BU Raw After'!A:H,1,FALSE)=$A169,VLOOKUP($A169,'BU Raw After'!A:H,8,FALSE),0),0)</f>
        <v>291448</v>
      </c>
      <c r="S169" s="6">
        <f t="shared" si="22"/>
        <v>173260.5</v>
      </c>
      <c r="T169" s="7">
        <f t="shared" si="23"/>
        <v>0.59448169141665064</v>
      </c>
    </row>
    <row r="170" spans="1:20" ht="15" x14ac:dyDescent="0.25">
      <c r="A170" t="s">
        <v>155</v>
      </c>
      <c r="B170" t="s">
        <v>149</v>
      </c>
      <c r="C170" t="s">
        <v>6</v>
      </c>
      <c r="D170" t="s">
        <v>19</v>
      </c>
      <c r="E170" s="6">
        <f>_xlfn.IFNA(IF(VLOOKUP($A170,'BU Raw Before'!A:H,1,FALSE)=$A170,VLOOKUP($A170,'BU Raw Before'!A:H,5,FALSE),0),0)</f>
        <v>3026250</v>
      </c>
      <c r="F170" s="6">
        <f>_xlfn.IFNA(IF(VLOOKUP($A170,'BU Raw After'!A:H,1,FALSE)=$A170,VLOOKUP($A170,'BU Raw After'!A:H,5,FALSE),0),0)</f>
        <v>11167740</v>
      </c>
      <c r="G170" s="6">
        <f t="shared" si="16"/>
        <v>8141490</v>
      </c>
      <c r="H170" s="7">
        <f t="shared" si="17"/>
        <v>0.72901858388536978</v>
      </c>
      <c r="I170" s="6">
        <f>_xlfn.IFNA(IF(VLOOKUP($A170,'BU Raw Before'!A:H,1,FALSE)=$A170,VLOOKUP($A170,'BU Raw Before'!A:H,6,FALSE),0),0)</f>
        <v>9</v>
      </c>
      <c r="J170" s="6">
        <f>_xlfn.IFNA(IF(VLOOKUP($A170,'BU Raw After'!A:H,1,FALSE)=$A170,VLOOKUP($A170,'BU Raw After'!A:H,6,FALSE),0),0)</f>
        <v>15</v>
      </c>
      <c r="K170" s="6">
        <f t="shared" si="18"/>
        <v>6</v>
      </c>
      <c r="L170" s="7">
        <f t="shared" si="19"/>
        <v>0.4</v>
      </c>
      <c r="M170" s="6">
        <f>_xlfn.IFNA(IF(VLOOKUP($A170,'BU Raw Before'!A:H,1,FALSE)=$A170,VLOOKUP($A170,'BU Raw Before'!A:H,7,FALSE),0),0)</f>
        <v>71</v>
      </c>
      <c r="N170" s="6">
        <f>_xlfn.IFNA(IF(VLOOKUP($A170,'BU Raw After'!A:H,1,FALSE)=$A170,VLOOKUP($A170,'BU Raw After'!A:H,7,FALSE),0),0)</f>
        <v>62</v>
      </c>
      <c r="O170" s="6">
        <f t="shared" si="20"/>
        <v>-9</v>
      </c>
      <c r="P170" s="7">
        <f t="shared" si="21"/>
        <v>-0.14516129032258066</v>
      </c>
      <c r="Q170" s="6">
        <f>_xlfn.IFNA(IF(VLOOKUP($A170,'BU Raw Before'!A:H,1,FALSE)=$A170,VLOOKUP($A170,'BU Raw Before'!A:H,8,FALSE),0),0)</f>
        <v>459841.5</v>
      </c>
      <c r="R170" s="6">
        <f>_xlfn.IFNA(IF(VLOOKUP($A170,'BU Raw After'!A:H,1,FALSE)=$A170,VLOOKUP($A170,'BU Raw After'!A:H,8,FALSE),0),0)</f>
        <v>640358.5</v>
      </c>
      <c r="S170" s="6">
        <f t="shared" si="22"/>
        <v>180517</v>
      </c>
      <c r="T170" s="7">
        <f t="shared" si="23"/>
        <v>0.28189990450661623</v>
      </c>
    </row>
    <row r="171" spans="1:20" ht="15" x14ac:dyDescent="0.25">
      <c r="A171" t="s">
        <v>156</v>
      </c>
      <c r="B171" t="s">
        <v>149</v>
      </c>
      <c r="C171" t="s">
        <v>6</v>
      </c>
      <c r="D171" t="s">
        <v>21</v>
      </c>
      <c r="E171" s="6">
        <f>_xlfn.IFNA(IF(VLOOKUP($A171,'BU Raw Before'!A:H,1,FALSE)=$A171,VLOOKUP($A171,'BU Raw Before'!A:H,5,FALSE),0),0)</f>
        <v>33724118.770000003</v>
      </c>
      <c r="F171" s="6">
        <f>_xlfn.IFNA(IF(VLOOKUP($A171,'BU Raw After'!A:H,1,FALSE)=$A171,VLOOKUP($A171,'BU Raw After'!A:H,5,FALSE),0),0)</f>
        <v>44921779.009999998</v>
      </c>
      <c r="G171" s="6">
        <f t="shared" si="16"/>
        <v>11197660.239999995</v>
      </c>
      <c r="H171" s="7">
        <f t="shared" si="17"/>
        <v>0.24927018668399784</v>
      </c>
      <c r="I171" s="6">
        <f>_xlfn.IFNA(IF(VLOOKUP($A171,'BU Raw Before'!A:H,1,FALSE)=$A171,VLOOKUP($A171,'BU Raw Before'!A:H,6,FALSE),0),0)</f>
        <v>255</v>
      </c>
      <c r="J171" s="6">
        <f>_xlfn.IFNA(IF(VLOOKUP($A171,'BU Raw After'!A:H,1,FALSE)=$A171,VLOOKUP($A171,'BU Raw After'!A:H,6,FALSE),0),0)</f>
        <v>747</v>
      </c>
      <c r="K171" s="6">
        <f t="shared" si="18"/>
        <v>492</v>
      </c>
      <c r="L171" s="7">
        <f t="shared" si="19"/>
        <v>0.65863453815261042</v>
      </c>
      <c r="M171" s="6">
        <f>_xlfn.IFNA(IF(VLOOKUP($A171,'BU Raw Before'!A:H,1,FALSE)=$A171,VLOOKUP($A171,'BU Raw Before'!A:H,7,FALSE),0),0)</f>
        <v>256</v>
      </c>
      <c r="N171" s="6">
        <f>_xlfn.IFNA(IF(VLOOKUP($A171,'BU Raw After'!A:H,1,FALSE)=$A171,VLOOKUP($A171,'BU Raw After'!A:H,7,FALSE),0),0)</f>
        <v>769</v>
      </c>
      <c r="O171" s="6">
        <f t="shared" si="20"/>
        <v>513</v>
      </c>
      <c r="P171" s="7">
        <f t="shared" si="21"/>
        <v>0.6671001300390117</v>
      </c>
      <c r="Q171" s="6">
        <f>_xlfn.IFNA(IF(VLOOKUP($A171,'BU Raw Before'!A:H,1,FALSE)=$A171,VLOOKUP($A171,'BU Raw Before'!A:H,8,FALSE),0),0)</f>
        <v>-6246988</v>
      </c>
      <c r="R171" s="6">
        <f>_xlfn.IFNA(IF(VLOOKUP($A171,'BU Raw After'!A:H,1,FALSE)=$A171,VLOOKUP($A171,'BU Raw After'!A:H,8,FALSE),0),0)</f>
        <v>-18027158.5</v>
      </c>
      <c r="S171" s="6">
        <f t="shared" si="22"/>
        <v>-11780170.5</v>
      </c>
      <c r="T171" s="7">
        <f t="shared" si="23"/>
        <v>0.65346796057737</v>
      </c>
    </row>
    <row r="172" spans="1:20" ht="15" x14ac:dyDescent="0.25">
      <c r="A172" t="s">
        <v>157</v>
      </c>
      <c r="B172" t="s">
        <v>149</v>
      </c>
      <c r="C172" t="s">
        <v>23</v>
      </c>
      <c r="D172" t="s">
        <v>7</v>
      </c>
      <c r="E172" s="6">
        <f>_xlfn.IFNA(IF(VLOOKUP($A172,'BU Raw Before'!A:H,1,FALSE)=$A172,VLOOKUP($A172,'BU Raw Before'!A:H,5,FALSE),0),0)</f>
        <v>444372265.07999998</v>
      </c>
      <c r="F172" s="6">
        <f>_xlfn.IFNA(IF(VLOOKUP($A172,'BU Raw After'!A:H,1,FALSE)=$A172,VLOOKUP($A172,'BU Raw After'!A:H,5,FALSE),0),0)</f>
        <v>544393349.54999995</v>
      </c>
      <c r="G172" s="6">
        <f t="shared" si="16"/>
        <v>100021084.46999997</v>
      </c>
      <c r="H172" s="7">
        <f t="shared" si="17"/>
        <v>0.18372943856253612</v>
      </c>
      <c r="I172" s="6">
        <f>_xlfn.IFNA(IF(VLOOKUP($A172,'BU Raw Before'!A:H,1,FALSE)=$A172,VLOOKUP($A172,'BU Raw Before'!A:H,6,FALSE),0),0)</f>
        <v>2640</v>
      </c>
      <c r="J172" s="6">
        <f>_xlfn.IFNA(IF(VLOOKUP($A172,'BU Raw After'!A:H,1,FALSE)=$A172,VLOOKUP($A172,'BU Raw After'!A:H,6,FALSE),0),0)</f>
        <v>3328</v>
      </c>
      <c r="K172" s="6">
        <f t="shared" si="18"/>
        <v>688</v>
      </c>
      <c r="L172" s="7">
        <f t="shared" si="19"/>
        <v>0.20673076923076922</v>
      </c>
      <c r="M172" s="6">
        <f>_xlfn.IFNA(IF(VLOOKUP($A172,'BU Raw Before'!A:H,1,FALSE)=$A172,VLOOKUP($A172,'BU Raw Before'!A:H,7,FALSE),0),0)</f>
        <v>3014</v>
      </c>
      <c r="N172" s="6">
        <f>_xlfn.IFNA(IF(VLOOKUP($A172,'BU Raw After'!A:H,1,FALSE)=$A172,VLOOKUP($A172,'BU Raw After'!A:H,7,FALSE),0),0)</f>
        <v>3766</v>
      </c>
      <c r="O172" s="6">
        <f t="shared" si="20"/>
        <v>752</v>
      </c>
      <c r="P172" s="7">
        <f t="shared" si="21"/>
        <v>0.19968135953266064</v>
      </c>
      <c r="Q172" s="6">
        <f>_xlfn.IFNA(IF(VLOOKUP($A172,'BU Raw Before'!A:H,1,FALSE)=$A172,VLOOKUP($A172,'BU Raw Before'!A:H,8,FALSE),0),0)</f>
        <v>11533407</v>
      </c>
      <c r="R172" s="6">
        <f>_xlfn.IFNA(IF(VLOOKUP($A172,'BU Raw After'!A:H,1,FALSE)=$A172,VLOOKUP($A172,'BU Raw After'!A:H,8,FALSE),0),0)</f>
        <v>15291337</v>
      </c>
      <c r="S172" s="6">
        <f t="shared" si="22"/>
        <v>3757930</v>
      </c>
      <c r="T172" s="7">
        <f t="shared" si="23"/>
        <v>0.24575548887582557</v>
      </c>
    </row>
    <row r="173" spans="1:20" ht="15" x14ac:dyDescent="0.25">
      <c r="A173" t="s">
        <v>158</v>
      </c>
      <c r="B173" t="s">
        <v>149</v>
      </c>
      <c r="C173" t="s">
        <v>23</v>
      </c>
      <c r="D173" t="s">
        <v>9</v>
      </c>
      <c r="E173" s="6">
        <f>_xlfn.IFNA(IF(VLOOKUP($A173,'BU Raw Before'!A:H,1,FALSE)=$A173,VLOOKUP($A173,'BU Raw Before'!A:H,5,FALSE),0),0)</f>
        <v>10721340</v>
      </c>
      <c r="F173" s="6">
        <f>_xlfn.IFNA(IF(VLOOKUP($A173,'BU Raw After'!A:H,1,FALSE)=$A173,VLOOKUP($A173,'BU Raw After'!A:H,5,FALSE),0),0)</f>
        <v>10872344</v>
      </c>
      <c r="G173" s="6">
        <f t="shared" si="16"/>
        <v>151004</v>
      </c>
      <c r="H173" s="7">
        <f t="shared" si="17"/>
        <v>1.3888817351621693E-2</v>
      </c>
      <c r="I173" s="6">
        <f>_xlfn.IFNA(IF(VLOOKUP($A173,'BU Raw Before'!A:H,1,FALSE)=$A173,VLOOKUP($A173,'BU Raw Before'!A:H,6,FALSE),0),0)</f>
        <v>72</v>
      </c>
      <c r="J173" s="6">
        <f>_xlfn.IFNA(IF(VLOOKUP($A173,'BU Raw After'!A:H,1,FALSE)=$A173,VLOOKUP($A173,'BU Raw After'!A:H,6,FALSE),0),0)</f>
        <v>71</v>
      </c>
      <c r="K173" s="6">
        <f t="shared" si="18"/>
        <v>-1</v>
      </c>
      <c r="L173" s="7">
        <f t="shared" si="19"/>
        <v>-1.4084507042253521E-2</v>
      </c>
      <c r="M173" s="6">
        <f>_xlfn.IFNA(IF(VLOOKUP($A173,'BU Raw Before'!A:H,1,FALSE)=$A173,VLOOKUP($A173,'BU Raw Before'!A:H,7,FALSE),0),0)</f>
        <v>142</v>
      </c>
      <c r="N173" s="6">
        <f>_xlfn.IFNA(IF(VLOOKUP($A173,'BU Raw After'!A:H,1,FALSE)=$A173,VLOOKUP($A173,'BU Raw After'!A:H,7,FALSE),0),0)</f>
        <v>144</v>
      </c>
      <c r="O173" s="6">
        <f t="shared" si="20"/>
        <v>2</v>
      </c>
      <c r="P173" s="7">
        <f t="shared" si="21"/>
        <v>1.3888888888888888E-2</v>
      </c>
      <c r="Q173" s="6">
        <f>_xlfn.IFNA(IF(VLOOKUP($A173,'BU Raw Before'!A:H,1,FALSE)=$A173,VLOOKUP($A173,'BU Raw Before'!A:H,8,FALSE),0),0)</f>
        <v>918554</v>
      </c>
      <c r="R173" s="6">
        <f>_xlfn.IFNA(IF(VLOOKUP($A173,'BU Raw After'!A:H,1,FALSE)=$A173,VLOOKUP($A173,'BU Raw After'!A:H,8,FALSE),0),0)</f>
        <v>1103742.5</v>
      </c>
      <c r="S173" s="6">
        <f t="shared" si="22"/>
        <v>185188.5</v>
      </c>
      <c r="T173" s="7">
        <f t="shared" si="23"/>
        <v>0.16778234053685528</v>
      </c>
    </row>
    <row r="174" spans="1:20" ht="15" x14ac:dyDescent="0.25">
      <c r="A174" t="s">
        <v>159</v>
      </c>
      <c r="B174" t="s">
        <v>149</v>
      </c>
      <c r="C174" t="s">
        <v>23</v>
      </c>
      <c r="D174" t="s">
        <v>11</v>
      </c>
      <c r="E174" s="6">
        <f>_xlfn.IFNA(IF(VLOOKUP($A174,'BU Raw Before'!A:H,1,FALSE)=$A174,VLOOKUP($A174,'BU Raw Before'!A:H,5,FALSE),0),0)</f>
        <v>2229049.4500000002</v>
      </c>
      <c r="F174" s="6">
        <f>_xlfn.IFNA(IF(VLOOKUP($A174,'BU Raw After'!A:H,1,FALSE)=$A174,VLOOKUP($A174,'BU Raw After'!A:H,5,FALSE),0),0)</f>
        <v>2698786</v>
      </c>
      <c r="G174" s="6">
        <f t="shared" si="16"/>
        <v>469736.54999999981</v>
      </c>
      <c r="H174" s="7">
        <f t="shared" si="17"/>
        <v>0.17405476017735375</v>
      </c>
      <c r="I174" s="6">
        <f>_xlfn.IFNA(IF(VLOOKUP($A174,'BU Raw Before'!A:H,1,FALSE)=$A174,VLOOKUP($A174,'BU Raw Before'!A:H,6,FALSE),0),0)</f>
        <v>15</v>
      </c>
      <c r="J174" s="6">
        <f>_xlfn.IFNA(IF(VLOOKUP($A174,'BU Raw After'!A:H,1,FALSE)=$A174,VLOOKUP($A174,'BU Raw After'!A:H,6,FALSE),0),0)</f>
        <v>19</v>
      </c>
      <c r="K174" s="6">
        <f t="shared" si="18"/>
        <v>4</v>
      </c>
      <c r="L174" s="7">
        <f t="shared" si="19"/>
        <v>0.21052631578947367</v>
      </c>
      <c r="M174" s="6">
        <f>_xlfn.IFNA(IF(VLOOKUP($A174,'BU Raw Before'!A:H,1,FALSE)=$A174,VLOOKUP($A174,'BU Raw Before'!A:H,7,FALSE),0),0)</f>
        <v>49</v>
      </c>
      <c r="N174" s="6">
        <f>_xlfn.IFNA(IF(VLOOKUP($A174,'BU Raw After'!A:H,1,FALSE)=$A174,VLOOKUP($A174,'BU Raw After'!A:H,7,FALSE),0),0)</f>
        <v>56</v>
      </c>
      <c r="O174" s="6">
        <f t="shared" si="20"/>
        <v>7</v>
      </c>
      <c r="P174" s="7">
        <f t="shared" si="21"/>
        <v>0.125</v>
      </c>
      <c r="Q174" s="6">
        <f>_xlfn.IFNA(IF(VLOOKUP($A174,'BU Raw Before'!A:H,1,FALSE)=$A174,VLOOKUP($A174,'BU Raw Before'!A:H,8,FALSE),0),0)</f>
        <v>315570</v>
      </c>
      <c r="R174" s="6">
        <f>_xlfn.IFNA(IF(VLOOKUP($A174,'BU Raw After'!A:H,1,FALSE)=$A174,VLOOKUP($A174,'BU Raw After'!A:H,8,FALSE),0),0)</f>
        <v>413480</v>
      </c>
      <c r="S174" s="6">
        <f t="shared" si="22"/>
        <v>97910</v>
      </c>
      <c r="T174" s="7">
        <f t="shared" si="23"/>
        <v>0.23679500822288865</v>
      </c>
    </row>
    <row r="175" spans="1:20" ht="15" x14ac:dyDescent="0.25">
      <c r="A175" t="s">
        <v>160</v>
      </c>
      <c r="B175" t="s">
        <v>149</v>
      </c>
      <c r="C175" t="s">
        <v>23</v>
      </c>
      <c r="D175" t="s">
        <v>13</v>
      </c>
      <c r="E175" s="6">
        <f>_xlfn.IFNA(IF(VLOOKUP($A175,'BU Raw Before'!A:H,1,FALSE)=$A175,VLOOKUP($A175,'BU Raw Before'!A:H,5,FALSE),0),0)</f>
        <v>1097395</v>
      </c>
      <c r="F175" s="6">
        <f>_xlfn.IFNA(IF(VLOOKUP($A175,'BU Raw After'!A:H,1,FALSE)=$A175,VLOOKUP($A175,'BU Raw After'!A:H,5,FALSE),0),0)</f>
        <v>4691266</v>
      </c>
      <c r="G175" s="6">
        <f t="shared" si="16"/>
        <v>3593871</v>
      </c>
      <c r="H175" s="7">
        <f t="shared" si="17"/>
        <v>0.76607700352101116</v>
      </c>
      <c r="I175" s="6">
        <f>_xlfn.IFNA(IF(VLOOKUP($A175,'BU Raw Before'!A:H,1,FALSE)=$A175,VLOOKUP($A175,'BU Raw Before'!A:H,6,FALSE),0),0)</f>
        <v>9</v>
      </c>
      <c r="J175" s="6">
        <f>_xlfn.IFNA(IF(VLOOKUP($A175,'BU Raw After'!A:H,1,FALSE)=$A175,VLOOKUP($A175,'BU Raw After'!A:H,6,FALSE),0),0)</f>
        <v>15</v>
      </c>
      <c r="K175" s="6">
        <f t="shared" si="18"/>
        <v>6</v>
      </c>
      <c r="L175" s="7">
        <f t="shared" si="19"/>
        <v>0.4</v>
      </c>
      <c r="M175" s="6">
        <f>_xlfn.IFNA(IF(VLOOKUP($A175,'BU Raw Before'!A:H,1,FALSE)=$A175,VLOOKUP($A175,'BU Raw Before'!A:H,7,FALSE),0),0)</f>
        <v>36</v>
      </c>
      <c r="N175" s="6">
        <f>_xlfn.IFNA(IF(VLOOKUP($A175,'BU Raw After'!A:H,1,FALSE)=$A175,VLOOKUP($A175,'BU Raw After'!A:H,7,FALSE),0),0)</f>
        <v>52</v>
      </c>
      <c r="O175" s="6">
        <f t="shared" si="20"/>
        <v>16</v>
      </c>
      <c r="P175" s="7">
        <f t="shared" si="21"/>
        <v>0.30769230769230771</v>
      </c>
      <c r="Q175" s="6">
        <f>_xlfn.IFNA(IF(VLOOKUP($A175,'BU Raw Before'!A:H,1,FALSE)=$A175,VLOOKUP($A175,'BU Raw Before'!A:H,8,FALSE),0),0)</f>
        <v>173175</v>
      </c>
      <c r="R175" s="6">
        <f>_xlfn.IFNA(IF(VLOOKUP($A175,'BU Raw After'!A:H,1,FALSE)=$A175,VLOOKUP($A175,'BU Raw After'!A:H,8,FALSE),0),0)</f>
        <v>179962.5</v>
      </c>
      <c r="S175" s="6">
        <f t="shared" si="22"/>
        <v>6787.5</v>
      </c>
      <c r="T175" s="7">
        <f t="shared" si="23"/>
        <v>3.7716190873098562E-2</v>
      </c>
    </row>
    <row r="176" spans="1:20" ht="15" x14ac:dyDescent="0.25">
      <c r="A176" t="s">
        <v>161</v>
      </c>
      <c r="B176" t="s">
        <v>149</v>
      </c>
      <c r="C176" t="s">
        <v>23</v>
      </c>
      <c r="D176" t="s">
        <v>15</v>
      </c>
      <c r="E176" s="6">
        <f>_xlfn.IFNA(IF(VLOOKUP($A176,'BU Raw Before'!A:H,1,FALSE)=$A176,VLOOKUP($A176,'BU Raw Before'!A:H,5,FALSE),0),0)</f>
        <v>1246545.5</v>
      </c>
      <c r="F176" s="6">
        <f>_xlfn.IFNA(IF(VLOOKUP($A176,'BU Raw After'!A:H,1,FALSE)=$A176,VLOOKUP($A176,'BU Raw After'!A:H,5,FALSE),0),0)</f>
        <v>1027100</v>
      </c>
      <c r="G176" s="6">
        <f t="shared" si="16"/>
        <v>-219445.5</v>
      </c>
      <c r="H176" s="7">
        <f t="shared" si="17"/>
        <v>-0.21365543763995717</v>
      </c>
      <c r="I176" s="6">
        <f>_xlfn.IFNA(IF(VLOOKUP($A176,'BU Raw Before'!A:H,1,FALSE)=$A176,VLOOKUP($A176,'BU Raw Before'!A:H,6,FALSE),0),0)</f>
        <v>5</v>
      </c>
      <c r="J176" s="6">
        <f>_xlfn.IFNA(IF(VLOOKUP($A176,'BU Raw After'!A:H,1,FALSE)=$A176,VLOOKUP($A176,'BU Raw After'!A:H,6,FALSE),0),0)</f>
        <v>7</v>
      </c>
      <c r="K176" s="6">
        <f t="shared" si="18"/>
        <v>2</v>
      </c>
      <c r="L176" s="7">
        <f t="shared" si="19"/>
        <v>0.2857142857142857</v>
      </c>
      <c r="M176" s="6">
        <f>_xlfn.IFNA(IF(VLOOKUP($A176,'BU Raw Before'!A:H,1,FALSE)=$A176,VLOOKUP($A176,'BU Raw Before'!A:H,7,FALSE),0),0)</f>
        <v>15</v>
      </c>
      <c r="N176" s="6">
        <f>_xlfn.IFNA(IF(VLOOKUP($A176,'BU Raw After'!A:H,1,FALSE)=$A176,VLOOKUP($A176,'BU Raw After'!A:H,7,FALSE),0),0)</f>
        <v>23</v>
      </c>
      <c r="O176" s="6">
        <f t="shared" si="20"/>
        <v>8</v>
      </c>
      <c r="P176" s="7">
        <f t="shared" si="21"/>
        <v>0.34782608695652173</v>
      </c>
      <c r="Q176" s="6">
        <f>_xlfn.IFNA(IF(VLOOKUP($A176,'BU Raw Before'!A:H,1,FALSE)=$A176,VLOOKUP($A176,'BU Raw Before'!A:H,8,FALSE),0),0)</f>
        <v>148645</v>
      </c>
      <c r="R176" s="6">
        <f>_xlfn.IFNA(IF(VLOOKUP($A176,'BU Raw After'!A:H,1,FALSE)=$A176,VLOOKUP($A176,'BU Raw After'!A:H,8,FALSE),0),0)</f>
        <v>204575</v>
      </c>
      <c r="S176" s="6">
        <f t="shared" si="22"/>
        <v>55930</v>
      </c>
      <c r="T176" s="7">
        <f t="shared" si="23"/>
        <v>0.27339606501283148</v>
      </c>
    </row>
    <row r="177" spans="1:20" ht="15" x14ac:dyDescent="0.25">
      <c r="A177" t="s">
        <v>162</v>
      </c>
      <c r="B177" t="s">
        <v>149</v>
      </c>
      <c r="C177" t="s">
        <v>23</v>
      </c>
      <c r="D177" t="s">
        <v>17</v>
      </c>
      <c r="E177" s="6">
        <f>_xlfn.IFNA(IF(VLOOKUP($A177,'BU Raw Before'!A:H,1,FALSE)=$A177,VLOOKUP($A177,'BU Raw Before'!A:H,5,FALSE),0),0)</f>
        <v>5409161.5</v>
      </c>
      <c r="F177" s="6">
        <f>_xlfn.IFNA(IF(VLOOKUP($A177,'BU Raw After'!A:H,1,FALSE)=$A177,VLOOKUP($A177,'BU Raw After'!A:H,5,FALSE),0),0)</f>
        <v>1250000</v>
      </c>
      <c r="G177" s="6">
        <f t="shared" si="16"/>
        <v>-4159161.5</v>
      </c>
      <c r="H177" s="7">
        <f t="shared" si="17"/>
        <v>-3.3273291999999999</v>
      </c>
      <c r="I177" s="6">
        <f>_xlfn.IFNA(IF(VLOOKUP($A177,'BU Raw Before'!A:H,1,FALSE)=$A177,VLOOKUP($A177,'BU Raw Before'!A:H,6,FALSE),0),0)</f>
        <v>7</v>
      </c>
      <c r="J177" s="6">
        <f>_xlfn.IFNA(IF(VLOOKUP($A177,'BU Raw After'!A:H,1,FALSE)=$A177,VLOOKUP($A177,'BU Raw After'!A:H,6,FALSE),0),0)</f>
        <v>1</v>
      </c>
      <c r="K177" s="6">
        <f t="shared" si="18"/>
        <v>-6</v>
      </c>
      <c r="L177" s="7">
        <f t="shared" si="19"/>
        <v>-6</v>
      </c>
      <c r="M177" s="6">
        <f>_xlfn.IFNA(IF(VLOOKUP($A177,'BU Raw Before'!A:H,1,FALSE)=$A177,VLOOKUP($A177,'BU Raw Before'!A:H,7,FALSE),0),0)</f>
        <v>19</v>
      </c>
      <c r="N177" s="6">
        <f>_xlfn.IFNA(IF(VLOOKUP($A177,'BU Raw After'!A:H,1,FALSE)=$A177,VLOOKUP($A177,'BU Raw After'!A:H,7,FALSE),0),0)</f>
        <v>1</v>
      </c>
      <c r="O177" s="6">
        <f t="shared" si="20"/>
        <v>-18</v>
      </c>
      <c r="P177" s="7">
        <f t="shared" si="21"/>
        <v>-18</v>
      </c>
      <c r="Q177" s="6">
        <f>_xlfn.IFNA(IF(VLOOKUP($A177,'BU Raw Before'!A:H,1,FALSE)=$A177,VLOOKUP($A177,'BU Raw Before'!A:H,8,FALSE),0),0)</f>
        <v>332532.5</v>
      </c>
      <c r="R177" s="6">
        <f>_xlfn.IFNA(IF(VLOOKUP($A177,'BU Raw After'!A:H,1,FALSE)=$A177,VLOOKUP($A177,'BU Raw After'!A:H,8,FALSE),0),0)</f>
        <v>3740</v>
      </c>
      <c r="S177" s="6">
        <f t="shared" si="22"/>
        <v>-328792.5</v>
      </c>
      <c r="T177" s="7">
        <f t="shared" si="23"/>
        <v>-87.912433155080208</v>
      </c>
    </row>
    <row r="178" spans="1:20" ht="15" x14ac:dyDescent="0.25">
      <c r="A178" t="s">
        <v>163</v>
      </c>
      <c r="B178" t="s">
        <v>149</v>
      </c>
      <c r="C178" t="s">
        <v>23</v>
      </c>
      <c r="D178" t="s">
        <v>19</v>
      </c>
      <c r="E178" s="6">
        <f>_xlfn.IFNA(IF(VLOOKUP($A178,'BU Raw Before'!A:H,1,FALSE)=$A178,VLOOKUP($A178,'BU Raw Before'!A:H,5,FALSE),0),0)</f>
        <v>5171700</v>
      </c>
      <c r="F178" s="6">
        <f>_xlfn.IFNA(IF(VLOOKUP($A178,'BU Raw After'!A:H,1,FALSE)=$A178,VLOOKUP($A178,'BU Raw After'!A:H,5,FALSE),0),0)</f>
        <v>1105245</v>
      </c>
      <c r="G178" s="6">
        <f t="shared" si="16"/>
        <v>-4066455</v>
      </c>
      <c r="H178" s="7">
        <f t="shared" si="17"/>
        <v>-3.6792340159874053</v>
      </c>
      <c r="I178" s="6">
        <f>_xlfn.IFNA(IF(VLOOKUP($A178,'BU Raw Before'!A:H,1,FALSE)=$A178,VLOOKUP($A178,'BU Raw Before'!A:H,6,FALSE),0),0)</f>
        <v>7</v>
      </c>
      <c r="J178" s="6">
        <f>_xlfn.IFNA(IF(VLOOKUP($A178,'BU Raw After'!A:H,1,FALSE)=$A178,VLOOKUP($A178,'BU Raw After'!A:H,6,FALSE),0),0)</f>
        <v>5</v>
      </c>
      <c r="K178" s="6">
        <f t="shared" si="18"/>
        <v>-2</v>
      </c>
      <c r="L178" s="7">
        <f t="shared" si="19"/>
        <v>-0.4</v>
      </c>
      <c r="M178" s="6">
        <f>_xlfn.IFNA(IF(VLOOKUP($A178,'BU Raw Before'!A:H,1,FALSE)=$A178,VLOOKUP($A178,'BU Raw Before'!A:H,7,FALSE),0),0)</f>
        <v>39</v>
      </c>
      <c r="N178" s="6">
        <f>_xlfn.IFNA(IF(VLOOKUP($A178,'BU Raw After'!A:H,1,FALSE)=$A178,VLOOKUP($A178,'BU Raw After'!A:H,7,FALSE),0),0)</f>
        <v>17</v>
      </c>
      <c r="O178" s="6">
        <f t="shared" si="20"/>
        <v>-22</v>
      </c>
      <c r="P178" s="7">
        <f t="shared" si="21"/>
        <v>-1.2941176470588236</v>
      </c>
      <c r="Q178" s="6">
        <f>_xlfn.IFNA(IF(VLOOKUP($A178,'BU Raw Before'!A:H,1,FALSE)=$A178,VLOOKUP($A178,'BU Raw Before'!A:H,8,FALSE),0),0)</f>
        <v>439520</v>
      </c>
      <c r="R178" s="6">
        <f>_xlfn.IFNA(IF(VLOOKUP($A178,'BU Raw After'!A:H,1,FALSE)=$A178,VLOOKUP($A178,'BU Raw After'!A:H,8,FALSE),0),0)</f>
        <v>124968</v>
      </c>
      <c r="S178" s="6">
        <f t="shared" si="22"/>
        <v>-314552</v>
      </c>
      <c r="T178" s="7">
        <f t="shared" si="23"/>
        <v>-2.5170603674540684</v>
      </c>
    </row>
    <row r="179" spans="1:20" ht="15" x14ac:dyDescent="0.25">
      <c r="A179" t="s">
        <v>164</v>
      </c>
      <c r="B179" t="s">
        <v>149</v>
      </c>
      <c r="C179" t="s">
        <v>23</v>
      </c>
      <c r="D179" t="s">
        <v>21</v>
      </c>
      <c r="E179" s="6">
        <f>_xlfn.IFNA(IF(VLOOKUP($A179,'BU Raw Before'!A:H,1,FALSE)=$A179,VLOOKUP($A179,'BU Raw Before'!A:H,5,FALSE),0),0)</f>
        <v>9205674.0999999996</v>
      </c>
      <c r="F179" s="6">
        <f>_xlfn.IFNA(IF(VLOOKUP($A179,'BU Raw After'!A:H,1,FALSE)=$A179,VLOOKUP($A179,'BU Raw After'!A:H,5,FALSE),0),0)</f>
        <v>12314745</v>
      </c>
      <c r="G179" s="6">
        <f t="shared" si="16"/>
        <v>3109070.9000000004</v>
      </c>
      <c r="H179" s="7">
        <f t="shared" si="17"/>
        <v>0.25246733895017726</v>
      </c>
      <c r="I179" s="6">
        <f>_xlfn.IFNA(IF(VLOOKUP($A179,'BU Raw Before'!A:H,1,FALSE)=$A179,VLOOKUP($A179,'BU Raw Before'!A:H,6,FALSE),0),0)</f>
        <v>79</v>
      </c>
      <c r="J179" s="6">
        <f>_xlfn.IFNA(IF(VLOOKUP($A179,'BU Raw After'!A:H,1,FALSE)=$A179,VLOOKUP($A179,'BU Raw After'!A:H,6,FALSE),0),0)</f>
        <v>251</v>
      </c>
      <c r="K179" s="6">
        <f t="shared" si="18"/>
        <v>172</v>
      </c>
      <c r="L179" s="7">
        <f t="shared" si="19"/>
        <v>0.68525896414342624</v>
      </c>
      <c r="M179" s="6">
        <f>_xlfn.IFNA(IF(VLOOKUP($A179,'BU Raw Before'!A:H,1,FALSE)=$A179,VLOOKUP($A179,'BU Raw Before'!A:H,7,FALSE),0),0)</f>
        <v>80</v>
      </c>
      <c r="N179" s="6">
        <f>_xlfn.IFNA(IF(VLOOKUP($A179,'BU Raw After'!A:H,1,FALSE)=$A179,VLOOKUP($A179,'BU Raw After'!A:H,7,FALSE),0),0)</f>
        <v>258</v>
      </c>
      <c r="O179" s="6">
        <f t="shared" si="20"/>
        <v>178</v>
      </c>
      <c r="P179" s="7">
        <f t="shared" si="21"/>
        <v>0.68992248062015504</v>
      </c>
      <c r="Q179" s="6">
        <f>_xlfn.IFNA(IF(VLOOKUP($A179,'BU Raw Before'!A:H,1,FALSE)=$A179,VLOOKUP($A179,'BU Raw Before'!A:H,8,FALSE),0),0)</f>
        <v>-1323354</v>
      </c>
      <c r="R179" s="6">
        <f>_xlfn.IFNA(IF(VLOOKUP($A179,'BU Raw After'!A:H,1,FALSE)=$A179,VLOOKUP($A179,'BU Raw After'!A:H,8,FALSE),0),0)</f>
        <v>-4479338.5</v>
      </c>
      <c r="S179" s="6">
        <f t="shared" si="22"/>
        <v>-3155984.5</v>
      </c>
      <c r="T179" s="7">
        <f t="shared" si="23"/>
        <v>0.70456485929786283</v>
      </c>
    </row>
    <row r="180" spans="1:20" ht="15" x14ac:dyDescent="0.25">
      <c r="A180" t="s">
        <v>165</v>
      </c>
      <c r="B180" t="s">
        <v>149</v>
      </c>
      <c r="C180" t="s">
        <v>32</v>
      </c>
      <c r="D180" t="s">
        <v>7</v>
      </c>
      <c r="E180" s="6">
        <f>_xlfn.IFNA(IF(VLOOKUP($A180,'BU Raw Before'!A:H,1,FALSE)=$A180,VLOOKUP($A180,'BU Raw Before'!A:H,5,FALSE),0),0)</f>
        <v>1449359494.21</v>
      </c>
      <c r="F180" s="6">
        <f>_xlfn.IFNA(IF(VLOOKUP($A180,'BU Raw After'!A:H,1,FALSE)=$A180,VLOOKUP($A180,'BU Raw After'!A:H,5,FALSE),0),0)</f>
        <v>1803548256.79</v>
      </c>
      <c r="G180" s="6">
        <f t="shared" si="16"/>
        <v>354188762.57999992</v>
      </c>
      <c r="H180" s="7">
        <f t="shared" si="17"/>
        <v>0.19638441125517422</v>
      </c>
      <c r="I180" s="6">
        <f>_xlfn.IFNA(IF(VLOOKUP($A180,'BU Raw Before'!A:H,1,FALSE)=$A180,VLOOKUP($A180,'BU Raw Before'!A:H,6,FALSE),0),0)</f>
        <v>14828</v>
      </c>
      <c r="J180" s="6">
        <f>_xlfn.IFNA(IF(VLOOKUP($A180,'BU Raw After'!A:H,1,FALSE)=$A180,VLOOKUP($A180,'BU Raw After'!A:H,6,FALSE),0),0)</f>
        <v>18200</v>
      </c>
      <c r="K180" s="6">
        <f t="shared" si="18"/>
        <v>3372</v>
      </c>
      <c r="L180" s="7">
        <f t="shared" si="19"/>
        <v>0.18527472527472527</v>
      </c>
      <c r="M180" s="6">
        <f>_xlfn.IFNA(IF(VLOOKUP($A180,'BU Raw Before'!A:H,1,FALSE)=$A180,VLOOKUP($A180,'BU Raw Before'!A:H,7,FALSE),0),0)</f>
        <v>17175</v>
      </c>
      <c r="N180" s="6">
        <f>_xlfn.IFNA(IF(VLOOKUP($A180,'BU Raw After'!A:H,1,FALSE)=$A180,VLOOKUP($A180,'BU Raw After'!A:H,7,FALSE),0),0)</f>
        <v>20855</v>
      </c>
      <c r="O180" s="6">
        <f t="shared" si="20"/>
        <v>3680</v>
      </c>
      <c r="P180" s="7">
        <f t="shared" si="21"/>
        <v>0.17645648525533444</v>
      </c>
      <c r="Q180" s="6">
        <f>_xlfn.IFNA(IF(VLOOKUP($A180,'BU Raw Before'!A:H,1,FALSE)=$A180,VLOOKUP($A180,'BU Raw Before'!A:H,8,FALSE),0),0)</f>
        <v>14219475.5</v>
      </c>
      <c r="R180" s="6">
        <f>_xlfn.IFNA(IF(VLOOKUP($A180,'BU Raw After'!A:H,1,FALSE)=$A180,VLOOKUP($A180,'BU Raw After'!A:H,8,FALSE),0),0)</f>
        <v>16419486</v>
      </c>
      <c r="S180" s="6">
        <f t="shared" si="22"/>
        <v>2200010.5</v>
      </c>
      <c r="T180" s="7">
        <f t="shared" si="23"/>
        <v>0.13398778134711403</v>
      </c>
    </row>
    <row r="181" spans="1:20" ht="15" x14ac:dyDescent="0.25">
      <c r="A181" t="s">
        <v>166</v>
      </c>
      <c r="B181" t="s">
        <v>149</v>
      </c>
      <c r="C181" t="s">
        <v>32</v>
      </c>
      <c r="D181" t="s">
        <v>9</v>
      </c>
      <c r="E181" s="6">
        <f>_xlfn.IFNA(IF(VLOOKUP($A181,'BU Raw Before'!A:H,1,FALSE)=$A181,VLOOKUP($A181,'BU Raw Before'!A:H,5,FALSE),0),0)</f>
        <v>54586134.229999997</v>
      </c>
      <c r="F181" s="6">
        <f>_xlfn.IFNA(IF(VLOOKUP($A181,'BU Raw After'!A:H,1,FALSE)=$A181,VLOOKUP($A181,'BU Raw After'!A:H,5,FALSE),0),0)</f>
        <v>62466732.649999999</v>
      </c>
      <c r="G181" s="6">
        <f t="shared" si="16"/>
        <v>7880598.4200000018</v>
      </c>
      <c r="H181" s="7">
        <f t="shared" si="17"/>
        <v>0.12615672511887016</v>
      </c>
      <c r="I181" s="6">
        <f>_xlfn.IFNA(IF(VLOOKUP($A181,'BU Raw Before'!A:H,1,FALSE)=$A181,VLOOKUP($A181,'BU Raw Before'!A:H,6,FALSE),0),0)</f>
        <v>370</v>
      </c>
      <c r="J181" s="6">
        <f>_xlfn.IFNA(IF(VLOOKUP($A181,'BU Raw After'!A:H,1,FALSE)=$A181,VLOOKUP($A181,'BU Raw After'!A:H,6,FALSE),0),0)</f>
        <v>446</v>
      </c>
      <c r="K181" s="6">
        <f t="shared" si="18"/>
        <v>76</v>
      </c>
      <c r="L181" s="7">
        <f t="shared" si="19"/>
        <v>0.17040358744394618</v>
      </c>
      <c r="M181" s="6">
        <f>_xlfn.IFNA(IF(VLOOKUP($A181,'BU Raw Before'!A:H,1,FALSE)=$A181,VLOOKUP($A181,'BU Raw Before'!A:H,7,FALSE),0),0)</f>
        <v>760</v>
      </c>
      <c r="N181" s="6">
        <f>_xlfn.IFNA(IF(VLOOKUP($A181,'BU Raw After'!A:H,1,FALSE)=$A181,VLOOKUP($A181,'BU Raw After'!A:H,7,FALSE),0),0)</f>
        <v>904</v>
      </c>
      <c r="O181" s="6">
        <f t="shared" si="20"/>
        <v>144</v>
      </c>
      <c r="P181" s="7">
        <f t="shared" si="21"/>
        <v>0.15929203539823009</v>
      </c>
      <c r="Q181" s="6">
        <f>_xlfn.IFNA(IF(VLOOKUP($A181,'BU Raw Before'!A:H,1,FALSE)=$A181,VLOOKUP($A181,'BU Raw Before'!A:H,8,FALSE),0),0)</f>
        <v>555974.5</v>
      </c>
      <c r="R181" s="6">
        <f>_xlfn.IFNA(IF(VLOOKUP($A181,'BU Raw After'!A:H,1,FALSE)=$A181,VLOOKUP($A181,'BU Raw After'!A:H,8,FALSE),0),0)</f>
        <v>1699812</v>
      </c>
      <c r="S181" s="6">
        <f t="shared" si="22"/>
        <v>1143837.5</v>
      </c>
      <c r="T181" s="7">
        <f t="shared" si="23"/>
        <v>0.67292000527117113</v>
      </c>
    </row>
    <row r="182" spans="1:20" ht="15" x14ac:dyDescent="0.25">
      <c r="A182" t="s">
        <v>167</v>
      </c>
      <c r="B182" t="s">
        <v>149</v>
      </c>
      <c r="C182" t="s">
        <v>32</v>
      </c>
      <c r="D182" t="s">
        <v>11</v>
      </c>
      <c r="E182" s="6">
        <f>_xlfn.IFNA(IF(VLOOKUP($A182,'BU Raw Before'!A:H,1,FALSE)=$A182,VLOOKUP($A182,'BU Raw Before'!A:H,5,FALSE),0),0)</f>
        <v>19383233.5</v>
      </c>
      <c r="F182" s="6">
        <f>_xlfn.IFNA(IF(VLOOKUP($A182,'BU Raw After'!A:H,1,FALSE)=$A182,VLOOKUP($A182,'BU Raw After'!A:H,5,FALSE),0),0)</f>
        <v>24297975</v>
      </c>
      <c r="G182" s="6">
        <f t="shared" si="16"/>
        <v>4914741.5</v>
      </c>
      <c r="H182" s="7">
        <f t="shared" si="17"/>
        <v>0.20226959242488315</v>
      </c>
      <c r="I182" s="6">
        <f>_xlfn.IFNA(IF(VLOOKUP($A182,'BU Raw Before'!A:H,1,FALSE)=$A182,VLOOKUP($A182,'BU Raw Before'!A:H,6,FALSE),0),0)</f>
        <v>110</v>
      </c>
      <c r="J182" s="6">
        <f>_xlfn.IFNA(IF(VLOOKUP($A182,'BU Raw After'!A:H,1,FALSE)=$A182,VLOOKUP($A182,'BU Raw After'!A:H,6,FALSE),0),0)</f>
        <v>140</v>
      </c>
      <c r="K182" s="6">
        <f t="shared" si="18"/>
        <v>30</v>
      </c>
      <c r="L182" s="7">
        <f t="shared" si="19"/>
        <v>0.21428571428571427</v>
      </c>
      <c r="M182" s="6">
        <f>_xlfn.IFNA(IF(VLOOKUP($A182,'BU Raw Before'!A:H,1,FALSE)=$A182,VLOOKUP($A182,'BU Raw Before'!A:H,7,FALSE),0),0)</f>
        <v>280</v>
      </c>
      <c r="N182" s="6">
        <f>_xlfn.IFNA(IF(VLOOKUP($A182,'BU Raw After'!A:H,1,FALSE)=$A182,VLOOKUP($A182,'BU Raw After'!A:H,7,FALSE),0),0)</f>
        <v>396</v>
      </c>
      <c r="O182" s="6">
        <f t="shared" si="20"/>
        <v>116</v>
      </c>
      <c r="P182" s="7">
        <f t="shared" si="21"/>
        <v>0.29292929292929293</v>
      </c>
      <c r="Q182" s="6">
        <f>_xlfn.IFNA(IF(VLOOKUP($A182,'BU Raw Before'!A:H,1,FALSE)=$A182,VLOOKUP($A182,'BU Raw Before'!A:H,8,FALSE),0),0)</f>
        <v>-249568</v>
      </c>
      <c r="R182" s="6">
        <f>_xlfn.IFNA(IF(VLOOKUP($A182,'BU Raw After'!A:H,1,FALSE)=$A182,VLOOKUP($A182,'BU Raw After'!A:H,8,FALSE),0),0)</f>
        <v>309010</v>
      </c>
      <c r="S182" s="6">
        <f t="shared" si="22"/>
        <v>558578</v>
      </c>
      <c r="T182" s="7">
        <f t="shared" si="23"/>
        <v>1.8076372932914793</v>
      </c>
    </row>
    <row r="183" spans="1:20" ht="15" x14ac:dyDescent="0.25">
      <c r="A183" t="s">
        <v>168</v>
      </c>
      <c r="B183" t="s">
        <v>149</v>
      </c>
      <c r="C183" t="s">
        <v>32</v>
      </c>
      <c r="D183" t="s">
        <v>13</v>
      </c>
      <c r="E183" s="6">
        <f>_xlfn.IFNA(IF(VLOOKUP($A183,'BU Raw Before'!A:H,1,FALSE)=$A183,VLOOKUP($A183,'BU Raw Before'!A:H,5,FALSE),0),0)</f>
        <v>13858428.699999999</v>
      </c>
      <c r="F183" s="6">
        <f>_xlfn.IFNA(IF(VLOOKUP($A183,'BU Raw After'!A:H,1,FALSE)=$A183,VLOOKUP($A183,'BU Raw After'!A:H,5,FALSE),0),0)</f>
        <v>20135742</v>
      </c>
      <c r="G183" s="6">
        <f t="shared" si="16"/>
        <v>6277313.3000000007</v>
      </c>
      <c r="H183" s="7">
        <f t="shared" si="17"/>
        <v>0.31174978801377179</v>
      </c>
      <c r="I183" s="6">
        <f>_xlfn.IFNA(IF(VLOOKUP($A183,'BU Raw Before'!A:H,1,FALSE)=$A183,VLOOKUP($A183,'BU Raw Before'!A:H,6,FALSE),0),0)</f>
        <v>72</v>
      </c>
      <c r="J183" s="6">
        <f>_xlfn.IFNA(IF(VLOOKUP($A183,'BU Raw After'!A:H,1,FALSE)=$A183,VLOOKUP($A183,'BU Raw After'!A:H,6,FALSE),0),0)</f>
        <v>70</v>
      </c>
      <c r="K183" s="6">
        <f t="shared" si="18"/>
        <v>-2</v>
      </c>
      <c r="L183" s="7">
        <f t="shared" si="19"/>
        <v>-2.8571428571428571E-2</v>
      </c>
      <c r="M183" s="6">
        <f>_xlfn.IFNA(IF(VLOOKUP($A183,'BU Raw Before'!A:H,1,FALSE)=$A183,VLOOKUP($A183,'BU Raw Before'!A:H,7,FALSE),0),0)</f>
        <v>270</v>
      </c>
      <c r="N183" s="6">
        <f>_xlfn.IFNA(IF(VLOOKUP($A183,'BU Raw After'!A:H,1,FALSE)=$A183,VLOOKUP($A183,'BU Raw After'!A:H,7,FALSE),0),0)</f>
        <v>244</v>
      </c>
      <c r="O183" s="6">
        <f t="shared" si="20"/>
        <v>-26</v>
      </c>
      <c r="P183" s="7">
        <f t="shared" si="21"/>
        <v>-0.10655737704918032</v>
      </c>
      <c r="Q183" s="6">
        <f>_xlfn.IFNA(IF(VLOOKUP($A183,'BU Raw Before'!A:H,1,FALSE)=$A183,VLOOKUP($A183,'BU Raw Before'!A:H,8,FALSE),0),0)</f>
        <v>-81811.5</v>
      </c>
      <c r="R183" s="6">
        <f>_xlfn.IFNA(IF(VLOOKUP($A183,'BU Raw After'!A:H,1,FALSE)=$A183,VLOOKUP($A183,'BU Raw After'!A:H,8,FALSE),0),0)</f>
        <v>-150125.5</v>
      </c>
      <c r="S183" s="6">
        <f t="shared" si="22"/>
        <v>-68314</v>
      </c>
      <c r="T183" s="7">
        <f t="shared" si="23"/>
        <v>0.45504594489277306</v>
      </c>
    </row>
    <row r="184" spans="1:20" ht="15" x14ac:dyDescent="0.25">
      <c r="A184" t="s">
        <v>169</v>
      </c>
      <c r="B184" t="s">
        <v>149</v>
      </c>
      <c r="C184" t="s">
        <v>32</v>
      </c>
      <c r="D184" t="s">
        <v>15</v>
      </c>
      <c r="E184" s="6">
        <f>_xlfn.IFNA(IF(VLOOKUP($A184,'BU Raw Before'!A:H,1,FALSE)=$A184,VLOOKUP($A184,'BU Raw Before'!A:H,5,FALSE),0),0)</f>
        <v>3253618</v>
      </c>
      <c r="F184" s="6">
        <f>_xlfn.IFNA(IF(VLOOKUP($A184,'BU Raw After'!A:H,1,FALSE)=$A184,VLOOKUP($A184,'BU Raw After'!A:H,5,FALSE),0),0)</f>
        <v>11235007</v>
      </c>
      <c r="G184" s="6">
        <f t="shared" si="16"/>
        <v>7981389</v>
      </c>
      <c r="H184" s="7">
        <f t="shared" si="17"/>
        <v>0.7104035627214117</v>
      </c>
      <c r="I184" s="6">
        <f>_xlfn.IFNA(IF(VLOOKUP($A184,'BU Raw Before'!A:H,1,FALSE)=$A184,VLOOKUP($A184,'BU Raw Before'!A:H,6,FALSE),0),0)</f>
        <v>19</v>
      </c>
      <c r="J184" s="6">
        <f>_xlfn.IFNA(IF(VLOOKUP($A184,'BU Raw After'!A:H,1,FALSE)=$A184,VLOOKUP($A184,'BU Raw After'!A:H,6,FALSE),0),0)</f>
        <v>38</v>
      </c>
      <c r="K184" s="6">
        <f t="shared" si="18"/>
        <v>19</v>
      </c>
      <c r="L184" s="7">
        <f t="shared" si="19"/>
        <v>0.5</v>
      </c>
      <c r="M184" s="6">
        <f>_xlfn.IFNA(IF(VLOOKUP($A184,'BU Raw Before'!A:H,1,FALSE)=$A184,VLOOKUP($A184,'BU Raw Before'!A:H,7,FALSE),0),0)</f>
        <v>59</v>
      </c>
      <c r="N184" s="6">
        <f>_xlfn.IFNA(IF(VLOOKUP($A184,'BU Raw After'!A:H,1,FALSE)=$A184,VLOOKUP($A184,'BU Raw After'!A:H,7,FALSE),0),0)</f>
        <v>138</v>
      </c>
      <c r="O184" s="6">
        <f t="shared" si="20"/>
        <v>79</v>
      </c>
      <c r="P184" s="7">
        <f t="shared" si="21"/>
        <v>0.57246376811594202</v>
      </c>
      <c r="Q184" s="6">
        <f>_xlfn.IFNA(IF(VLOOKUP($A184,'BU Raw Before'!A:H,1,FALSE)=$A184,VLOOKUP($A184,'BU Raw Before'!A:H,8,FALSE),0),0)</f>
        <v>94538</v>
      </c>
      <c r="R184" s="6">
        <f>_xlfn.IFNA(IF(VLOOKUP($A184,'BU Raw After'!A:H,1,FALSE)=$A184,VLOOKUP($A184,'BU Raw After'!A:H,8,FALSE),0),0)</f>
        <v>228989</v>
      </c>
      <c r="S184" s="6">
        <f t="shared" si="22"/>
        <v>134451</v>
      </c>
      <c r="T184" s="7">
        <f t="shared" si="23"/>
        <v>0.58715047447693991</v>
      </c>
    </row>
    <row r="185" spans="1:20" ht="15" x14ac:dyDescent="0.25">
      <c r="A185" t="s">
        <v>170</v>
      </c>
      <c r="B185" t="s">
        <v>149</v>
      </c>
      <c r="C185" t="s">
        <v>32</v>
      </c>
      <c r="D185" t="s">
        <v>17</v>
      </c>
      <c r="E185" s="6">
        <f>_xlfn.IFNA(IF(VLOOKUP($A185,'BU Raw Before'!A:H,1,FALSE)=$A185,VLOOKUP($A185,'BU Raw Before'!A:H,5,FALSE),0),0)</f>
        <v>16071711</v>
      </c>
      <c r="F185" s="6">
        <f>_xlfn.IFNA(IF(VLOOKUP($A185,'BU Raw After'!A:H,1,FALSE)=$A185,VLOOKUP($A185,'BU Raw After'!A:H,5,FALSE),0),0)</f>
        <v>7828941</v>
      </c>
      <c r="G185" s="6">
        <f t="shared" si="16"/>
        <v>-8242770</v>
      </c>
      <c r="H185" s="7">
        <f t="shared" si="17"/>
        <v>-1.0528588732499069</v>
      </c>
      <c r="I185" s="6">
        <f>_xlfn.IFNA(IF(VLOOKUP($A185,'BU Raw Before'!A:H,1,FALSE)=$A185,VLOOKUP($A185,'BU Raw Before'!A:H,6,FALSE),0),0)</f>
        <v>13</v>
      </c>
      <c r="J185" s="6">
        <f>_xlfn.IFNA(IF(VLOOKUP($A185,'BU Raw After'!A:H,1,FALSE)=$A185,VLOOKUP($A185,'BU Raw After'!A:H,6,FALSE),0),0)</f>
        <v>14</v>
      </c>
      <c r="K185" s="6">
        <f t="shared" si="18"/>
        <v>1</v>
      </c>
      <c r="L185" s="7">
        <f t="shared" si="19"/>
        <v>7.1428571428571425E-2</v>
      </c>
      <c r="M185" s="6">
        <f>_xlfn.IFNA(IF(VLOOKUP($A185,'BU Raw Before'!A:H,1,FALSE)=$A185,VLOOKUP($A185,'BU Raw Before'!A:H,7,FALSE),0),0)</f>
        <v>32</v>
      </c>
      <c r="N185" s="6">
        <f>_xlfn.IFNA(IF(VLOOKUP($A185,'BU Raw After'!A:H,1,FALSE)=$A185,VLOOKUP($A185,'BU Raw After'!A:H,7,FALSE),0),0)</f>
        <v>42</v>
      </c>
      <c r="O185" s="6">
        <f t="shared" si="20"/>
        <v>10</v>
      </c>
      <c r="P185" s="7">
        <f t="shared" si="21"/>
        <v>0.23809523809523808</v>
      </c>
      <c r="Q185" s="6">
        <f>_xlfn.IFNA(IF(VLOOKUP($A185,'BU Raw Before'!A:H,1,FALSE)=$A185,VLOOKUP($A185,'BU Raw Before'!A:H,8,FALSE),0),0)</f>
        <v>-68112.5</v>
      </c>
      <c r="R185" s="6">
        <f>_xlfn.IFNA(IF(VLOOKUP($A185,'BU Raw After'!A:H,1,FALSE)=$A185,VLOOKUP($A185,'BU Raw After'!A:H,8,FALSE),0),0)</f>
        <v>-103604</v>
      </c>
      <c r="S185" s="6">
        <f t="shared" si="22"/>
        <v>-35491.5</v>
      </c>
      <c r="T185" s="7">
        <f t="shared" si="23"/>
        <v>0.34256881973668968</v>
      </c>
    </row>
    <row r="186" spans="1:20" ht="15" x14ac:dyDescent="0.25">
      <c r="A186" t="s">
        <v>171</v>
      </c>
      <c r="B186" t="s">
        <v>149</v>
      </c>
      <c r="C186" t="s">
        <v>32</v>
      </c>
      <c r="D186" t="s">
        <v>19</v>
      </c>
      <c r="E186" s="6">
        <f>_xlfn.IFNA(IF(VLOOKUP($A186,'BU Raw Before'!A:H,1,FALSE)=$A186,VLOOKUP($A186,'BU Raw Before'!A:H,5,FALSE),0),0)</f>
        <v>22958597.43</v>
      </c>
      <c r="F186" s="6">
        <f>_xlfn.IFNA(IF(VLOOKUP($A186,'BU Raw After'!A:H,1,FALSE)=$A186,VLOOKUP($A186,'BU Raw After'!A:H,5,FALSE),0),0)</f>
        <v>17006967</v>
      </c>
      <c r="G186" s="6">
        <f t="shared" si="16"/>
        <v>-5951630.4299999997</v>
      </c>
      <c r="H186" s="7">
        <f t="shared" si="17"/>
        <v>-0.3499524888829384</v>
      </c>
      <c r="I186" s="6">
        <f>_xlfn.IFNA(IF(VLOOKUP($A186,'BU Raw Before'!A:H,1,FALSE)=$A186,VLOOKUP($A186,'BU Raw Before'!A:H,6,FALSE),0),0)</f>
        <v>34</v>
      </c>
      <c r="J186" s="6">
        <f>_xlfn.IFNA(IF(VLOOKUP($A186,'BU Raw After'!A:H,1,FALSE)=$A186,VLOOKUP($A186,'BU Raw After'!A:H,6,FALSE),0),0)</f>
        <v>31</v>
      </c>
      <c r="K186" s="6">
        <f t="shared" si="18"/>
        <v>-3</v>
      </c>
      <c r="L186" s="7">
        <f t="shared" si="19"/>
        <v>-9.6774193548387094E-2</v>
      </c>
      <c r="M186" s="6">
        <f>_xlfn.IFNA(IF(VLOOKUP($A186,'BU Raw Before'!A:H,1,FALSE)=$A186,VLOOKUP($A186,'BU Raw Before'!A:H,7,FALSE),0),0)</f>
        <v>167</v>
      </c>
      <c r="N186" s="6">
        <f>_xlfn.IFNA(IF(VLOOKUP($A186,'BU Raw After'!A:H,1,FALSE)=$A186,VLOOKUP($A186,'BU Raw After'!A:H,7,FALSE),0),0)</f>
        <v>195</v>
      </c>
      <c r="O186" s="6">
        <f t="shared" si="20"/>
        <v>28</v>
      </c>
      <c r="P186" s="7">
        <f t="shared" si="21"/>
        <v>0.14358974358974358</v>
      </c>
      <c r="Q186" s="6">
        <f>_xlfn.IFNA(IF(VLOOKUP($A186,'BU Raw Before'!A:H,1,FALSE)=$A186,VLOOKUP($A186,'BU Raw Before'!A:H,8,FALSE),0),0)</f>
        <v>2408.5</v>
      </c>
      <c r="R186" s="6">
        <f>_xlfn.IFNA(IF(VLOOKUP($A186,'BU Raw After'!A:H,1,FALSE)=$A186,VLOOKUP($A186,'BU Raw After'!A:H,8,FALSE),0),0)</f>
        <v>29096</v>
      </c>
      <c r="S186" s="6">
        <f t="shared" si="22"/>
        <v>26687.5</v>
      </c>
      <c r="T186" s="7">
        <f t="shared" si="23"/>
        <v>0.9172222985977454</v>
      </c>
    </row>
    <row r="187" spans="1:20" ht="15" x14ac:dyDescent="0.25">
      <c r="A187" t="s">
        <v>172</v>
      </c>
      <c r="B187" t="s">
        <v>149</v>
      </c>
      <c r="C187" t="s">
        <v>32</v>
      </c>
      <c r="D187" t="s">
        <v>21</v>
      </c>
      <c r="E187" s="6">
        <f>_xlfn.IFNA(IF(VLOOKUP($A187,'BU Raw Before'!A:H,1,FALSE)=$A187,VLOOKUP($A187,'BU Raw Before'!A:H,5,FALSE),0),0)</f>
        <v>30942453.289999999</v>
      </c>
      <c r="F187" s="6">
        <f>_xlfn.IFNA(IF(VLOOKUP($A187,'BU Raw After'!A:H,1,FALSE)=$A187,VLOOKUP($A187,'BU Raw After'!A:H,5,FALSE),0),0)</f>
        <v>57265764.549999997</v>
      </c>
      <c r="G187" s="6">
        <f t="shared" si="16"/>
        <v>26323311.259999998</v>
      </c>
      <c r="H187" s="7">
        <f t="shared" si="17"/>
        <v>0.4596692538177245</v>
      </c>
      <c r="I187" s="6">
        <f>_xlfn.IFNA(IF(VLOOKUP($A187,'BU Raw Before'!A:H,1,FALSE)=$A187,VLOOKUP($A187,'BU Raw Before'!A:H,6,FALSE),0),0)</f>
        <v>418</v>
      </c>
      <c r="J187" s="6">
        <f>_xlfn.IFNA(IF(VLOOKUP($A187,'BU Raw After'!A:H,1,FALSE)=$A187,VLOOKUP($A187,'BU Raw After'!A:H,6,FALSE),0),0)</f>
        <v>1338</v>
      </c>
      <c r="K187" s="6">
        <f t="shared" si="18"/>
        <v>920</v>
      </c>
      <c r="L187" s="7">
        <f t="shared" si="19"/>
        <v>0.68759342301943194</v>
      </c>
      <c r="M187" s="6">
        <f>_xlfn.IFNA(IF(VLOOKUP($A187,'BU Raw Before'!A:H,1,FALSE)=$A187,VLOOKUP($A187,'BU Raw Before'!A:H,7,FALSE),0),0)</f>
        <v>426</v>
      </c>
      <c r="N187" s="6">
        <f>_xlfn.IFNA(IF(VLOOKUP($A187,'BU Raw After'!A:H,1,FALSE)=$A187,VLOOKUP($A187,'BU Raw After'!A:H,7,FALSE),0),0)</f>
        <v>1402</v>
      </c>
      <c r="O187" s="6">
        <f t="shared" si="20"/>
        <v>976</v>
      </c>
      <c r="P187" s="7">
        <f t="shared" si="21"/>
        <v>0.69614835948644793</v>
      </c>
      <c r="Q187" s="6">
        <f>_xlfn.IFNA(IF(VLOOKUP($A187,'BU Raw Before'!A:H,1,FALSE)=$A187,VLOOKUP($A187,'BU Raw Before'!A:H,8,FALSE),0),0)</f>
        <v>-5720149</v>
      </c>
      <c r="R187" s="6">
        <f>_xlfn.IFNA(IF(VLOOKUP($A187,'BU Raw After'!A:H,1,FALSE)=$A187,VLOOKUP($A187,'BU Raw After'!A:H,8,FALSE),0),0)</f>
        <v>-18896895</v>
      </c>
      <c r="S187" s="6">
        <f t="shared" si="22"/>
        <v>-13176746</v>
      </c>
      <c r="T187" s="7">
        <f t="shared" si="23"/>
        <v>0.69729688395897849</v>
      </c>
    </row>
    <row r="188" spans="1:20" ht="15" x14ac:dyDescent="0.25">
      <c r="A188" t="s">
        <v>173</v>
      </c>
      <c r="B188" t="s">
        <v>149</v>
      </c>
      <c r="C188" t="s">
        <v>41</v>
      </c>
      <c r="D188" t="s">
        <v>7</v>
      </c>
      <c r="E188" s="6">
        <f>_xlfn.IFNA(IF(VLOOKUP($A188,'BU Raw Before'!A:H,1,FALSE)=$A188,VLOOKUP($A188,'BU Raw Before'!A:H,5,FALSE),0),0)</f>
        <v>6520827305.3599997</v>
      </c>
      <c r="F188" s="6">
        <f>_xlfn.IFNA(IF(VLOOKUP($A188,'BU Raw After'!A:H,1,FALSE)=$A188,VLOOKUP($A188,'BU Raw After'!A:H,5,FALSE),0),0)</f>
        <v>7802091533.0100002</v>
      </c>
      <c r="G188" s="6">
        <f t="shared" si="16"/>
        <v>1281264227.6500006</v>
      </c>
      <c r="H188" s="7">
        <f t="shared" si="17"/>
        <v>0.16422060959283524</v>
      </c>
      <c r="I188" s="6">
        <f>_xlfn.IFNA(IF(VLOOKUP($A188,'BU Raw Before'!A:H,1,FALSE)=$A188,VLOOKUP($A188,'BU Raw Before'!A:H,6,FALSE),0),0)</f>
        <v>68875</v>
      </c>
      <c r="J188" s="6">
        <f>_xlfn.IFNA(IF(VLOOKUP($A188,'BU Raw After'!A:H,1,FALSE)=$A188,VLOOKUP($A188,'BU Raw After'!A:H,6,FALSE),0),0)</f>
        <v>79018</v>
      </c>
      <c r="K188" s="6">
        <f t="shared" si="18"/>
        <v>10143</v>
      </c>
      <c r="L188" s="7">
        <f t="shared" si="19"/>
        <v>0.12836315776152268</v>
      </c>
      <c r="M188" s="6">
        <f>_xlfn.IFNA(IF(VLOOKUP($A188,'BU Raw Before'!A:H,1,FALSE)=$A188,VLOOKUP($A188,'BU Raw Before'!A:H,7,FALSE),0),0)</f>
        <v>85629</v>
      </c>
      <c r="N188" s="6">
        <f>_xlfn.IFNA(IF(VLOOKUP($A188,'BU Raw After'!A:H,1,FALSE)=$A188,VLOOKUP($A188,'BU Raw After'!A:H,7,FALSE),0),0)</f>
        <v>99154</v>
      </c>
      <c r="O188" s="6">
        <f t="shared" si="20"/>
        <v>13525</v>
      </c>
      <c r="P188" s="7">
        <f t="shared" si="21"/>
        <v>0.13640397765092685</v>
      </c>
      <c r="Q188" s="6">
        <f>_xlfn.IFNA(IF(VLOOKUP($A188,'BU Raw Before'!A:H,1,FALSE)=$A188,VLOOKUP($A188,'BU Raw Before'!A:H,8,FALSE),0),0)</f>
        <v>-769050583.80999994</v>
      </c>
      <c r="R188" s="6">
        <f>_xlfn.IFNA(IF(VLOOKUP($A188,'BU Raw After'!A:H,1,FALSE)=$A188,VLOOKUP($A188,'BU Raw After'!A:H,8,FALSE),0),0)</f>
        <v>-760681111.38</v>
      </c>
      <c r="S188" s="6">
        <f t="shared" si="22"/>
        <v>8369472.4299999475</v>
      </c>
      <c r="T188" s="7">
        <f t="shared" si="23"/>
        <v>-1.1002603199672403E-2</v>
      </c>
    </row>
    <row r="189" spans="1:20" ht="15" x14ac:dyDescent="0.25">
      <c r="A189" t="s">
        <v>174</v>
      </c>
      <c r="B189" t="s">
        <v>149</v>
      </c>
      <c r="C189" t="s">
        <v>41</v>
      </c>
      <c r="D189" t="s">
        <v>9</v>
      </c>
      <c r="E189" s="6">
        <f>_xlfn.IFNA(IF(VLOOKUP($A189,'BU Raw Before'!A:H,1,FALSE)=$A189,VLOOKUP($A189,'BU Raw Before'!A:H,5,FALSE),0),0)</f>
        <v>328056182.82999998</v>
      </c>
      <c r="F189" s="6">
        <f>_xlfn.IFNA(IF(VLOOKUP($A189,'BU Raw After'!A:H,1,FALSE)=$A189,VLOOKUP($A189,'BU Raw After'!A:H,5,FALSE),0),0)</f>
        <v>370870819.37</v>
      </c>
      <c r="G189" s="6">
        <f t="shared" si="16"/>
        <v>42814636.540000021</v>
      </c>
      <c r="H189" s="7">
        <f t="shared" si="17"/>
        <v>0.11544352994050447</v>
      </c>
      <c r="I189" s="6">
        <f>_xlfn.IFNA(IF(VLOOKUP($A189,'BU Raw Before'!A:H,1,FALSE)=$A189,VLOOKUP($A189,'BU Raw Before'!A:H,6,FALSE),0),0)</f>
        <v>2737</v>
      </c>
      <c r="J189" s="6">
        <f>_xlfn.IFNA(IF(VLOOKUP($A189,'BU Raw After'!A:H,1,FALSE)=$A189,VLOOKUP($A189,'BU Raw After'!A:H,6,FALSE),0),0)</f>
        <v>2993</v>
      </c>
      <c r="K189" s="6">
        <f t="shared" si="18"/>
        <v>256</v>
      </c>
      <c r="L189" s="7">
        <f t="shared" si="19"/>
        <v>8.5532910123621783E-2</v>
      </c>
      <c r="M189" s="6">
        <f>_xlfn.IFNA(IF(VLOOKUP($A189,'BU Raw Before'!A:H,1,FALSE)=$A189,VLOOKUP($A189,'BU Raw Before'!A:H,7,FALSE),0),0)</f>
        <v>6328</v>
      </c>
      <c r="N189" s="6">
        <f>_xlfn.IFNA(IF(VLOOKUP($A189,'BU Raw After'!A:H,1,FALSE)=$A189,VLOOKUP($A189,'BU Raw After'!A:H,7,FALSE),0),0)</f>
        <v>7073</v>
      </c>
      <c r="O189" s="6">
        <f t="shared" si="20"/>
        <v>745</v>
      </c>
      <c r="P189" s="7">
        <f t="shared" si="21"/>
        <v>0.10533012865827796</v>
      </c>
      <c r="Q189" s="6">
        <f>_xlfn.IFNA(IF(VLOOKUP($A189,'BU Raw Before'!A:H,1,FALSE)=$A189,VLOOKUP($A189,'BU Raw Before'!A:H,8,FALSE),0),0)</f>
        <v>-71498862.5</v>
      </c>
      <c r="R189" s="6">
        <f>_xlfn.IFNA(IF(VLOOKUP($A189,'BU Raw After'!A:H,1,FALSE)=$A189,VLOOKUP($A189,'BU Raw After'!A:H,8,FALSE),0),0)</f>
        <v>-72887685.120000005</v>
      </c>
      <c r="S189" s="6">
        <f t="shared" si="22"/>
        <v>-1388822.6200000048</v>
      </c>
      <c r="T189" s="7">
        <f t="shared" si="23"/>
        <v>1.9054283555767899E-2</v>
      </c>
    </row>
    <row r="190" spans="1:20" ht="15" x14ac:dyDescent="0.25">
      <c r="A190" t="s">
        <v>175</v>
      </c>
      <c r="B190" t="s">
        <v>149</v>
      </c>
      <c r="C190" t="s">
        <v>41</v>
      </c>
      <c r="D190" t="s">
        <v>11</v>
      </c>
      <c r="E190" s="6">
        <f>_xlfn.IFNA(IF(VLOOKUP($A190,'BU Raw Before'!A:H,1,FALSE)=$A190,VLOOKUP($A190,'BU Raw Before'!A:H,5,FALSE),0),0)</f>
        <v>124713255.73</v>
      </c>
      <c r="F190" s="6">
        <f>_xlfn.IFNA(IF(VLOOKUP($A190,'BU Raw After'!A:H,1,FALSE)=$A190,VLOOKUP($A190,'BU Raw After'!A:H,5,FALSE),0),0)</f>
        <v>130671413.36</v>
      </c>
      <c r="G190" s="6">
        <f t="shared" si="16"/>
        <v>5958157.6299999952</v>
      </c>
      <c r="H190" s="7">
        <f t="shared" si="17"/>
        <v>4.5596488756000975E-2</v>
      </c>
      <c r="I190" s="6">
        <f>_xlfn.IFNA(IF(VLOOKUP($A190,'BU Raw Before'!A:H,1,FALSE)=$A190,VLOOKUP($A190,'BU Raw Before'!A:H,6,FALSE),0),0)</f>
        <v>881</v>
      </c>
      <c r="J190" s="6">
        <f>_xlfn.IFNA(IF(VLOOKUP($A190,'BU Raw After'!A:H,1,FALSE)=$A190,VLOOKUP($A190,'BU Raw After'!A:H,6,FALSE),0),0)</f>
        <v>930</v>
      </c>
      <c r="K190" s="6">
        <f t="shared" si="18"/>
        <v>49</v>
      </c>
      <c r="L190" s="7">
        <f t="shared" si="19"/>
        <v>5.2688172043010753E-2</v>
      </c>
      <c r="M190" s="6">
        <f>_xlfn.IFNA(IF(VLOOKUP($A190,'BU Raw Before'!A:H,1,FALSE)=$A190,VLOOKUP($A190,'BU Raw Before'!A:H,7,FALSE),0),0)</f>
        <v>2747</v>
      </c>
      <c r="N190" s="6">
        <f>_xlfn.IFNA(IF(VLOOKUP($A190,'BU Raw After'!A:H,1,FALSE)=$A190,VLOOKUP($A190,'BU Raw After'!A:H,7,FALSE),0),0)</f>
        <v>3001</v>
      </c>
      <c r="O190" s="6">
        <f t="shared" si="20"/>
        <v>254</v>
      </c>
      <c r="P190" s="7">
        <f t="shared" si="21"/>
        <v>8.4638453848717099E-2</v>
      </c>
      <c r="Q190" s="6">
        <f>_xlfn.IFNA(IF(VLOOKUP($A190,'BU Raw Before'!A:H,1,FALSE)=$A190,VLOOKUP($A190,'BU Raw Before'!A:H,8,FALSE),0),0)</f>
        <v>-32568613.370000001</v>
      </c>
      <c r="R190" s="6">
        <f>_xlfn.IFNA(IF(VLOOKUP($A190,'BU Raw After'!A:H,1,FALSE)=$A190,VLOOKUP($A190,'BU Raw After'!A:H,8,FALSE),0),0)</f>
        <v>-33542972.149999999</v>
      </c>
      <c r="S190" s="6">
        <f t="shared" si="22"/>
        <v>-974358.77999999747</v>
      </c>
      <c r="T190" s="7">
        <f t="shared" si="23"/>
        <v>2.9048075276179648E-2</v>
      </c>
    </row>
    <row r="191" spans="1:20" ht="15" x14ac:dyDescent="0.25">
      <c r="A191" t="s">
        <v>176</v>
      </c>
      <c r="B191" t="s">
        <v>149</v>
      </c>
      <c r="C191" t="s">
        <v>41</v>
      </c>
      <c r="D191" t="s">
        <v>13</v>
      </c>
      <c r="E191" s="6">
        <f>_xlfn.IFNA(IF(VLOOKUP($A191,'BU Raw Before'!A:H,1,FALSE)=$A191,VLOOKUP($A191,'BU Raw Before'!A:H,5,FALSE),0),0)</f>
        <v>99360980.129999995</v>
      </c>
      <c r="F191" s="6">
        <f>_xlfn.IFNA(IF(VLOOKUP($A191,'BU Raw After'!A:H,1,FALSE)=$A191,VLOOKUP($A191,'BU Raw After'!A:H,5,FALSE),0),0)</f>
        <v>88789666.790000007</v>
      </c>
      <c r="G191" s="6">
        <f t="shared" si="16"/>
        <v>-10571313.339999989</v>
      </c>
      <c r="H191" s="7">
        <f t="shared" si="17"/>
        <v>-0.11906017583107531</v>
      </c>
      <c r="I191" s="6">
        <f>_xlfn.IFNA(IF(VLOOKUP($A191,'BU Raw Before'!A:H,1,FALSE)=$A191,VLOOKUP($A191,'BU Raw Before'!A:H,6,FALSE),0),0)</f>
        <v>564</v>
      </c>
      <c r="J191" s="6">
        <f>_xlfn.IFNA(IF(VLOOKUP($A191,'BU Raw After'!A:H,1,FALSE)=$A191,VLOOKUP($A191,'BU Raw After'!A:H,6,FALSE),0),0)</f>
        <v>508</v>
      </c>
      <c r="K191" s="6">
        <f t="shared" si="18"/>
        <v>-56</v>
      </c>
      <c r="L191" s="7">
        <f t="shared" si="19"/>
        <v>-0.11023622047244094</v>
      </c>
      <c r="M191" s="6">
        <f>_xlfn.IFNA(IF(VLOOKUP($A191,'BU Raw Before'!A:H,1,FALSE)=$A191,VLOOKUP($A191,'BU Raw Before'!A:H,7,FALSE),0),0)</f>
        <v>2343</v>
      </c>
      <c r="N191" s="6">
        <f>_xlfn.IFNA(IF(VLOOKUP($A191,'BU Raw After'!A:H,1,FALSE)=$A191,VLOOKUP($A191,'BU Raw After'!A:H,7,FALSE),0),0)</f>
        <v>2049</v>
      </c>
      <c r="O191" s="6">
        <f t="shared" si="20"/>
        <v>-294</v>
      </c>
      <c r="P191" s="7">
        <f t="shared" si="21"/>
        <v>-0.14348462664714495</v>
      </c>
      <c r="Q191" s="6">
        <f>_xlfn.IFNA(IF(VLOOKUP($A191,'BU Raw Before'!A:H,1,FALSE)=$A191,VLOOKUP($A191,'BU Raw Before'!A:H,8,FALSE),0),0)</f>
        <v>-27872742.5</v>
      </c>
      <c r="R191" s="6">
        <f>_xlfn.IFNA(IF(VLOOKUP($A191,'BU Raw After'!A:H,1,FALSE)=$A191,VLOOKUP($A191,'BU Raw After'!A:H,8,FALSE),0),0)</f>
        <v>-23073628.84</v>
      </c>
      <c r="S191" s="6">
        <f t="shared" si="22"/>
        <v>4799113.66</v>
      </c>
      <c r="T191" s="7">
        <f t="shared" si="23"/>
        <v>-0.20799128274440945</v>
      </c>
    </row>
    <row r="192" spans="1:20" ht="15" x14ac:dyDescent="0.25">
      <c r="A192" t="s">
        <v>177</v>
      </c>
      <c r="B192" t="s">
        <v>149</v>
      </c>
      <c r="C192" t="s">
        <v>41</v>
      </c>
      <c r="D192" t="s">
        <v>15</v>
      </c>
      <c r="E192" s="6">
        <f>_xlfn.IFNA(IF(VLOOKUP($A192,'BU Raw Before'!A:H,1,FALSE)=$A192,VLOOKUP($A192,'BU Raw Before'!A:H,5,FALSE),0),0)</f>
        <v>45548830.899999999</v>
      </c>
      <c r="F192" s="6">
        <f>_xlfn.IFNA(IF(VLOOKUP($A192,'BU Raw After'!A:H,1,FALSE)=$A192,VLOOKUP($A192,'BU Raw After'!A:H,5,FALSE),0),0)</f>
        <v>40083068.600000001</v>
      </c>
      <c r="G192" s="6">
        <f t="shared" si="16"/>
        <v>-5465762.299999997</v>
      </c>
      <c r="H192" s="7">
        <f t="shared" si="17"/>
        <v>-0.13636087482583598</v>
      </c>
      <c r="I192" s="6">
        <f>_xlfn.IFNA(IF(VLOOKUP($A192,'BU Raw Before'!A:H,1,FALSE)=$A192,VLOOKUP($A192,'BU Raw Before'!A:H,6,FALSE),0),0)</f>
        <v>215</v>
      </c>
      <c r="J192" s="6">
        <f>_xlfn.IFNA(IF(VLOOKUP($A192,'BU Raw After'!A:H,1,FALSE)=$A192,VLOOKUP($A192,'BU Raw After'!A:H,6,FALSE),0),0)</f>
        <v>203</v>
      </c>
      <c r="K192" s="6">
        <f t="shared" si="18"/>
        <v>-12</v>
      </c>
      <c r="L192" s="7">
        <f t="shared" si="19"/>
        <v>-5.9113300492610835E-2</v>
      </c>
      <c r="M192" s="6">
        <f>_xlfn.IFNA(IF(VLOOKUP($A192,'BU Raw Before'!A:H,1,FALSE)=$A192,VLOOKUP($A192,'BU Raw Before'!A:H,7,FALSE),0),0)</f>
        <v>884</v>
      </c>
      <c r="N192" s="6">
        <f>_xlfn.IFNA(IF(VLOOKUP($A192,'BU Raw After'!A:H,1,FALSE)=$A192,VLOOKUP($A192,'BU Raw After'!A:H,7,FALSE),0),0)</f>
        <v>824</v>
      </c>
      <c r="O192" s="6">
        <f t="shared" si="20"/>
        <v>-60</v>
      </c>
      <c r="P192" s="7">
        <f t="shared" si="21"/>
        <v>-7.281553398058252E-2</v>
      </c>
      <c r="Q192" s="6">
        <f>_xlfn.IFNA(IF(VLOOKUP($A192,'BU Raw Before'!A:H,1,FALSE)=$A192,VLOOKUP($A192,'BU Raw Before'!A:H,8,FALSE),0),0)</f>
        <v>-10784756</v>
      </c>
      <c r="R192" s="6">
        <f>_xlfn.IFNA(IF(VLOOKUP($A192,'BU Raw After'!A:H,1,FALSE)=$A192,VLOOKUP($A192,'BU Raw After'!A:H,8,FALSE),0),0)</f>
        <v>-10598355</v>
      </c>
      <c r="S192" s="6">
        <f t="shared" si="22"/>
        <v>186401</v>
      </c>
      <c r="T192" s="7">
        <f t="shared" si="23"/>
        <v>-1.7587729416499071E-2</v>
      </c>
    </row>
    <row r="193" spans="1:20" ht="15" x14ac:dyDescent="0.25">
      <c r="A193" t="s">
        <v>178</v>
      </c>
      <c r="B193" t="s">
        <v>149</v>
      </c>
      <c r="C193" t="s">
        <v>41</v>
      </c>
      <c r="D193" t="s">
        <v>17</v>
      </c>
      <c r="E193" s="6">
        <f>_xlfn.IFNA(IF(VLOOKUP($A193,'BU Raw Before'!A:H,1,FALSE)=$A193,VLOOKUP($A193,'BU Raw Before'!A:H,5,FALSE),0),0)</f>
        <v>46258753.280000001</v>
      </c>
      <c r="F193" s="6">
        <f>_xlfn.IFNA(IF(VLOOKUP($A193,'BU Raw After'!A:H,1,FALSE)=$A193,VLOOKUP($A193,'BU Raw After'!A:H,5,FALSE),0),0)</f>
        <v>35132751.899999999</v>
      </c>
      <c r="G193" s="6">
        <f t="shared" si="16"/>
        <v>-11126001.380000003</v>
      </c>
      <c r="H193" s="7">
        <f t="shared" si="17"/>
        <v>-0.31668459708674296</v>
      </c>
      <c r="I193" s="6">
        <f>_xlfn.IFNA(IF(VLOOKUP($A193,'BU Raw Before'!A:H,1,FALSE)=$A193,VLOOKUP($A193,'BU Raw Before'!A:H,6,FALSE),0),0)</f>
        <v>104</v>
      </c>
      <c r="J193" s="6">
        <f>_xlfn.IFNA(IF(VLOOKUP($A193,'BU Raw After'!A:H,1,FALSE)=$A193,VLOOKUP($A193,'BU Raw After'!A:H,6,FALSE),0),0)</f>
        <v>93</v>
      </c>
      <c r="K193" s="6">
        <f t="shared" si="18"/>
        <v>-11</v>
      </c>
      <c r="L193" s="7">
        <f t="shared" si="19"/>
        <v>-0.11827956989247312</v>
      </c>
      <c r="M193" s="6">
        <f>_xlfn.IFNA(IF(VLOOKUP($A193,'BU Raw Before'!A:H,1,FALSE)=$A193,VLOOKUP($A193,'BU Raw Before'!A:H,7,FALSE),0),0)</f>
        <v>477</v>
      </c>
      <c r="N193" s="6">
        <f>_xlfn.IFNA(IF(VLOOKUP($A193,'BU Raw After'!A:H,1,FALSE)=$A193,VLOOKUP($A193,'BU Raw After'!A:H,7,FALSE),0),0)</f>
        <v>420</v>
      </c>
      <c r="O193" s="6">
        <f t="shared" si="20"/>
        <v>-57</v>
      </c>
      <c r="P193" s="7">
        <f t="shared" si="21"/>
        <v>-0.1357142857142857</v>
      </c>
      <c r="Q193" s="6">
        <f>_xlfn.IFNA(IF(VLOOKUP($A193,'BU Raw Before'!A:H,1,FALSE)=$A193,VLOOKUP($A193,'BU Raw Before'!A:H,8,FALSE),0),0)</f>
        <v>-6593601.5</v>
      </c>
      <c r="R193" s="6">
        <f>_xlfn.IFNA(IF(VLOOKUP($A193,'BU Raw After'!A:H,1,FALSE)=$A193,VLOOKUP($A193,'BU Raw After'!A:H,8,FALSE),0),0)</f>
        <v>-5051373.5</v>
      </c>
      <c r="S193" s="6">
        <f t="shared" si="22"/>
        <v>1542228</v>
      </c>
      <c r="T193" s="7">
        <f t="shared" si="23"/>
        <v>-0.30530864526252116</v>
      </c>
    </row>
    <row r="194" spans="1:20" ht="15" x14ac:dyDescent="0.25">
      <c r="A194" t="s">
        <v>179</v>
      </c>
      <c r="B194" t="s">
        <v>149</v>
      </c>
      <c r="C194" t="s">
        <v>41</v>
      </c>
      <c r="D194" t="s">
        <v>19</v>
      </c>
      <c r="E194" s="6">
        <f>_xlfn.IFNA(IF(VLOOKUP($A194,'BU Raw Before'!A:H,1,FALSE)=$A194,VLOOKUP($A194,'BU Raw Before'!A:H,5,FALSE),0),0)</f>
        <v>60708089.200000003</v>
      </c>
      <c r="F194" s="6">
        <f>_xlfn.IFNA(IF(VLOOKUP($A194,'BU Raw After'!A:H,1,FALSE)=$A194,VLOOKUP($A194,'BU Raw After'!A:H,5,FALSE),0),0)</f>
        <v>67013446.850000001</v>
      </c>
      <c r="G194" s="6">
        <f t="shared" si="16"/>
        <v>6305357.6499999985</v>
      </c>
      <c r="H194" s="7">
        <f t="shared" si="17"/>
        <v>9.4090931691868315E-2</v>
      </c>
      <c r="I194" s="6">
        <f>_xlfn.IFNA(IF(VLOOKUP($A194,'BU Raw Before'!A:H,1,FALSE)=$A194,VLOOKUP($A194,'BU Raw Before'!A:H,6,FALSE),0),0)</f>
        <v>137</v>
      </c>
      <c r="J194" s="6">
        <f>_xlfn.IFNA(IF(VLOOKUP($A194,'BU Raw After'!A:H,1,FALSE)=$A194,VLOOKUP($A194,'BU Raw After'!A:H,6,FALSE),0),0)</f>
        <v>135</v>
      </c>
      <c r="K194" s="6">
        <f t="shared" si="18"/>
        <v>-2</v>
      </c>
      <c r="L194" s="7">
        <f t="shared" si="19"/>
        <v>-1.4814814814814815E-2</v>
      </c>
      <c r="M194" s="6">
        <f>_xlfn.IFNA(IF(VLOOKUP($A194,'BU Raw Before'!A:H,1,FALSE)=$A194,VLOOKUP($A194,'BU Raw Before'!A:H,7,FALSE),0),0)</f>
        <v>852</v>
      </c>
      <c r="N194" s="6">
        <f>_xlfn.IFNA(IF(VLOOKUP($A194,'BU Raw After'!A:H,1,FALSE)=$A194,VLOOKUP($A194,'BU Raw After'!A:H,7,FALSE),0),0)</f>
        <v>834</v>
      </c>
      <c r="O194" s="6">
        <f t="shared" si="20"/>
        <v>-18</v>
      </c>
      <c r="P194" s="7">
        <f t="shared" si="21"/>
        <v>-2.1582733812949641E-2</v>
      </c>
      <c r="Q194" s="6">
        <f>_xlfn.IFNA(IF(VLOOKUP($A194,'BU Raw Before'!A:H,1,FALSE)=$A194,VLOOKUP($A194,'BU Raw Before'!A:H,8,FALSE),0),0)</f>
        <v>-11398870</v>
      </c>
      <c r="R194" s="6">
        <f>_xlfn.IFNA(IF(VLOOKUP($A194,'BU Raw After'!A:H,1,FALSE)=$A194,VLOOKUP($A194,'BU Raw After'!A:H,8,FALSE),0),0)</f>
        <v>-10008694</v>
      </c>
      <c r="S194" s="6">
        <f t="shared" si="22"/>
        <v>1390176</v>
      </c>
      <c r="T194" s="7">
        <f t="shared" si="23"/>
        <v>-0.13889684308462222</v>
      </c>
    </row>
    <row r="195" spans="1:20" ht="15" x14ac:dyDescent="0.25">
      <c r="A195" t="s">
        <v>180</v>
      </c>
      <c r="B195" t="s">
        <v>149</v>
      </c>
      <c r="C195" t="s">
        <v>41</v>
      </c>
      <c r="D195" t="s">
        <v>21</v>
      </c>
      <c r="E195" s="6">
        <f>_xlfn.IFNA(IF(VLOOKUP($A195,'BU Raw Before'!A:H,1,FALSE)=$A195,VLOOKUP($A195,'BU Raw Before'!A:H,5,FALSE),0),0)</f>
        <v>104640162.34999999</v>
      </c>
      <c r="F195" s="6">
        <f>_xlfn.IFNA(IF(VLOOKUP($A195,'BU Raw After'!A:H,1,FALSE)=$A195,VLOOKUP($A195,'BU Raw After'!A:H,5,FALSE),0),0)</f>
        <v>146360806.37</v>
      </c>
      <c r="G195" s="6">
        <f t="shared" si="16"/>
        <v>41720644.020000011</v>
      </c>
      <c r="H195" s="7">
        <f t="shared" si="17"/>
        <v>0.28505339000750141</v>
      </c>
      <c r="I195" s="6">
        <f>_xlfn.IFNA(IF(VLOOKUP($A195,'BU Raw Before'!A:H,1,FALSE)=$A195,VLOOKUP($A195,'BU Raw Before'!A:H,6,FALSE),0),0)</f>
        <v>1648</v>
      </c>
      <c r="J195" s="6">
        <f>_xlfn.IFNA(IF(VLOOKUP($A195,'BU Raw After'!A:H,1,FALSE)=$A195,VLOOKUP($A195,'BU Raw After'!A:H,6,FALSE),0),0)</f>
        <v>3291</v>
      </c>
      <c r="K195" s="6">
        <f t="shared" si="18"/>
        <v>1643</v>
      </c>
      <c r="L195" s="7">
        <f t="shared" si="19"/>
        <v>0.49924035247645093</v>
      </c>
      <c r="M195" s="6">
        <f>_xlfn.IFNA(IF(VLOOKUP($A195,'BU Raw Before'!A:H,1,FALSE)=$A195,VLOOKUP($A195,'BU Raw Before'!A:H,7,FALSE),0),0)</f>
        <v>1671</v>
      </c>
      <c r="N195" s="6">
        <f>_xlfn.IFNA(IF(VLOOKUP($A195,'BU Raw After'!A:H,1,FALSE)=$A195,VLOOKUP($A195,'BU Raw After'!A:H,7,FALSE),0),0)</f>
        <v>3456</v>
      </c>
      <c r="O195" s="6">
        <f t="shared" si="20"/>
        <v>1785</v>
      </c>
      <c r="P195" s="7">
        <f t="shared" si="21"/>
        <v>0.51649305555555558</v>
      </c>
      <c r="Q195" s="6">
        <f>_xlfn.IFNA(IF(VLOOKUP($A195,'BU Raw Before'!A:H,1,FALSE)=$A195,VLOOKUP($A195,'BU Raw Before'!A:H,8,FALSE),0),0)</f>
        <v>-13913920</v>
      </c>
      <c r="R195" s="6">
        <f>_xlfn.IFNA(IF(VLOOKUP($A195,'BU Raw After'!A:H,1,FALSE)=$A195,VLOOKUP($A195,'BU Raw After'!A:H,8,FALSE),0),0)</f>
        <v>-23877697.390000001</v>
      </c>
      <c r="S195" s="6">
        <f t="shared" si="22"/>
        <v>-9963777.3900000006</v>
      </c>
      <c r="T195" s="7">
        <f t="shared" si="23"/>
        <v>0.41728384555928072</v>
      </c>
    </row>
    <row r="196" spans="1:20" ht="15" x14ac:dyDescent="0.25">
      <c r="A196" t="s">
        <v>336</v>
      </c>
      <c r="B196" t="s">
        <v>149</v>
      </c>
      <c r="C196" t="s">
        <v>286</v>
      </c>
      <c r="D196" t="s">
        <v>7</v>
      </c>
      <c r="E196" s="6">
        <f>_xlfn.IFNA(IF(VLOOKUP($A196,'BU Raw Before'!A:H,1,FALSE)=$A196,VLOOKUP($A196,'BU Raw Before'!A:H,5,FALSE),0),0)</f>
        <v>10263755617.870001</v>
      </c>
      <c r="F196" s="6">
        <f>_xlfn.IFNA(IF(VLOOKUP($A196,'BU Raw After'!A:H,1,FALSE)=$A196,VLOOKUP($A196,'BU Raw After'!A:H,5,FALSE),0),0)</f>
        <v>12129819620.66</v>
      </c>
      <c r="G196" s="6">
        <f t="shared" ref="G196:G260" si="24">F196-E196</f>
        <v>1866064002.789999</v>
      </c>
      <c r="H196" s="7">
        <f t="shared" ref="H196:H260" si="25">IFERROR(G196/F196,0)</f>
        <v>0.15384103483382747</v>
      </c>
      <c r="I196" s="6">
        <f>_xlfn.IFNA(IF(VLOOKUP($A196,'BU Raw Before'!A:H,1,FALSE)=$A196,VLOOKUP($A196,'BU Raw Before'!A:H,6,FALSE),0),0)</f>
        <v>105656</v>
      </c>
      <c r="J196" s="6">
        <f>_xlfn.IFNA(IF(VLOOKUP($A196,'BU Raw After'!A:H,1,FALSE)=$A196,VLOOKUP($A196,'BU Raw After'!A:H,6,FALSE),0),0)</f>
        <v>131642</v>
      </c>
      <c r="K196" s="6">
        <f t="shared" ref="K196:K260" si="26">J196-I196</f>
        <v>25986</v>
      </c>
      <c r="L196" s="7">
        <f t="shared" ref="L196:L260" si="27">IFERROR(K196/J196,0)</f>
        <v>0.19739900639613497</v>
      </c>
      <c r="M196" s="6">
        <f>_xlfn.IFNA(IF(VLOOKUP($A196,'BU Raw Before'!A:H,1,FALSE)=$A196,VLOOKUP($A196,'BU Raw Before'!A:H,7,FALSE),0),0)</f>
        <v>124105</v>
      </c>
      <c r="N196" s="6">
        <f>_xlfn.IFNA(IF(VLOOKUP($A196,'BU Raw After'!A:H,1,FALSE)=$A196,VLOOKUP($A196,'BU Raw After'!A:H,7,FALSE),0),0)</f>
        <v>155135</v>
      </c>
      <c r="O196" s="6">
        <f t="shared" ref="O196:O260" si="28">N196-M196</f>
        <v>31030</v>
      </c>
      <c r="P196" s="7">
        <f t="shared" ref="P196:P260" si="29">IFERROR(O196/N196,0)</f>
        <v>0.20001933799593902</v>
      </c>
      <c r="Q196" s="6">
        <f>_xlfn.IFNA(IF(VLOOKUP($A196,'BU Raw Before'!A:H,1,FALSE)=$A196,VLOOKUP($A196,'BU Raw Before'!A:H,8,FALSE),0),0)</f>
        <v>-447051180.20999998</v>
      </c>
      <c r="R196" s="6">
        <f>_xlfn.IFNA(IF(VLOOKUP($A196,'BU Raw After'!A:H,1,FALSE)=$A196,VLOOKUP($A196,'BU Raw After'!A:H,8,FALSE),0),0)</f>
        <v>-424793141.17000002</v>
      </c>
      <c r="S196" s="6">
        <f t="shared" ref="S196:S260" si="30">R196-Q196</f>
        <v>22258039.039999962</v>
      </c>
      <c r="T196" s="7">
        <f t="shared" ref="T196:T260" si="31">IFERROR(S196/R196,0)</f>
        <v>-5.2397359756551271E-2</v>
      </c>
    </row>
    <row r="197" spans="1:20" ht="15" x14ac:dyDescent="0.25">
      <c r="A197" t="s">
        <v>337</v>
      </c>
      <c r="B197" t="s">
        <v>149</v>
      </c>
      <c r="C197" t="s">
        <v>286</v>
      </c>
      <c r="D197" t="s">
        <v>9</v>
      </c>
      <c r="E197" s="6">
        <f>_xlfn.IFNA(IF(VLOOKUP($A197,'BU Raw Before'!A:H,1,FALSE)=$A197,VLOOKUP($A197,'BU Raw Before'!A:H,5,FALSE),0),0)</f>
        <v>461579699.13999999</v>
      </c>
      <c r="F197" s="6">
        <f>_xlfn.IFNA(IF(VLOOKUP($A197,'BU Raw After'!A:H,1,FALSE)=$A197,VLOOKUP($A197,'BU Raw After'!A:H,5,FALSE),0),0)</f>
        <v>608278239.77999997</v>
      </c>
      <c r="G197" s="6">
        <f t="shared" si="24"/>
        <v>146698540.63999999</v>
      </c>
      <c r="H197" s="7">
        <f t="shared" si="25"/>
        <v>0.24117012749470937</v>
      </c>
      <c r="I197" s="6">
        <f>_xlfn.IFNA(IF(VLOOKUP($A197,'BU Raw Before'!A:H,1,FALSE)=$A197,VLOOKUP($A197,'BU Raw Before'!A:H,6,FALSE),0),0)</f>
        <v>3648</v>
      </c>
      <c r="J197" s="6">
        <f>_xlfn.IFNA(IF(VLOOKUP($A197,'BU Raw After'!A:H,1,FALSE)=$A197,VLOOKUP($A197,'BU Raw After'!A:H,6,FALSE),0),0)</f>
        <v>4476</v>
      </c>
      <c r="K197" s="6">
        <f t="shared" si="26"/>
        <v>828</v>
      </c>
      <c r="L197" s="7">
        <f t="shared" si="27"/>
        <v>0.18498659517426275</v>
      </c>
      <c r="M197" s="6">
        <f>_xlfn.IFNA(IF(VLOOKUP($A197,'BU Raw Before'!A:H,1,FALSE)=$A197,VLOOKUP($A197,'BU Raw Before'!A:H,7,FALSE),0),0)</f>
        <v>7354</v>
      </c>
      <c r="N197" s="6">
        <f>_xlfn.IFNA(IF(VLOOKUP($A197,'BU Raw After'!A:H,1,FALSE)=$A197,VLOOKUP($A197,'BU Raw After'!A:H,7,FALSE),0),0)</f>
        <v>8877</v>
      </c>
      <c r="O197" s="6">
        <f t="shared" si="28"/>
        <v>1523</v>
      </c>
      <c r="P197" s="7">
        <f t="shared" si="29"/>
        <v>0.17156697082347641</v>
      </c>
      <c r="Q197" s="6">
        <f>_xlfn.IFNA(IF(VLOOKUP($A197,'BU Raw Before'!A:H,1,FALSE)=$A197,VLOOKUP($A197,'BU Raw Before'!A:H,8,FALSE),0),0)</f>
        <v>-41483418.68</v>
      </c>
      <c r="R197" s="6">
        <f>_xlfn.IFNA(IF(VLOOKUP($A197,'BU Raw After'!A:H,1,FALSE)=$A197,VLOOKUP($A197,'BU Raw After'!A:H,8,FALSE),0),0)</f>
        <v>-46364005.899999999</v>
      </c>
      <c r="S197" s="6">
        <f t="shared" si="30"/>
        <v>-4880587.2199999988</v>
      </c>
      <c r="T197" s="7">
        <f t="shared" si="31"/>
        <v>0.10526672847308906</v>
      </c>
    </row>
    <row r="198" spans="1:20" ht="15" x14ac:dyDescent="0.25">
      <c r="A198" t="s">
        <v>338</v>
      </c>
      <c r="B198" t="s">
        <v>149</v>
      </c>
      <c r="C198" t="s">
        <v>286</v>
      </c>
      <c r="D198" t="s">
        <v>11</v>
      </c>
      <c r="E198" s="6">
        <f>_xlfn.IFNA(IF(VLOOKUP($A198,'BU Raw Before'!A:H,1,FALSE)=$A198,VLOOKUP($A198,'BU Raw Before'!A:H,5,FALSE),0),0)</f>
        <v>194790538.38999999</v>
      </c>
      <c r="F198" s="6">
        <f>_xlfn.IFNA(IF(VLOOKUP($A198,'BU Raw After'!A:H,1,FALSE)=$A198,VLOOKUP($A198,'BU Raw After'!A:H,5,FALSE),0),0)</f>
        <v>215141009.24000001</v>
      </c>
      <c r="G198" s="6">
        <f t="shared" si="24"/>
        <v>20350470.850000024</v>
      </c>
      <c r="H198" s="7">
        <f t="shared" si="25"/>
        <v>9.4591314421594574E-2</v>
      </c>
      <c r="I198" s="6">
        <f>_xlfn.IFNA(IF(VLOOKUP($A198,'BU Raw Before'!A:H,1,FALSE)=$A198,VLOOKUP($A198,'BU Raw Before'!A:H,6,FALSE),0),0)</f>
        <v>1248</v>
      </c>
      <c r="J198" s="6">
        <f>_xlfn.IFNA(IF(VLOOKUP($A198,'BU Raw After'!A:H,1,FALSE)=$A198,VLOOKUP($A198,'BU Raw After'!A:H,6,FALSE),0),0)</f>
        <v>1245</v>
      </c>
      <c r="K198" s="6">
        <f t="shared" si="26"/>
        <v>-3</v>
      </c>
      <c r="L198" s="7">
        <f t="shared" si="27"/>
        <v>-2.4096385542168677E-3</v>
      </c>
      <c r="M198" s="6">
        <f>_xlfn.IFNA(IF(VLOOKUP($A198,'BU Raw Before'!A:H,1,FALSE)=$A198,VLOOKUP($A198,'BU Raw Before'!A:H,7,FALSE),0),0)</f>
        <v>3190</v>
      </c>
      <c r="N198" s="6">
        <f>_xlfn.IFNA(IF(VLOOKUP($A198,'BU Raw After'!A:H,1,FALSE)=$A198,VLOOKUP($A198,'BU Raw After'!A:H,7,FALSE),0),0)</f>
        <v>3284</v>
      </c>
      <c r="O198" s="6">
        <f t="shared" si="28"/>
        <v>94</v>
      </c>
      <c r="P198" s="7">
        <f t="shared" si="29"/>
        <v>2.8623629719853837E-2</v>
      </c>
      <c r="Q198" s="6">
        <f>_xlfn.IFNA(IF(VLOOKUP($A198,'BU Raw Before'!A:H,1,FALSE)=$A198,VLOOKUP($A198,'BU Raw Before'!A:H,8,FALSE),0),0)</f>
        <v>-20827203.309999999</v>
      </c>
      <c r="R198" s="6">
        <f>_xlfn.IFNA(IF(VLOOKUP($A198,'BU Raw After'!A:H,1,FALSE)=$A198,VLOOKUP($A198,'BU Raw After'!A:H,8,FALSE),0),0)</f>
        <v>-20738055.66</v>
      </c>
      <c r="S198" s="6">
        <f t="shared" si="30"/>
        <v>89147.64999999851</v>
      </c>
      <c r="T198" s="7">
        <f t="shared" si="31"/>
        <v>-4.2987467803912004E-3</v>
      </c>
    </row>
    <row r="199" spans="1:20" ht="15" x14ac:dyDescent="0.25">
      <c r="A199" t="s">
        <v>339</v>
      </c>
      <c r="B199" t="s">
        <v>149</v>
      </c>
      <c r="C199" t="s">
        <v>286</v>
      </c>
      <c r="D199" t="s">
        <v>13</v>
      </c>
      <c r="E199" s="6">
        <f>_xlfn.IFNA(IF(VLOOKUP($A199,'BU Raw Before'!A:H,1,FALSE)=$A199,VLOOKUP($A199,'BU Raw Before'!A:H,5,FALSE),0),0)</f>
        <v>90410532.310000002</v>
      </c>
      <c r="F199" s="6">
        <f>_xlfn.IFNA(IF(VLOOKUP($A199,'BU Raw After'!A:H,1,FALSE)=$A199,VLOOKUP($A199,'BU Raw After'!A:H,5,FALSE),0),0)</f>
        <v>195243478.19</v>
      </c>
      <c r="G199" s="6">
        <f t="shared" si="24"/>
        <v>104832945.88</v>
      </c>
      <c r="H199" s="7">
        <f t="shared" si="25"/>
        <v>0.53693443105936911</v>
      </c>
      <c r="I199" s="6">
        <f>_xlfn.IFNA(IF(VLOOKUP($A199,'BU Raw Before'!A:H,1,FALSE)=$A199,VLOOKUP($A199,'BU Raw Before'!A:H,6,FALSE),0),0)</f>
        <v>567</v>
      </c>
      <c r="J199" s="6">
        <f>_xlfn.IFNA(IF(VLOOKUP($A199,'BU Raw After'!A:H,1,FALSE)=$A199,VLOOKUP($A199,'BU Raw After'!A:H,6,FALSE),0),0)</f>
        <v>631</v>
      </c>
      <c r="K199" s="6">
        <f t="shared" si="26"/>
        <v>64</v>
      </c>
      <c r="L199" s="7">
        <f t="shared" si="27"/>
        <v>0.10142630744849446</v>
      </c>
      <c r="M199" s="6">
        <f>_xlfn.IFNA(IF(VLOOKUP($A199,'BU Raw Before'!A:H,1,FALSE)=$A199,VLOOKUP($A199,'BU Raw Before'!A:H,7,FALSE),0),0)</f>
        <v>2080</v>
      </c>
      <c r="N199" s="6">
        <f>_xlfn.IFNA(IF(VLOOKUP($A199,'BU Raw After'!A:H,1,FALSE)=$A199,VLOOKUP($A199,'BU Raw After'!A:H,7,FALSE),0),0)</f>
        <v>2123</v>
      </c>
      <c r="O199" s="6">
        <f t="shared" si="28"/>
        <v>43</v>
      </c>
      <c r="P199" s="7">
        <f t="shared" si="29"/>
        <v>2.025435704192181E-2</v>
      </c>
      <c r="Q199" s="6">
        <f>_xlfn.IFNA(IF(VLOOKUP($A199,'BU Raw Before'!A:H,1,FALSE)=$A199,VLOOKUP($A199,'BU Raw Before'!A:H,8,FALSE),0),0)</f>
        <v>-11896467.460000001</v>
      </c>
      <c r="R199" s="6">
        <f>_xlfn.IFNA(IF(VLOOKUP($A199,'BU Raw After'!A:H,1,FALSE)=$A199,VLOOKUP($A199,'BU Raw After'!A:H,8,FALSE),0),0)</f>
        <v>-13566786.810000001</v>
      </c>
      <c r="S199" s="6">
        <f t="shared" si="30"/>
        <v>-1670319.3499999996</v>
      </c>
      <c r="T199" s="7">
        <f t="shared" si="31"/>
        <v>0.12311827210027483</v>
      </c>
    </row>
    <row r="200" spans="1:20" ht="15" x14ac:dyDescent="0.25">
      <c r="A200" t="s">
        <v>340</v>
      </c>
      <c r="B200" t="s">
        <v>149</v>
      </c>
      <c r="C200" t="s">
        <v>286</v>
      </c>
      <c r="D200" t="s">
        <v>15</v>
      </c>
      <c r="E200" s="6">
        <f>_xlfn.IFNA(IF(VLOOKUP($A200,'BU Raw Before'!A:H,1,FALSE)=$A200,VLOOKUP($A200,'BU Raw Before'!A:H,5,FALSE),0),0)</f>
        <v>86911889.769999996</v>
      </c>
      <c r="F200" s="6">
        <f>_xlfn.IFNA(IF(VLOOKUP($A200,'BU Raw After'!A:H,1,FALSE)=$A200,VLOOKUP($A200,'BU Raw After'!A:H,5,FALSE),0),0)</f>
        <v>69250755.099999994</v>
      </c>
      <c r="G200" s="6">
        <f t="shared" si="24"/>
        <v>-17661134.670000002</v>
      </c>
      <c r="H200" s="7">
        <f t="shared" si="25"/>
        <v>-0.25503165481007156</v>
      </c>
      <c r="I200" s="6">
        <f>_xlfn.IFNA(IF(VLOOKUP($A200,'BU Raw Before'!A:H,1,FALSE)=$A200,VLOOKUP($A200,'BU Raw Before'!A:H,6,FALSE),0),0)</f>
        <v>300</v>
      </c>
      <c r="J200" s="6">
        <f>_xlfn.IFNA(IF(VLOOKUP($A200,'BU Raw After'!A:H,1,FALSE)=$A200,VLOOKUP($A200,'BU Raw After'!A:H,6,FALSE),0),0)</f>
        <v>261</v>
      </c>
      <c r="K200" s="6">
        <f t="shared" si="26"/>
        <v>-39</v>
      </c>
      <c r="L200" s="7">
        <f t="shared" si="27"/>
        <v>-0.14942528735632185</v>
      </c>
      <c r="M200" s="6">
        <f>_xlfn.IFNA(IF(VLOOKUP($A200,'BU Raw Before'!A:H,1,FALSE)=$A200,VLOOKUP($A200,'BU Raw Before'!A:H,7,FALSE),0),0)</f>
        <v>836</v>
      </c>
      <c r="N200" s="6">
        <f>_xlfn.IFNA(IF(VLOOKUP($A200,'BU Raw After'!A:H,1,FALSE)=$A200,VLOOKUP($A200,'BU Raw After'!A:H,7,FALSE),0),0)</f>
        <v>830</v>
      </c>
      <c r="O200" s="6">
        <f t="shared" si="28"/>
        <v>-6</v>
      </c>
      <c r="P200" s="7">
        <f t="shared" si="29"/>
        <v>-7.2289156626506026E-3</v>
      </c>
      <c r="Q200" s="6">
        <f>_xlfn.IFNA(IF(VLOOKUP($A200,'BU Raw Before'!A:H,1,FALSE)=$A200,VLOOKUP($A200,'BU Raw Before'!A:H,8,FALSE),0),0)</f>
        <v>-4777704.01</v>
      </c>
      <c r="R200" s="6">
        <f>_xlfn.IFNA(IF(VLOOKUP($A200,'BU Raw After'!A:H,1,FALSE)=$A200,VLOOKUP($A200,'BU Raw After'!A:H,8,FALSE),0),0)</f>
        <v>-5264423</v>
      </c>
      <c r="S200" s="6">
        <f t="shared" si="30"/>
        <v>-486718.99000000022</v>
      </c>
      <c r="T200" s="7">
        <f t="shared" si="31"/>
        <v>9.2454384839516165E-2</v>
      </c>
    </row>
    <row r="201" spans="1:20" ht="15" x14ac:dyDescent="0.25">
      <c r="A201" t="s">
        <v>341</v>
      </c>
      <c r="B201" t="s">
        <v>149</v>
      </c>
      <c r="C201" t="s">
        <v>286</v>
      </c>
      <c r="D201" t="s">
        <v>17</v>
      </c>
      <c r="E201" s="6">
        <f>_xlfn.IFNA(IF(VLOOKUP($A201,'BU Raw Before'!A:H,1,FALSE)=$A201,VLOOKUP($A201,'BU Raw Before'!A:H,5,FALSE),0),0)</f>
        <v>73017206.510000005</v>
      </c>
      <c r="F201" s="6">
        <f>_xlfn.IFNA(IF(VLOOKUP($A201,'BU Raw After'!A:H,1,FALSE)=$A201,VLOOKUP($A201,'BU Raw After'!A:H,5,FALSE),0),0)</f>
        <v>74151321.829999998</v>
      </c>
      <c r="G201" s="6">
        <f t="shared" si="24"/>
        <v>1134115.3199999928</v>
      </c>
      <c r="H201" s="7">
        <f t="shared" si="25"/>
        <v>1.529460692015816E-2</v>
      </c>
      <c r="I201" s="6">
        <f>_xlfn.IFNA(IF(VLOOKUP($A201,'BU Raw Before'!A:H,1,FALSE)=$A201,VLOOKUP($A201,'BU Raw Before'!A:H,6,FALSE),0),0)</f>
        <v>217</v>
      </c>
      <c r="J201" s="6">
        <f>_xlfn.IFNA(IF(VLOOKUP($A201,'BU Raw After'!A:H,1,FALSE)=$A201,VLOOKUP($A201,'BU Raw After'!A:H,6,FALSE),0),0)</f>
        <v>182</v>
      </c>
      <c r="K201" s="6">
        <f t="shared" si="26"/>
        <v>-35</v>
      </c>
      <c r="L201" s="7">
        <f t="shared" si="27"/>
        <v>-0.19230769230769232</v>
      </c>
      <c r="M201" s="6">
        <f>_xlfn.IFNA(IF(VLOOKUP($A201,'BU Raw Before'!A:H,1,FALSE)=$A201,VLOOKUP($A201,'BU Raw Before'!A:H,7,FALSE),0),0)</f>
        <v>446</v>
      </c>
      <c r="N201" s="6">
        <f>_xlfn.IFNA(IF(VLOOKUP($A201,'BU Raw After'!A:H,1,FALSE)=$A201,VLOOKUP($A201,'BU Raw After'!A:H,7,FALSE),0),0)</f>
        <v>568</v>
      </c>
      <c r="O201" s="6">
        <f t="shared" si="28"/>
        <v>122</v>
      </c>
      <c r="P201" s="7">
        <f t="shared" si="29"/>
        <v>0.21478873239436619</v>
      </c>
      <c r="Q201" s="6">
        <f>_xlfn.IFNA(IF(VLOOKUP($A201,'BU Raw Before'!A:H,1,FALSE)=$A201,VLOOKUP($A201,'BU Raw Before'!A:H,8,FALSE),0),0)</f>
        <v>-980558.84</v>
      </c>
      <c r="R201" s="6">
        <f>_xlfn.IFNA(IF(VLOOKUP($A201,'BU Raw After'!A:H,1,FALSE)=$A201,VLOOKUP($A201,'BU Raw After'!A:H,8,FALSE),0),0)</f>
        <v>-2574918</v>
      </c>
      <c r="S201" s="6">
        <f t="shared" si="30"/>
        <v>-1594359.1600000001</v>
      </c>
      <c r="T201" s="7">
        <f t="shared" si="31"/>
        <v>0.61918832366700616</v>
      </c>
    </row>
    <row r="202" spans="1:20" ht="15" x14ac:dyDescent="0.25">
      <c r="A202" t="s">
        <v>342</v>
      </c>
      <c r="B202" t="s">
        <v>149</v>
      </c>
      <c r="C202" t="s">
        <v>286</v>
      </c>
      <c r="D202" t="s">
        <v>19</v>
      </c>
      <c r="E202" s="6">
        <f>_xlfn.IFNA(IF(VLOOKUP($A202,'BU Raw Before'!A:H,1,FALSE)=$A202,VLOOKUP($A202,'BU Raw Before'!A:H,5,FALSE),0),0)</f>
        <v>75088226.420000002</v>
      </c>
      <c r="F202" s="6">
        <f>_xlfn.IFNA(IF(VLOOKUP($A202,'BU Raw After'!A:H,1,FALSE)=$A202,VLOOKUP($A202,'BU Raw After'!A:H,5,FALSE),0),0)</f>
        <v>147615974.5</v>
      </c>
      <c r="G202" s="6">
        <f t="shared" si="24"/>
        <v>72527748.079999998</v>
      </c>
      <c r="H202" s="7">
        <f t="shared" si="25"/>
        <v>0.49132723152533875</v>
      </c>
      <c r="I202" s="6">
        <f>_xlfn.IFNA(IF(VLOOKUP($A202,'BU Raw Before'!A:H,1,FALSE)=$A202,VLOOKUP($A202,'BU Raw Before'!A:H,6,FALSE),0),0)</f>
        <v>198</v>
      </c>
      <c r="J202" s="6">
        <f>_xlfn.IFNA(IF(VLOOKUP($A202,'BU Raw After'!A:H,1,FALSE)=$A202,VLOOKUP($A202,'BU Raw After'!A:H,6,FALSE),0),0)</f>
        <v>196</v>
      </c>
      <c r="K202" s="6">
        <f t="shared" si="26"/>
        <v>-2</v>
      </c>
      <c r="L202" s="7">
        <f t="shared" si="27"/>
        <v>-1.020408163265306E-2</v>
      </c>
      <c r="M202" s="6">
        <f>_xlfn.IFNA(IF(VLOOKUP($A202,'BU Raw Before'!A:H,1,FALSE)=$A202,VLOOKUP($A202,'BU Raw Before'!A:H,7,FALSE),0),0)</f>
        <v>824</v>
      </c>
      <c r="N202" s="6">
        <f>_xlfn.IFNA(IF(VLOOKUP($A202,'BU Raw After'!A:H,1,FALSE)=$A202,VLOOKUP($A202,'BU Raw After'!A:H,7,FALSE),0),0)</f>
        <v>1074</v>
      </c>
      <c r="O202" s="6">
        <f t="shared" si="28"/>
        <v>250</v>
      </c>
      <c r="P202" s="7">
        <f t="shared" si="29"/>
        <v>0.23277467411545624</v>
      </c>
      <c r="Q202" s="6">
        <f>_xlfn.IFNA(IF(VLOOKUP($A202,'BU Raw Before'!A:H,1,FALSE)=$A202,VLOOKUP($A202,'BU Raw Before'!A:H,8,FALSE),0),0)</f>
        <v>-3987927.37</v>
      </c>
      <c r="R202" s="6">
        <f>_xlfn.IFNA(IF(VLOOKUP($A202,'BU Raw After'!A:H,1,FALSE)=$A202,VLOOKUP($A202,'BU Raw After'!A:H,8,FALSE),0),0)</f>
        <v>-6056293.5</v>
      </c>
      <c r="S202" s="6">
        <f t="shared" si="30"/>
        <v>-2068366.13</v>
      </c>
      <c r="T202" s="7">
        <f t="shared" si="31"/>
        <v>0.34152343013098685</v>
      </c>
    </row>
    <row r="203" spans="1:20" ht="15" x14ac:dyDescent="0.25">
      <c r="A203" t="s">
        <v>343</v>
      </c>
      <c r="B203" t="s">
        <v>149</v>
      </c>
      <c r="C203" t="s">
        <v>286</v>
      </c>
      <c r="D203" t="s">
        <v>21</v>
      </c>
      <c r="E203" s="6">
        <f>_xlfn.IFNA(IF(VLOOKUP($A203,'BU Raw Before'!A:H,1,FALSE)=$A203,VLOOKUP($A203,'BU Raw Before'!A:H,5,FALSE),0),0)</f>
        <v>135496863.38999999</v>
      </c>
      <c r="F203" s="6">
        <f>_xlfn.IFNA(IF(VLOOKUP($A203,'BU Raw After'!A:H,1,FALSE)=$A203,VLOOKUP($A203,'BU Raw After'!A:H,5,FALSE),0),0)</f>
        <v>223011206.06999999</v>
      </c>
      <c r="G203" s="6">
        <f t="shared" si="24"/>
        <v>87514342.680000007</v>
      </c>
      <c r="H203" s="7">
        <f t="shared" si="25"/>
        <v>0.39242127883264538</v>
      </c>
      <c r="I203" s="6">
        <f>_xlfn.IFNA(IF(VLOOKUP($A203,'BU Raw Before'!A:H,1,FALSE)=$A203,VLOOKUP($A203,'BU Raw Before'!A:H,6,FALSE),0),0)</f>
        <v>2957</v>
      </c>
      <c r="J203" s="6">
        <f>_xlfn.IFNA(IF(VLOOKUP($A203,'BU Raw After'!A:H,1,FALSE)=$A203,VLOOKUP($A203,'BU Raw After'!A:H,6,FALSE),0),0)</f>
        <v>6100</v>
      </c>
      <c r="K203" s="6">
        <f t="shared" si="26"/>
        <v>3143</v>
      </c>
      <c r="L203" s="7">
        <f t="shared" si="27"/>
        <v>0.51524590163934425</v>
      </c>
      <c r="M203" s="6">
        <f>_xlfn.IFNA(IF(VLOOKUP($A203,'BU Raw Before'!A:H,1,FALSE)=$A203,VLOOKUP($A203,'BU Raw Before'!A:H,7,FALSE),0),0)</f>
        <v>3001</v>
      </c>
      <c r="N203" s="6">
        <f>_xlfn.IFNA(IF(VLOOKUP($A203,'BU Raw After'!A:H,1,FALSE)=$A203,VLOOKUP($A203,'BU Raw After'!A:H,7,FALSE),0),0)</f>
        <v>6315</v>
      </c>
      <c r="O203" s="6">
        <f t="shared" si="28"/>
        <v>3314</v>
      </c>
      <c r="P203" s="7">
        <f t="shared" si="29"/>
        <v>0.52478226444972287</v>
      </c>
      <c r="Q203" s="6">
        <f>_xlfn.IFNA(IF(VLOOKUP($A203,'BU Raw Before'!A:H,1,FALSE)=$A203,VLOOKUP($A203,'BU Raw Before'!A:H,8,FALSE),0),0)</f>
        <v>-7966895.5999999996</v>
      </c>
      <c r="R203" s="6">
        <f>_xlfn.IFNA(IF(VLOOKUP($A203,'BU Raw After'!A:H,1,FALSE)=$A203,VLOOKUP($A203,'BU Raw After'!A:H,8,FALSE),0),0)</f>
        <v>-9415996.4000000004</v>
      </c>
      <c r="S203" s="6">
        <f t="shared" si="30"/>
        <v>-1449100.8000000007</v>
      </c>
      <c r="T203" s="7">
        <f t="shared" si="31"/>
        <v>0.15389776487170287</v>
      </c>
    </row>
    <row r="204" spans="1:20" ht="15" x14ac:dyDescent="0.25">
      <c r="A204" t="s">
        <v>181</v>
      </c>
      <c r="B204" t="s">
        <v>182</v>
      </c>
      <c r="C204" t="s">
        <v>6</v>
      </c>
      <c r="D204" t="s">
        <v>7</v>
      </c>
      <c r="E204" s="6">
        <f>_xlfn.IFNA(IF(VLOOKUP($A204,'BU Raw Before'!A:H,1,FALSE)=$A204,VLOOKUP($A204,'BU Raw Before'!A:H,5,FALSE),0),0)</f>
        <v>0</v>
      </c>
      <c r="F204" s="6">
        <f>_xlfn.IFNA(IF(VLOOKUP($A204,'BU Raw After'!A:H,1,FALSE)=$A204,VLOOKUP($A204,'BU Raw After'!A:H,5,FALSE),0),0)</f>
        <v>0</v>
      </c>
      <c r="G204" s="6">
        <f t="shared" si="24"/>
        <v>0</v>
      </c>
      <c r="H204" s="7">
        <f t="shared" si="25"/>
        <v>0</v>
      </c>
      <c r="I204" s="6">
        <f>_xlfn.IFNA(IF(VLOOKUP($A204,'BU Raw Before'!A:H,1,FALSE)=$A204,VLOOKUP($A204,'BU Raw Before'!A:H,6,FALSE),0),0)</f>
        <v>0</v>
      </c>
      <c r="J204" s="6">
        <f>_xlfn.IFNA(IF(VLOOKUP($A204,'BU Raw After'!A:H,1,FALSE)=$A204,VLOOKUP($A204,'BU Raw After'!A:H,6,FALSE),0),0)</f>
        <v>0</v>
      </c>
      <c r="K204" s="6">
        <f t="shared" si="26"/>
        <v>0</v>
      </c>
      <c r="L204" s="7">
        <f t="shared" si="27"/>
        <v>0</v>
      </c>
      <c r="M204" s="6">
        <f>_xlfn.IFNA(IF(VLOOKUP($A204,'BU Raw Before'!A:H,1,FALSE)=$A204,VLOOKUP($A204,'BU Raw Before'!A:H,7,FALSE),0),0)</f>
        <v>0</v>
      </c>
      <c r="N204" s="6">
        <f>_xlfn.IFNA(IF(VLOOKUP($A204,'BU Raw After'!A:H,1,FALSE)=$A204,VLOOKUP($A204,'BU Raw After'!A:H,7,FALSE),0),0)</f>
        <v>0</v>
      </c>
      <c r="O204" s="6">
        <f t="shared" si="28"/>
        <v>0</v>
      </c>
      <c r="P204" s="7">
        <f t="shared" si="29"/>
        <v>0</v>
      </c>
      <c r="Q204" s="6">
        <f>_xlfn.IFNA(IF(VLOOKUP($A204,'BU Raw Before'!A:H,1,FALSE)=$A204,VLOOKUP($A204,'BU Raw Before'!A:H,8,FALSE),0),0)</f>
        <v>0</v>
      </c>
      <c r="R204" s="6">
        <f>_xlfn.IFNA(IF(VLOOKUP($A204,'BU Raw After'!A:H,1,FALSE)=$A204,VLOOKUP($A204,'BU Raw After'!A:H,8,FALSE),0),0)</f>
        <v>0</v>
      </c>
      <c r="S204" s="6">
        <f t="shared" si="30"/>
        <v>0</v>
      </c>
      <c r="T204" s="7">
        <f t="shared" si="31"/>
        <v>0</v>
      </c>
    </row>
    <row r="205" spans="1:20" ht="15" x14ac:dyDescent="0.25">
      <c r="A205" t="s">
        <v>183</v>
      </c>
      <c r="B205" t="s">
        <v>182</v>
      </c>
      <c r="C205" t="s">
        <v>6</v>
      </c>
      <c r="D205" t="s">
        <v>9</v>
      </c>
      <c r="E205" s="6">
        <f>_xlfn.IFNA(IF(VLOOKUP($A205,'BU Raw Before'!A:H,1,FALSE)=$A205,VLOOKUP($A205,'BU Raw Before'!A:H,5,FALSE),0),0)</f>
        <v>0</v>
      </c>
      <c r="F205" s="6">
        <f>_xlfn.IFNA(IF(VLOOKUP($A205,'BU Raw After'!A:H,1,FALSE)=$A205,VLOOKUP($A205,'BU Raw After'!A:H,5,FALSE),0),0)</f>
        <v>0</v>
      </c>
      <c r="G205" s="6">
        <f t="shared" si="24"/>
        <v>0</v>
      </c>
      <c r="H205" s="7">
        <f t="shared" si="25"/>
        <v>0</v>
      </c>
      <c r="I205" s="6">
        <f>_xlfn.IFNA(IF(VLOOKUP($A205,'BU Raw Before'!A:H,1,FALSE)=$A205,VLOOKUP($A205,'BU Raw Before'!A:H,6,FALSE),0),0)</f>
        <v>0</v>
      </c>
      <c r="J205" s="6">
        <f>_xlfn.IFNA(IF(VLOOKUP($A205,'BU Raw After'!A:H,1,FALSE)=$A205,VLOOKUP($A205,'BU Raw After'!A:H,6,FALSE),0),0)</f>
        <v>0</v>
      </c>
      <c r="K205" s="6">
        <f t="shared" si="26"/>
        <v>0</v>
      </c>
      <c r="L205" s="7">
        <f t="shared" si="27"/>
        <v>0</v>
      </c>
      <c r="M205" s="6">
        <f>_xlfn.IFNA(IF(VLOOKUP($A205,'BU Raw Before'!A:H,1,FALSE)=$A205,VLOOKUP($A205,'BU Raw Before'!A:H,7,FALSE),0),0)</f>
        <v>0</v>
      </c>
      <c r="N205" s="6">
        <f>_xlfn.IFNA(IF(VLOOKUP($A205,'BU Raw After'!A:H,1,FALSE)=$A205,VLOOKUP($A205,'BU Raw After'!A:H,7,FALSE),0),0)</f>
        <v>0</v>
      </c>
      <c r="O205" s="6">
        <f t="shared" si="28"/>
        <v>0</v>
      </c>
      <c r="P205" s="7">
        <f t="shared" si="29"/>
        <v>0</v>
      </c>
      <c r="Q205" s="6">
        <f>_xlfn.IFNA(IF(VLOOKUP($A205,'BU Raw Before'!A:H,1,FALSE)=$A205,VLOOKUP($A205,'BU Raw Before'!A:H,8,FALSE),0),0)</f>
        <v>0</v>
      </c>
      <c r="R205" s="6">
        <f>_xlfn.IFNA(IF(VLOOKUP($A205,'BU Raw After'!A:H,1,FALSE)=$A205,VLOOKUP($A205,'BU Raw After'!A:H,8,FALSE),0),0)</f>
        <v>0</v>
      </c>
      <c r="S205" s="6">
        <f t="shared" si="30"/>
        <v>0</v>
      </c>
      <c r="T205" s="7">
        <f t="shared" si="31"/>
        <v>0</v>
      </c>
    </row>
    <row r="206" spans="1:20" ht="15" x14ac:dyDescent="0.25">
      <c r="A206" t="s">
        <v>184</v>
      </c>
      <c r="B206" t="s">
        <v>182</v>
      </c>
      <c r="C206" t="s">
        <v>6</v>
      </c>
      <c r="D206" t="s">
        <v>11</v>
      </c>
      <c r="E206" s="6">
        <f>_xlfn.IFNA(IF(VLOOKUP($A206,'BU Raw Before'!A:H,1,FALSE)=$A206,VLOOKUP($A206,'BU Raw Before'!A:H,5,FALSE),0),0)</f>
        <v>0</v>
      </c>
      <c r="F206" s="6">
        <f>_xlfn.IFNA(IF(VLOOKUP($A206,'BU Raw After'!A:H,1,FALSE)=$A206,VLOOKUP($A206,'BU Raw After'!A:H,5,FALSE),0),0)</f>
        <v>0</v>
      </c>
      <c r="G206" s="6">
        <f t="shared" si="24"/>
        <v>0</v>
      </c>
      <c r="H206" s="7">
        <f t="shared" si="25"/>
        <v>0</v>
      </c>
      <c r="I206" s="6">
        <f>_xlfn.IFNA(IF(VLOOKUP($A206,'BU Raw Before'!A:H,1,FALSE)=$A206,VLOOKUP($A206,'BU Raw Before'!A:H,6,FALSE),0),0)</f>
        <v>0</v>
      </c>
      <c r="J206" s="6">
        <f>_xlfn.IFNA(IF(VLOOKUP($A206,'BU Raw After'!A:H,1,FALSE)=$A206,VLOOKUP($A206,'BU Raw After'!A:H,6,FALSE),0),0)</f>
        <v>0</v>
      </c>
      <c r="K206" s="6">
        <f t="shared" si="26"/>
        <v>0</v>
      </c>
      <c r="L206" s="7">
        <f t="shared" si="27"/>
        <v>0</v>
      </c>
      <c r="M206" s="6">
        <f>_xlfn.IFNA(IF(VLOOKUP($A206,'BU Raw Before'!A:H,1,FALSE)=$A206,VLOOKUP($A206,'BU Raw Before'!A:H,7,FALSE),0),0)</f>
        <v>0</v>
      </c>
      <c r="N206" s="6">
        <f>_xlfn.IFNA(IF(VLOOKUP($A206,'BU Raw After'!A:H,1,FALSE)=$A206,VLOOKUP($A206,'BU Raw After'!A:H,7,FALSE),0),0)</f>
        <v>0</v>
      </c>
      <c r="O206" s="6">
        <f t="shared" si="28"/>
        <v>0</v>
      </c>
      <c r="P206" s="7">
        <f t="shared" si="29"/>
        <v>0</v>
      </c>
      <c r="Q206" s="6">
        <f>_xlfn.IFNA(IF(VLOOKUP($A206,'BU Raw Before'!A:H,1,FALSE)=$A206,VLOOKUP($A206,'BU Raw Before'!A:H,8,FALSE),0),0)</f>
        <v>0</v>
      </c>
      <c r="R206" s="6">
        <f>_xlfn.IFNA(IF(VLOOKUP($A206,'BU Raw After'!A:H,1,FALSE)=$A206,VLOOKUP($A206,'BU Raw After'!A:H,8,FALSE),0),0)</f>
        <v>0</v>
      </c>
      <c r="S206" s="6">
        <f t="shared" si="30"/>
        <v>0</v>
      </c>
      <c r="T206" s="7">
        <f t="shared" si="31"/>
        <v>0</v>
      </c>
    </row>
    <row r="207" spans="1:20" ht="15" x14ac:dyDescent="0.25">
      <c r="A207" t="s">
        <v>185</v>
      </c>
      <c r="B207" t="s">
        <v>182</v>
      </c>
      <c r="C207" t="s">
        <v>6</v>
      </c>
      <c r="D207" t="s">
        <v>13</v>
      </c>
      <c r="E207" s="6">
        <f>_xlfn.IFNA(IF(VLOOKUP($A207,'BU Raw Before'!A:H,1,FALSE)=$A207,VLOOKUP($A207,'BU Raw Before'!A:H,5,FALSE),0),0)</f>
        <v>0</v>
      </c>
      <c r="F207" s="6">
        <f>_xlfn.IFNA(IF(VLOOKUP($A207,'BU Raw After'!A:H,1,FALSE)=$A207,VLOOKUP($A207,'BU Raw After'!A:H,5,FALSE),0),0)</f>
        <v>0</v>
      </c>
      <c r="G207" s="6">
        <f t="shared" si="24"/>
        <v>0</v>
      </c>
      <c r="H207" s="7">
        <f t="shared" si="25"/>
        <v>0</v>
      </c>
      <c r="I207" s="6">
        <f>_xlfn.IFNA(IF(VLOOKUP($A207,'BU Raw Before'!A:H,1,FALSE)=$A207,VLOOKUP($A207,'BU Raw Before'!A:H,6,FALSE),0),0)</f>
        <v>0</v>
      </c>
      <c r="J207" s="6">
        <f>_xlfn.IFNA(IF(VLOOKUP($A207,'BU Raw After'!A:H,1,FALSE)=$A207,VLOOKUP($A207,'BU Raw After'!A:H,6,FALSE),0),0)</f>
        <v>0</v>
      </c>
      <c r="K207" s="6">
        <f t="shared" si="26"/>
        <v>0</v>
      </c>
      <c r="L207" s="7">
        <f t="shared" si="27"/>
        <v>0</v>
      </c>
      <c r="M207" s="6">
        <f>_xlfn.IFNA(IF(VLOOKUP($A207,'BU Raw Before'!A:H,1,FALSE)=$A207,VLOOKUP($A207,'BU Raw Before'!A:H,7,FALSE),0),0)</f>
        <v>0</v>
      </c>
      <c r="N207" s="6">
        <f>_xlfn.IFNA(IF(VLOOKUP($A207,'BU Raw After'!A:H,1,FALSE)=$A207,VLOOKUP($A207,'BU Raw After'!A:H,7,FALSE),0),0)</f>
        <v>0</v>
      </c>
      <c r="O207" s="6">
        <f t="shared" si="28"/>
        <v>0</v>
      </c>
      <c r="P207" s="7">
        <f t="shared" si="29"/>
        <v>0</v>
      </c>
      <c r="Q207" s="6">
        <f>_xlfn.IFNA(IF(VLOOKUP($A207,'BU Raw Before'!A:H,1,FALSE)=$A207,VLOOKUP($A207,'BU Raw Before'!A:H,8,FALSE),0),0)</f>
        <v>0</v>
      </c>
      <c r="R207" s="6">
        <f>_xlfn.IFNA(IF(VLOOKUP($A207,'BU Raw After'!A:H,1,FALSE)=$A207,VLOOKUP($A207,'BU Raw After'!A:H,8,FALSE),0),0)</f>
        <v>0</v>
      </c>
      <c r="S207" s="6">
        <f t="shared" si="30"/>
        <v>0</v>
      </c>
      <c r="T207" s="7">
        <f t="shared" si="31"/>
        <v>0</v>
      </c>
    </row>
    <row r="208" spans="1:20" ht="15" x14ac:dyDescent="0.25">
      <c r="A208" t="s">
        <v>186</v>
      </c>
      <c r="B208" t="s">
        <v>182</v>
      </c>
      <c r="C208" t="s">
        <v>6</v>
      </c>
      <c r="D208" t="s">
        <v>15</v>
      </c>
      <c r="E208" s="6">
        <f>_xlfn.IFNA(IF(VLOOKUP($A208,'BU Raw Before'!A:H,1,FALSE)=$A208,VLOOKUP($A208,'BU Raw Before'!A:H,5,FALSE),0),0)</f>
        <v>0</v>
      </c>
      <c r="F208" s="6">
        <f>_xlfn.IFNA(IF(VLOOKUP($A208,'BU Raw After'!A:H,1,FALSE)=$A208,VLOOKUP($A208,'BU Raw After'!A:H,5,FALSE),0),0)</f>
        <v>0</v>
      </c>
      <c r="G208" s="6">
        <f t="shared" si="24"/>
        <v>0</v>
      </c>
      <c r="H208" s="7">
        <f t="shared" si="25"/>
        <v>0</v>
      </c>
      <c r="I208" s="6">
        <f>_xlfn.IFNA(IF(VLOOKUP($A208,'BU Raw Before'!A:H,1,FALSE)=$A208,VLOOKUP($A208,'BU Raw Before'!A:H,6,FALSE),0),0)</f>
        <v>0</v>
      </c>
      <c r="J208" s="6">
        <f>_xlfn.IFNA(IF(VLOOKUP($A208,'BU Raw After'!A:H,1,FALSE)=$A208,VLOOKUP($A208,'BU Raw After'!A:H,6,FALSE),0),0)</f>
        <v>0</v>
      </c>
      <c r="K208" s="6">
        <f t="shared" si="26"/>
        <v>0</v>
      </c>
      <c r="L208" s="7">
        <f t="shared" si="27"/>
        <v>0</v>
      </c>
      <c r="M208" s="6">
        <f>_xlfn.IFNA(IF(VLOOKUP($A208,'BU Raw Before'!A:H,1,FALSE)=$A208,VLOOKUP($A208,'BU Raw Before'!A:H,7,FALSE),0),0)</f>
        <v>0</v>
      </c>
      <c r="N208" s="6">
        <f>_xlfn.IFNA(IF(VLOOKUP($A208,'BU Raw After'!A:H,1,FALSE)=$A208,VLOOKUP($A208,'BU Raw After'!A:H,7,FALSE),0),0)</f>
        <v>0</v>
      </c>
      <c r="O208" s="6">
        <f t="shared" si="28"/>
        <v>0</v>
      </c>
      <c r="P208" s="7">
        <f t="shared" si="29"/>
        <v>0</v>
      </c>
      <c r="Q208" s="6">
        <f>_xlfn.IFNA(IF(VLOOKUP($A208,'BU Raw Before'!A:H,1,FALSE)=$A208,VLOOKUP($A208,'BU Raw Before'!A:H,8,FALSE),0),0)</f>
        <v>0</v>
      </c>
      <c r="R208" s="6">
        <f>_xlfn.IFNA(IF(VLOOKUP($A208,'BU Raw After'!A:H,1,FALSE)=$A208,VLOOKUP($A208,'BU Raw After'!A:H,8,FALSE),0),0)</f>
        <v>0</v>
      </c>
      <c r="S208" s="6">
        <f t="shared" si="30"/>
        <v>0</v>
      </c>
      <c r="T208" s="7">
        <f t="shared" si="31"/>
        <v>0</v>
      </c>
    </row>
    <row r="209" spans="1:20" ht="15" x14ac:dyDescent="0.25">
      <c r="A209" t="s">
        <v>187</v>
      </c>
      <c r="B209" t="s">
        <v>182</v>
      </c>
      <c r="C209" t="s">
        <v>6</v>
      </c>
      <c r="D209" t="s">
        <v>17</v>
      </c>
      <c r="E209" s="6">
        <f>_xlfn.IFNA(IF(VLOOKUP($A209,'BU Raw Before'!A:H,1,FALSE)=$A209,VLOOKUP($A209,'BU Raw Before'!A:H,5,FALSE),0),0)</f>
        <v>0</v>
      </c>
      <c r="F209" s="6">
        <f>_xlfn.IFNA(IF(VLOOKUP($A209,'BU Raw After'!A:H,1,FALSE)=$A209,VLOOKUP($A209,'BU Raw After'!A:H,5,FALSE),0),0)</f>
        <v>0</v>
      </c>
      <c r="G209" s="6">
        <f t="shared" si="24"/>
        <v>0</v>
      </c>
      <c r="H209" s="7">
        <f t="shared" si="25"/>
        <v>0</v>
      </c>
      <c r="I209" s="6">
        <f>_xlfn.IFNA(IF(VLOOKUP($A209,'BU Raw Before'!A:H,1,FALSE)=$A209,VLOOKUP($A209,'BU Raw Before'!A:H,6,FALSE),0),0)</f>
        <v>0</v>
      </c>
      <c r="J209" s="6">
        <f>_xlfn.IFNA(IF(VLOOKUP($A209,'BU Raw After'!A:H,1,FALSE)=$A209,VLOOKUP($A209,'BU Raw After'!A:H,6,FALSE),0),0)</f>
        <v>0</v>
      </c>
      <c r="K209" s="6">
        <f t="shared" si="26"/>
        <v>0</v>
      </c>
      <c r="L209" s="7">
        <f t="shared" si="27"/>
        <v>0</v>
      </c>
      <c r="M209" s="6">
        <f>_xlfn.IFNA(IF(VLOOKUP($A209,'BU Raw Before'!A:H,1,FALSE)=$A209,VLOOKUP($A209,'BU Raw Before'!A:H,7,FALSE),0),0)</f>
        <v>0</v>
      </c>
      <c r="N209" s="6">
        <f>_xlfn.IFNA(IF(VLOOKUP($A209,'BU Raw After'!A:H,1,FALSE)=$A209,VLOOKUP($A209,'BU Raw After'!A:H,7,FALSE),0),0)</f>
        <v>0</v>
      </c>
      <c r="O209" s="6">
        <f t="shared" si="28"/>
        <v>0</v>
      </c>
      <c r="P209" s="7">
        <f t="shared" si="29"/>
        <v>0</v>
      </c>
      <c r="Q209" s="6">
        <f>_xlfn.IFNA(IF(VLOOKUP($A209,'BU Raw Before'!A:H,1,FALSE)=$A209,VLOOKUP($A209,'BU Raw Before'!A:H,8,FALSE),0),0)</f>
        <v>0</v>
      </c>
      <c r="R209" s="6">
        <f>_xlfn.IFNA(IF(VLOOKUP($A209,'BU Raw After'!A:H,1,FALSE)=$A209,VLOOKUP($A209,'BU Raw After'!A:H,8,FALSE),0),0)</f>
        <v>0</v>
      </c>
      <c r="S209" s="6">
        <f t="shared" si="30"/>
        <v>0</v>
      </c>
      <c r="T209" s="7">
        <f t="shared" si="31"/>
        <v>0</v>
      </c>
    </row>
    <row r="210" spans="1:20" ht="15" x14ac:dyDescent="0.25">
      <c r="A210" t="s">
        <v>188</v>
      </c>
      <c r="B210" t="s">
        <v>182</v>
      </c>
      <c r="C210" t="s">
        <v>6</v>
      </c>
      <c r="D210" t="s">
        <v>19</v>
      </c>
      <c r="E210" s="6">
        <f>_xlfn.IFNA(IF(VLOOKUP($A210,'BU Raw Before'!A:H,1,FALSE)=$A210,VLOOKUP($A210,'BU Raw Before'!A:H,5,FALSE),0),0)</f>
        <v>0</v>
      </c>
      <c r="F210" s="6">
        <f>_xlfn.IFNA(IF(VLOOKUP($A210,'BU Raw After'!A:H,1,FALSE)=$A210,VLOOKUP($A210,'BU Raw After'!A:H,5,FALSE),0),0)</f>
        <v>0</v>
      </c>
      <c r="G210" s="6">
        <f t="shared" si="24"/>
        <v>0</v>
      </c>
      <c r="H210" s="7">
        <f t="shared" si="25"/>
        <v>0</v>
      </c>
      <c r="I210" s="6">
        <f>_xlfn.IFNA(IF(VLOOKUP($A210,'BU Raw Before'!A:H,1,FALSE)=$A210,VLOOKUP($A210,'BU Raw Before'!A:H,6,FALSE),0),0)</f>
        <v>0</v>
      </c>
      <c r="J210" s="6">
        <f>_xlfn.IFNA(IF(VLOOKUP($A210,'BU Raw After'!A:H,1,FALSE)=$A210,VLOOKUP($A210,'BU Raw After'!A:H,6,FALSE),0),0)</f>
        <v>0</v>
      </c>
      <c r="K210" s="6">
        <f t="shared" si="26"/>
        <v>0</v>
      </c>
      <c r="L210" s="7">
        <f t="shared" si="27"/>
        <v>0</v>
      </c>
      <c r="M210" s="6">
        <f>_xlfn.IFNA(IF(VLOOKUP($A210,'BU Raw Before'!A:H,1,FALSE)=$A210,VLOOKUP($A210,'BU Raw Before'!A:H,7,FALSE),0),0)</f>
        <v>0</v>
      </c>
      <c r="N210" s="6">
        <f>_xlfn.IFNA(IF(VLOOKUP($A210,'BU Raw After'!A:H,1,FALSE)=$A210,VLOOKUP($A210,'BU Raw After'!A:H,7,FALSE),0),0)</f>
        <v>0</v>
      </c>
      <c r="O210" s="6">
        <f t="shared" si="28"/>
        <v>0</v>
      </c>
      <c r="P210" s="7">
        <f t="shared" si="29"/>
        <v>0</v>
      </c>
      <c r="Q210" s="6">
        <f>_xlfn.IFNA(IF(VLOOKUP($A210,'BU Raw Before'!A:H,1,FALSE)=$A210,VLOOKUP($A210,'BU Raw Before'!A:H,8,FALSE),0),0)</f>
        <v>0</v>
      </c>
      <c r="R210" s="6">
        <f>_xlfn.IFNA(IF(VLOOKUP($A210,'BU Raw After'!A:H,1,FALSE)=$A210,VLOOKUP($A210,'BU Raw After'!A:H,8,FALSE),0),0)</f>
        <v>0</v>
      </c>
      <c r="S210" s="6">
        <f t="shared" si="30"/>
        <v>0</v>
      </c>
      <c r="T210" s="7">
        <f t="shared" si="31"/>
        <v>0</v>
      </c>
    </row>
    <row r="211" spans="1:20" ht="15" x14ac:dyDescent="0.25">
      <c r="A211" t="s">
        <v>189</v>
      </c>
      <c r="B211" t="s">
        <v>182</v>
      </c>
      <c r="C211" t="s">
        <v>6</v>
      </c>
      <c r="D211" t="s">
        <v>21</v>
      </c>
      <c r="E211" s="6">
        <f>_xlfn.IFNA(IF(VLOOKUP($A211,'BU Raw Before'!A:H,1,FALSE)=$A211,VLOOKUP($A211,'BU Raw Before'!A:H,5,FALSE),0),0)</f>
        <v>0</v>
      </c>
      <c r="F211" s="6">
        <f>_xlfn.IFNA(IF(VLOOKUP($A211,'BU Raw After'!A:H,1,FALSE)=$A211,VLOOKUP($A211,'BU Raw After'!A:H,5,FALSE),0),0)</f>
        <v>0</v>
      </c>
      <c r="G211" s="6">
        <f t="shared" si="24"/>
        <v>0</v>
      </c>
      <c r="H211" s="7">
        <f t="shared" si="25"/>
        <v>0</v>
      </c>
      <c r="I211" s="6">
        <f>_xlfn.IFNA(IF(VLOOKUP($A211,'BU Raw Before'!A:H,1,FALSE)=$A211,VLOOKUP($A211,'BU Raw Before'!A:H,6,FALSE),0),0)</f>
        <v>0</v>
      </c>
      <c r="J211" s="6">
        <f>_xlfn.IFNA(IF(VLOOKUP($A211,'BU Raw After'!A:H,1,FALSE)=$A211,VLOOKUP($A211,'BU Raw After'!A:H,6,FALSE),0),0)</f>
        <v>0</v>
      </c>
      <c r="K211" s="6">
        <f t="shared" si="26"/>
        <v>0</v>
      </c>
      <c r="L211" s="7">
        <f t="shared" si="27"/>
        <v>0</v>
      </c>
      <c r="M211" s="6">
        <f>_xlfn.IFNA(IF(VLOOKUP($A211,'BU Raw Before'!A:H,1,FALSE)=$A211,VLOOKUP($A211,'BU Raw Before'!A:H,7,FALSE),0),0)</f>
        <v>0</v>
      </c>
      <c r="N211" s="6">
        <f>_xlfn.IFNA(IF(VLOOKUP($A211,'BU Raw After'!A:H,1,FALSE)=$A211,VLOOKUP($A211,'BU Raw After'!A:H,7,FALSE),0),0)</f>
        <v>0</v>
      </c>
      <c r="O211" s="6">
        <f t="shared" si="28"/>
        <v>0</v>
      </c>
      <c r="P211" s="7">
        <f t="shared" si="29"/>
        <v>0</v>
      </c>
      <c r="Q211" s="6">
        <f>_xlfn.IFNA(IF(VLOOKUP($A211,'BU Raw Before'!A:H,1,FALSE)=$A211,VLOOKUP($A211,'BU Raw Before'!A:H,8,FALSE),0),0)</f>
        <v>0</v>
      </c>
      <c r="R211" s="6">
        <f>_xlfn.IFNA(IF(VLOOKUP($A211,'BU Raw After'!A:H,1,FALSE)=$A211,VLOOKUP($A211,'BU Raw After'!A:H,8,FALSE),0),0)</f>
        <v>0</v>
      </c>
      <c r="S211" s="6">
        <f t="shared" si="30"/>
        <v>0</v>
      </c>
      <c r="T211" s="7">
        <f t="shared" si="31"/>
        <v>0</v>
      </c>
    </row>
    <row r="212" spans="1:20" ht="15" x14ac:dyDescent="0.25">
      <c r="A212" t="s">
        <v>190</v>
      </c>
      <c r="B212" t="s">
        <v>182</v>
      </c>
      <c r="C212" t="s">
        <v>23</v>
      </c>
      <c r="D212" t="s">
        <v>7</v>
      </c>
      <c r="E212" s="6">
        <f>_xlfn.IFNA(IF(VLOOKUP($A212,'BU Raw Before'!A:H,1,FALSE)=$A212,VLOOKUP($A212,'BU Raw Before'!A:H,5,FALSE),0),0)</f>
        <v>0</v>
      </c>
      <c r="F212" s="6">
        <f>_xlfn.IFNA(IF(VLOOKUP($A212,'BU Raw After'!A:H,1,FALSE)=$A212,VLOOKUP($A212,'BU Raw After'!A:H,5,FALSE),0),0)</f>
        <v>0</v>
      </c>
      <c r="G212" s="6">
        <f t="shared" si="24"/>
        <v>0</v>
      </c>
      <c r="H212" s="7">
        <f t="shared" si="25"/>
        <v>0</v>
      </c>
      <c r="I212" s="6">
        <f>_xlfn.IFNA(IF(VLOOKUP($A212,'BU Raw Before'!A:H,1,FALSE)=$A212,VLOOKUP($A212,'BU Raw Before'!A:H,6,FALSE),0),0)</f>
        <v>0</v>
      </c>
      <c r="J212" s="6">
        <f>_xlfn.IFNA(IF(VLOOKUP($A212,'BU Raw After'!A:H,1,FALSE)=$A212,VLOOKUP($A212,'BU Raw After'!A:H,6,FALSE),0),0)</f>
        <v>0</v>
      </c>
      <c r="K212" s="6">
        <f t="shared" si="26"/>
        <v>0</v>
      </c>
      <c r="L212" s="7">
        <f t="shared" si="27"/>
        <v>0</v>
      </c>
      <c r="M212" s="6">
        <f>_xlfn.IFNA(IF(VLOOKUP($A212,'BU Raw Before'!A:H,1,FALSE)=$A212,VLOOKUP($A212,'BU Raw Before'!A:H,7,FALSE),0),0)</f>
        <v>0</v>
      </c>
      <c r="N212" s="6">
        <f>_xlfn.IFNA(IF(VLOOKUP($A212,'BU Raw After'!A:H,1,FALSE)=$A212,VLOOKUP($A212,'BU Raw After'!A:H,7,FALSE),0),0)</f>
        <v>0</v>
      </c>
      <c r="O212" s="6">
        <f t="shared" si="28"/>
        <v>0</v>
      </c>
      <c r="P212" s="7">
        <f t="shared" si="29"/>
        <v>0</v>
      </c>
      <c r="Q212" s="6">
        <f>_xlfn.IFNA(IF(VLOOKUP($A212,'BU Raw Before'!A:H,1,FALSE)=$A212,VLOOKUP($A212,'BU Raw Before'!A:H,8,FALSE),0),0)</f>
        <v>0</v>
      </c>
      <c r="R212" s="6">
        <f>_xlfn.IFNA(IF(VLOOKUP($A212,'BU Raw After'!A:H,1,FALSE)=$A212,VLOOKUP($A212,'BU Raw After'!A:H,8,FALSE),0),0)</f>
        <v>0</v>
      </c>
      <c r="S212" s="6">
        <f t="shared" si="30"/>
        <v>0</v>
      </c>
      <c r="T212" s="7">
        <f t="shared" si="31"/>
        <v>0</v>
      </c>
    </row>
    <row r="213" spans="1:20" ht="15" x14ac:dyDescent="0.25">
      <c r="A213" t="s">
        <v>191</v>
      </c>
      <c r="B213" t="s">
        <v>182</v>
      </c>
      <c r="C213" t="s">
        <v>23</v>
      </c>
      <c r="D213" t="s">
        <v>9</v>
      </c>
      <c r="E213" s="6">
        <f>_xlfn.IFNA(IF(VLOOKUP($A213,'BU Raw Before'!A:H,1,FALSE)=$A213,VLOOKUP($A213,'BU Raw Before'!A:H,5,FALSE),0),0)</f>
        <v>0</v>
      </c>
      <c r="F213" s="6">
        <f>_xlfn.IFNA(IF(VLOOKUP($A213,'BU Raw After'!A:H,1,FALSE)=$A213,VLOOKUP($A213,'BU Raw After'!A:H,5,FALSE),0),0)</f>
        <v>0</v>
      </c>
      <c r="G213" s="6">
        <f t="shared" si="24"/>
        <v>0</v>
      </c>
      <c r="H213" s="7">
        <f t="shared" si="25"/>
        <v>0</v>
      </c>
      <c r="I213" s="6">
        <f>_xlfn.IFNA(IF(VLOOKUP($A213,'BU Raw Before'!A:H,1,FALSE)=$A213,VLOOKUP($A213,'BU Raw Before'!A:H,6,FALSE),0),0)</f>
        <v>0</v>
      </c>
      <c r="J213" s="6">
        <f>_xlfn.IFNA(IF(VLOOKUP($A213,'BU Raw After'!A:H,1,FALSE)=$A213,VLOOKUP($A213,'BU Raw After'!A:H,6,FALSE),0),0)</f>
        <v>0</v>
      </c>
      <c r="K213" s="6">
        <f t="shared" si="26"/>
        <v>0</v>
      </c>
      <c r="L213" s="7">
        <f t="shared" si="27"/>
        <v>0</v>
      </c>
      <c r="M213" s="6">
        <f>_xlfn.IFNA(IF(VLOOKUP($A213,'BU Raw Before'!A:H,1,FALSE)=$A213,VLOOKUP($A213,'BU Raw Before'!A:H,7,FALSE),0),0)</f>
        <v>0</v>
      </c>
      <c r="N213" s="6">
        <f>_xlfn.IFNA(IF(VLOOKUP($A213,'BU Raw After'!A:H,1,FALSE)=$A213,VLOOKUP($A213,'BU Raw After'!A:H,7,FALSE),0),0)</f>
        <v>0</v>
      </c>
      <c r="O213" s="6">
        <f t="shared" si="28"/>
        <v>0</v>
      </c>
      <c r="P213" s="7">
        <f t="shared" si="29"/>
        <v>0</v>
      </c>
      <c r="Q213" s="6">
        <f>_xlfn.IFNA(IF(VLOOKUP($A213,'BU Raw Before'!A:H,1,FALSE)=$A213,VLOOKUP($A213,'BU Raw Before'!A:H,8,FALSE),0),0)</f>
        <v>0</v>
      </c>
      <c r="R213" s="6">
        <f>_xlfn.IFNA(IF(VLOOKUP($A213,'BU Raw After'!A:H,1,FALSE)=$A213,VLOOKUP($A213,'BU Raw After'!A:H,8,FALSE),0),0)</f>
        <v>0</v>
      </c>
      <c r="S213" s="6">
        <f t="shared" si="30"/>
        <v>0</v>
      </c>
      <c r="T213" s="7">
        <f t="shared" si="31"/>
        <v>0</v>
      </c>
    </row>
    <row r="214" spans="1:20" ht="15" x14ac:dyDescent="0.25">
      <c r="A214" t="s">
        <v>192</v>
      </c>
      <c r="B214" t="s">
        <v>182</v>
      </c>
      <c r="C214" t="s">
        <v>23</v>
      </c>
      <c r="D214" t="s">
        <v>11</v>
      </c>
      <c r="E214" s="6">
        <f>_xlfn.IFNA(IF(VLOOKUP($A214,'BU Raw Before'!A:H,1,FALSE)=$A214,VLOOKUP($A214,'BU Raw Before'!A:H,5,FALSE),0),0)</f>
        <v>0</v>
      </c>
      <c r="F214" s="6">
        <f>_xlfn.IFNA(IF(VLOOKUP($A214,'BU Raw After'!A:H,1,FALSE)=$A214,VLOOKUP($A214,'BU Raw After'!A:H,5,FALSE),0),0)</f>
        <v>0</v>
      </c>
      <c r="G214" s="6">
        <f t="shared" si="24"/>
        <v>0</v>
      </c>
      <c r="H214" s="7">
        <f t="shared" si="25"/>
        <v>0</v>
      </c>
      <c r="I214" s="6">
        <f>_xlfn.IFNA(IF(VLOOKUP($A214,'BU Raw Before'!A:H,1,FALSE)=$A214,VLOOKUP($A214,'BU Raw Before'!A:H,6,FALSE),0),0)</f>
        <v>0</v>
      </c>
      <c r="J214" s="6">
        <f>_xlfn.IFNA(IF(VLOOKUP($A214,'BU Raw After'!A:H,1,FALSE)=$A214,VLOOKUP($A214,'BU Raw After'!A:H,6,FALSE),0),0)</f>
        <v>0</v>
      </c>
      <c r="K214" s="6">
        <f t="shared" si="26"/>
        <v>0</v>
      </c>
      <c r="L214" s="7">
        <f t="shared" si="27"/>
        <v>0</v>
      </c>
      <c r="M214" s="6">
        <f>_xlfn.IFNA(IF(VLOOKUP($A214,'BU Raw Before'!A:H,1,FALSE)=$A214,VLOOKUP($A214,'BU Raw Before'!A:H,7,FALSE),0),0)</f>
        <v>0</v>
      </c>
      <c r="N214" s="6">
        <f>_xlfn.IFNA(IF(VLOOKUP($A214,'BU Raw After'!A:H,1,FALSE)=$A214,VLOOKUP($A214,'BU Raw After'!A:H,7,FALSE),0),0)</f>
        <v>0</v>
      </c>
      <c r="O214" s="6">
        <f t="shared" si="28"/>
        <v>0</v>
      </c>
      <c r="P214" s="7">
        <f t="shared" si="29"/>
        <v>0</v>
      </c>
      <c r="Q214" s="6">
        <f>_xlfn.IFNA(IF(VLOOKUP($A214,'BU Raw Before'!A:H,1,FALSE)=$A214,VLOOKUP($A214,'BU Raw Before'!A:H,8,FALSE),0),0)</f>
        <v>0</v>
      </c>
      <c r="R214" s="6">
        <f>_xlfn.IFNA(IF(VLOOKUP($A214,'BU Raw After'!A:H,1,FALSE)=$A214,VLOOKUP($A214,'BU Raw After'!A:H,8,FALSE),0),0)</f>
        <v>0</v>
      </c>
      <c r="S214" s="6">
        <f t="shared" si="30"/>
        <v>0</v>
      </c>
      <c r="T214" s="7">
        <f t="shared" si="31"/>
        <v>0</v>
      </c>
    </row>
    <row r="215" spans="1:20" ht="15" x14ac:dyDescent="0.25">
      <c r="A215" t="s">
        <v>193</v>
      </c>
      <c r="B215" t="s">
        <v>182</v>
      </c>
      <c r="C215" t="s">
        <v>23</v>
      </c>
      <c r="D215" t="s">
        <v>13</v>
      </c>
      <c r="E215" s="6">
        <f>_xlfn.IFNA(IF(VLOOKUP($A215,'BU Raw Before'!A:H,1,FALSE)=$A215,VLOOKUP($A215,'BU Raw Before'!A:H,5,FALSE),0),0)</f>
        <v>0</v>
      </c>
      <c r="F215" s="6">
        <f>_xlfn.IFNA(IF(VLOOKUP($A215,'BU Raw After'!A:H,1,FALSE)=$A215,VLOOKUP($A215,'BU Raw After'!A:H,5,FALSE),0),0)</f>
        <v>0</v>
      </c>
      <c r="G215" s="6">
        <f t="shared" si="24"/>
        <v>0</v>
      </c>
      <c r="H215" s="7">
        <f t="shared" si="25"/>
        <v>0</v>
      </c>
      <c r="I215" s="6">
        <f>_xlfn.IFNA(IF(VLOOKUP($A215,'BU Raw Before'!A:H,1,FALSE)=$A215,VLOOKUP($A215,'BU Raw Before'!A:H,6,FALSE),0),0)</f>
        <v>0</v>
      </c>
      <c r="J215" s="6">
        <f>_xlfn.IFNA(IF(VLOOKUP($A215,'BU Raw After'!A:H,1,FALSE)=$A215,VLOOKUP($A215,'BU Raw After'!A:H,6,FALSE),0),0)</f>
        <v>0</v>
      </c>
      <c r="K215" s="6">
        <f t="shared" si="26"/>
        <v>0</v>
      </c>
      <c r="L215" s="7">
        <f t="shared" si="27"/>
        <v>0</v>
      </c>
      <c r="M215" s="6">
        <f>_xlfn.IFNA(IF(VLOOKUP($A215,'BU Raw Before'!A:H,1,FALSE)=$A215,VLOOKUP($A215,'BU Raw Before'!A:H,7,FALSE),0),0)</f>
        <v>0</v>
      </c>
      <c r="N215" s="6">
        <f>_xlfn.IFNA(IF(VLOOKUP($A215,'BU Raw After'!A:H,1,FALSE)=$A215,VLOOKUP($A215,'BU Raw After'!A:H,7,FALSE),0),0)</f>
        <v>0</v>
      </c>
      <c r="O215" s="6">
        <f t="shared" si="28"/>
        <v>0</v>
      </c>
      <c r="P215" s="7">
        <f t="shared" si="29"/>
        <v>0</v>
      </c>
      <c r="Q215" s="6">
        <f>_xlfn.IFNA(IF(VLOOKUP($A215,'BU Raw Before'!A:H,1,FALSE)=$A215,VLOOKUP($A215,'BU Raw Before'!A:H,8,FALSE),0),0)</f>
        <v>0</v>
      </c>
      <c r="R215" s="6">
        <f>_xlfn.IFNA(IF(VLOOKUP($A215,'BU Raw After'!A:H,1,FALSE)=$A215,VLOOKUP($A215,'BU Raw After'!A:H,8,FALSE),0),0)</f>
        <v>0</v>
      </c>
      <c r="S215" s="6">
        <f t="shared" si="30"/>
        <v>0</v>
      </c>
      <c r="T215" s="7">
        <f t="shared" si="31"/>
        <v>0</v>
      </c>
    </row>
    <row r="216" spans="1:20" ht="15" x14ac:dyDescent="0.25">
      <c r="A216" t="s">
        <v>194</v>
      </c>
      <c r="B216" t="s">
        <v>182</v>
      </c>
      <c r="C216" t="s">
        <v>23</v>
      </c>
      <c r="D216" t="s">
        <v>15</v>
      </c>
      <c r="E216" s="6">
        <f>_xlfn.IFNA(IF(VLOOKUP($A216,'BU Raw Before'!A:H,1,FALSE)=$A216,VLOOKUP($A216,'BU Raw Before'!A:H,5,FALSE),0),0)</f>
        <v>0</v>
      </c>
      <c r="F216" s="6">
        <f>_xlfn.IFNA(IF(VLOOKUP($A216,'BU Raw After'!A:H,1,FALSE)=$A216,VLOOKUP($A216,'BU Raw After'!A:H,5,FALSE),0),0)</f>
        <v>0</v>
      </c>
      <c r="G216" s="6">
        <f t="shared" si="24"/>
        <v>0</v>
      </c>
      <c r="H216" s="7">
        <f t="shared" si="25"/>
        <v>0</v>
      </c>
      <c r="I216" s="6">
        <f>_xlfn.IFNA(IF(VLOOKUP($A216,'BU Raw Before'!A:H,1,FALSE)=$A216,VLOOKUP($A216,'BU Raw Before'!A:H,6,FALSE),0),0)</f>
        <v>0</v>
      </c>
      <c r="J216" s="6">
        <f>_xlfn.IFNA(IF(VLOOKUP($A216,'BU Raw After'!A:H,1,FALSE)=$A216,VLOOKUP($A216,'BU Raw After'!A:H,6,FALSE),0),0)</f>
        <v>0</v>
      </c>
      <c r="K216" s="6">
        <f t="shared" si="26"/>
        <v>0</v>
      </c>
      <c r="L216" s="7">
        <f t="shared" si="27"/>
        <v>0</v>
      </c>
      <c r="M216" s="6">
        <f>_xlfn.IFNA(IF(VLOOKUP($A216,'BU Raw Before'!A:H,1,FALSE)=$A216,VLOOKUP($A216,'BU Raw Before'!A:H,7,FALSE),0),0)</f>
        <v>0</v>
      </c>
      <c r="N216" s="6">
        <f>_xlfn.IFNA(IF(VLOOKUP($A216,'BU Raw After'!A:H,1,FALSE)=$A216,VLOOKUP($A216,'BU Raw After'!A:H,7,FALSE),0),0)</f>
        <v>0</v>
      </c>
      <c r="O216" s="6">
        <f t="shared" si="28"/>
        <v>0</v>
      </c>
      <c r="P216" s="7">
        <f t="shared" si="29"/>
        <v>0</v>
      </c>
      <c r="Q216" s="6">
        <f>_xlfn.IFNA(IF(VLOOKUP($A216,'BU Raw Before'!A:H,1,FALSE)=$A216,VLOOKUP($A216,'BU Raw Before'!A:H,8,FALSE),0),0)</f>
        <v>0</v>
      </c>
      <c r="R216" s="6">
        <f>_xlfn.IFNA(IF(VLOOKUP($A216,'BU Raw After'!A:H,1,FALSE)=$A216,VLOOKUP($A216,'BU Raw After'!A:H,8,FALSE),0),0)</f>
        <v>0</v>
      </c>
      <c r="S216" s="6">
        <f t="shared" si="30"/>
        <v>0</v>
      </c>
      <c r="T216" s="7">
        <f t="shared" si="31"/>
        <v>0</v>
      </c>
    </row>
    <row r="217" spans="1:20" ht="15" x14ac:dyDescent="0.25">
      <c r="A217" t="s">
        <v>195</v>
      </c>
      <c r="B217" t="s">
        <v>182</v>
      </c>
      <c r="C217" t="s">
        <v>23</v>
      </c>
      <c r="D217" t="s">
        <v>17</v>
      </c>
      <c r="E217" s="6">
        <f>_xlfn.IFNA(IF(VLOOKUP($A217,'BU Raw Before'!A:H,1,FALSE)=$A217,VLOOKUP($A217,'BU Raw Before'!A:H,5,FALSE),0),0)</f>
        <v>0</v>
      </c>
      <c r="F217" s="6">
        <f>_xlfn.IFNA(IF(VLOOKUP($A217,'BU Raw After'!A:H,1,FALSE)=$A217,VLOOKUP($A217,'BU Raw After'!A:H,5,FALSE),0),0)</f>
        <v>0</v>
      </c>
      <c r="G217" s="6">
        <f t="shared" si="24"/>
        <v>0</v>
      </c>
      <c r="H217" s="7">
        <f t="shared" si="25"/>
        <v>0</v>
      </c>
      <c r="I217" s="6">
        <f>_xlfn.IFNA(IF(VLOOKUP($A217,'BU Raw Before'!A:H,1,FALSE)=$A217,VLOOKUP($A217,'BU Raw Before'!A:H,6,FALSE),0),0)</f>
        <v>0</v>
      </c>
      <c r="J217" s="6">
        <f>_xlfn.IFNA(IF(VLOOKUP($A217,'BU Raw After'!A:H,1,FALSE)=$A217,VLOOKUP($A217,'BU Raw After'!A:H,6,FALSE),0),0)</f>
        <v>0</v>
      </c>
      <c r="K217" s="6">
        <f t="shared" si="26"/>
        <v>0</v>
      </c>
      <c r="L217" s="7">
        <f t="shared" si="27"/>
        <v>0</v>
      </c>
      <c r="M217" s="6">
        <f>_xlfn.IFNA(IF(VLOOKUP($A217,'BU Raw Before'!A:H,1,FALSE)=$A217,VLOOKUP($A217,'BU Raw Before'!A:H,7,FALSE),0),0)</f>
        <v>0</v>
      </c>
      <c r="N217" s="6">
        <f>_xlfn.IFNA(IF(VLOOKUP($A217,'BU Raw After'!A:H,1,FALSE)=$A217,VLOOKUP($A217,'BU Raw After'!A:H,7,FALSE),0),0)</f>
        <v>0</v>
      </c>
      <c r="O217" s="6">
        <f t="shared" si="28"/>
        <v>0</v>
      </c>
      <c r="P217" s="7">
        <f t="shared" si="29"/>
        <v>0</v>
      </c>
      <c r="Q217" s="6">
        <f>_xlfn.IFNA(IF(VLOOKUP($A217,'BU Raw Before'!A:H,1,FALSE)=$A217,VLOOKUP($A217,'BU Raw Before'!A:H,8,FALSE),0),0)</f>
        <v>0</v>
      </c>
      <c r="R217" s="6">
        <f>_xlfn.IFNA(IF(VLOOKUP($A217,'BU Raw After'!A:H,1,FALSE)=$A217,VLOOKUP($A217,'BU Raw After'!A:H,8,FALSE),0),0)</f>
        <v>0</v>
      </c>
      <c r="S217" s="6">
        <f t="shared" si="30"/>
        <v>0</v>
      </c>
      <c r="T217" s="7">
        <f t="shared" si="31"/>
        <v>0</v>
      </c>
    </row>
    <row r="218" spans="1:20" ht="15" x14ac:dyDescent="0.25">
      <c r="A218" t="s">
        <v>196</v>
      </c>
      <c r="B218" t="s">
        <v>182</v>
      </c>
      <c r="C218" t="s">
        <v>23</v>
      </c>
      <c r="D218" t="s">
        <v>19</v>
      </c>
      <c r="E218" s="6">
        <f>_xlfn.IFNA(IF(VLOOKUP($A218,'BU Raw Before'!A:H,1,FALSE)=$A218,VLOOKUP($A218,'BU Raw Before'!A:H,5,FALSE),0),0)</f>
        <v>0</v>
      </c>
      <c r="F218" s="6">
        <f>_xlfn.IFNA(IF(VLOOKUP($A218,'BU Raw After'!A:H,1,FALSE)=$A218,VLOOKUP($A218,'BU Raw After'!A:H,5,FALSE),0),0)</f>
        <v>0</v>
      </c>
      <c r="G218" s="6">
        <f t="shared" si="24"/>
        <v>0</v>
      </c>
      <c r="H218" s="7">
        <f t="shared" si="25"/>
        <v>0</v>
      </c>
      <c r="I218" s="6">
        <f>_xlfn.IFNA(IF(VLOOKUP($A218,'BU Raw Before'!A:H,1,FALSE)=$A218,VLOOKUP($A218,'BU Raw Before'!A:H,6,FALSE),0),0)</f>
        <v>0</v>
      </c>
      <c r="J218" s="6">
        <f>_xlfn.IFNA(IF(VLOOKUP($A218,'BU Raw After'!A:H,1,FALSE)=$A218,VLOOKUP($A218,'BU Raw After'!A:H,6,FALSE),0),0)</f>
        <v>0</v>
      </c>
      <c r="K218" s="6">
        <f t="shared" si="26"/>
        <v>0</v>
      </c>
      <c r="L218" s="7">
        <f t="shared" si="27"/>
        <v>0</v>
      </c>
      <c r="M218" s="6">
        <f>_xlfn.IFNA(IF(VLOOKUP($A218,'BU Raw Before'!A:H,1,FALSE)=$A218,VLOOKUP($A218,'BU Raw Before'!A:H,7,FALSE),0),0)</f>
        <v>0</v>
      </c>
      <c r="N218" s="6">
        <f>_xlfn.IFNA(IF(VLOOKUP($A218,'BU Raw After'!A:H,1,FALSE)=$A218,VLOOKUP($A218,'BU Raw After'!A:H,7,FALSE),0),0)</f>
        <v>0</v>
      </c>
      <c r="O218" s="6">
        <f t="shared" si="28"/>
        <v>0</v>
      </c>
      <c r="P218" s="7">
        <f t="shared" si="29"/>
        <v>0</v>
      </c>
      <c r="Q218" s="6">
        <f>_xlfn.IFNA(IF(VLOOKUP($A218,'BU Raw Before'!A:H,1,FALSE)=$A218,VLOOKUP($A218,'BU Raw Before'!A:H,8,FALSE),0),0)</f>
        <v>0</v>
      </c>
      <c r="R218" s="6">
        <f>_xlfn.IFNA(IF(VLOOKUP($A218,'BU Raw After'!A:H,1,FALSE)=$A218,VLOOKUP($A218,'BU Raw After'!A:H,8,FALSE),0),0)</f>
        <v>0</v>
      </c>
      <c r="S218" s="6">
        <f t="shared" si="30"/>
        <v>0</v>
      </c>
      <c r="T218" s="7">
        <f t="shared" si="31"/>
        <v>0</v>
      </c>
    </row>
    <row r="219" spans="1:20" ht="15" x14ac:dyDescent="0.25">
      <c r="A219" t="s">
        <v>197</v>
      </c>
      <c r="B219" t="s">
        <v>182</v>
      </c>
      <c r="C219" t="s">
        <v>23</v>
      </c>
      <c r="D219" t="s">
        <v>21</v>
      </c>
      <c r="E219" s="6">
        <f>_xlfn.IFNA(IF(VLOOKUP($A219,'BU Raw Before'!A:H,1,FALSE)=$A219,VLOOKUP($A219,'BU Raw Before'!A:H,5,FALSE),0),0)</f>
        <v>0</v>
      </c>
      <c r="F219" s="6">
        <f>_xlfn.IFNA(IF(VLOOKUP($A219,'BU Raw After'!A:H,1,FALSE)=$A219,VLOOKUP($A219,'BU Raw After'!A:H,5,FALSE),0),0)</f>
        <v>0</v>
      </c>
      <c r="G219" s="6">
        <f t="shared" si="24"/>
        <v>0</v>
      </c>
      <c r="H219" s="7">
        <f t="shared" si="25"/>
        <v>0</v>
      </c>
      <c r="I219" s="6">
        <f>_xlfn.IFNA(IF(VLOOKUP($A219,'BU Raw Before'!A:H,1,FALSE)=$A219,VLOOKUP($A219,'BU Raw Before'!A:H,6,FALSE),0),0)</f>
        <v>0</v>
      </c>
      <c r="J219" s="6">
        <f>_xlfn.IFNA(IF(VLOOKUP($A219,'BU Raw After'!A:H,1,FALSE)=$A219,VLOOKUP($A219,'BU Raw After'!A:H,6,FALSE),0),0)</f>
        <v>0</v>
      </c>
      <c r="K219" s="6">
        <f t="shared" si="26"/>
        <v>0</v>
      </c>
      <c r="L219" s="7">
        <f t="shared" si="27"/>
        <v>0</v>
      </c>
      <c r="M219" s="6">
        <f>_xlfn.IFNA(IF(VLOOKUP($A219,'BU Raw Before'!A:H,1,FALSE)=$A219,VLOOKUP($A219,'BU Raw Before'!A:H,7,FALSE),0),0)</f>
        <v>0</v>
      </c>
      <c r="N219" s="6">
        <f>_xlfn.IFNA(IF(VLOOKUP($A219,'BU Raw After'!A:H,1,FALSE)=$A219,VLOOKUP($A219,'BU Raw After'!A:H,7,FALSE),0),0)</f>
        <v>0</v>
      </c>
      <c r="O219" s="6">
        <f t="shared" si="28"/>
        <v>0</v>
      </c>
      <c r="P219" s="7">
        <f t="shared" si="29"/>
        <v>0</v>
      </c>
      <c r="Q219" s="6">
        <f>_xlfn.IFNA(IF(VLOOKUP($A219,'BU Raw Before'!A:H,1,FALSE)=$A219,VLOOKUP($A219,'BU Raw Before'!A:H,8,FALSE),0),0)</f>
        <v>0</v>
      </c>
      <c r="R219" s="6">
        <f>_xlfn.IFNA(IF(VLOOKUP($A219,'BU Raw After'!A:H,1,FALSE)=$A219,VLOOKUP($A219,'BU Raw After'!A:H,8,FALSE),0),0)</f>
        <v>0</v>
      </c>
      <c r="S219" s="6">
        <f t="shared" si="30"/>
        <v>0</v>
      </c>
      <c r="T219" s="7">
        <f t="shared" si="31"/>
        <v>0</v>
      </c>
    </row>
    <row r="220" spans="1:20" ht="15" x14ac:dyDescent="0.25">
      <c r="A220" t="s">
        <v>198</v>
      </c>
      <c r="B220" t="s">
        <v>182</v>
      </c>
      <c r="C220" t="s">
        <v>32</v>
      </c>
      <c r="D220" t="s">
        <v>7</v>
      </c>
      <c r="E220" s="6">
        <f>_xlfn.IFNA(IF(VLOOKUP($A220,'BU Raw Before'!A:H,1,FALSE)=$A220,VLOOKUP($A220,'BU Raw Before'!A:H,5,FALSE),0),0)</f>
        <v>0</v>
      </c>
      <c r="F220" s="6">
        <f>_xlfn.IFNA(IF(VLOOKUP($A220,'BU Raw After'!A:H,1,FALSE)=$A220,VLOOKUP($A220,'BU Raw After'!A:H,5,FALSE),0),0)</f>
        <v>0</v>
      </c>
      <c r="G220" s="6">
        <f t="shared" si="24"/>
        <v>0</v>
      </c>
      <c r="H220" s="7">
        <f t="shared" si="25"/>
        <v>0</v>
      </c>
      <c r="I220" s="6">
        <f>_xlfn.IFNA(IF(VLOOKUP($A220,'BU Raw Before'!A:H,1,FALSE)=$A220,VLOOKUP($A220,'BU Raw Before'!A:H,6,FALSE),0),0)</f>
        <v>0</v>
      </c>
      <c r="J220" s="6">
        <f>_xlfn.IFNA(IF(VLOOKUP($A220,'BU Raw After'!A:H,1,FALSE)=$A220,VLOOKUP($A220,'BU Raw After'!A:H,6,FALSE),0),0)</f>
        <v>0</v>
      </c>
      <c r="K220" s="6">
        <f t="shared" si="26"/>
        <v>0</v>
      </c>
      <c r="L220" s="7">
        <f t="shared" si="27"/>
        <v>0</v>
      </c>
      <c r="M220" s="6">
        <f>_xlfn.IFNA(IF(VLOOKUP($A220,'BU Raw Before'!A:H,1,FALSE)=$A220,VLOOKUP($A220,'BU Raw Before'!A:H,7,FALSE),0),0)</f>
        <v>0</v>
      </c>
      <c r="N220" s="6">
        <f>_xlfn.IFNA(IF(VLOOKUP($A220,'BU Raw After'!A:H,1,FALSE)=$A220,VLOOKUP($A220,'BU Raw After'!A:H,7,FALSE),0),0)</f>
        <v>0</v>
      </c>
      <c r="O220" s="6">
        <f t="shared" si="28"/>
        <v>0</v>
      </c>
      <c r="P220" s="7">
        <f t="shared" si="29"/>
        <v>0</v>
      </c>
      <c r="Q220" s="6">
        <f>_xlfn.IFNA(IF(VLOOKUP($A220,'BU Raw Before'!A:H,1,FALSE)=$A220,VLOOKUP($A220,'BU Raw Before'!A:H,8,FALSE),0),0)</f>
        <v>0</v>
      </c>
      <c r="R220" s="6">
        <f>_xlfn.IFNA(IF(VLOOKUP($A220,'BU Raw After'!A:H,1,FALSE)=$A220,VLOOKUP($A220,'BU Raw After'!A:H,8,FALSE),0),0)</f>
        <v>0</v>
      </c>
      <c r="S220" s="6">
        <f t="shared" si="30"/>
        <v>0</v>
      </c>
      <c r="T220" s="7">
        <f t="shared" si="31"/>
        <v>0</v>
      </c>
    </row>
    <row r="221" spans="1:20" ht="15" x14ac:dyDescent="0.25">
      <c r="A221" t="s">
        <v>199</v>
      </c>
      <c r="B221" t="s">
        <v>182</v>
      </c>
      <c r="C221" t="s">
        <v>32</v>
      </c>
      <c r="D221" t="s">
        <v>9</v>
      </c>
      <c r="E221" s="6">
        <f>_xlfn.IFNA(IF(VLOOKUP($A221,'BU Raw Before'!A:H,1,FALSE)=$A221,VLOOKUP($A221,'BU Raw Before'!A:H,5,FALSE),0),0)</f>
        <v>0</v>
      </c>
      <c r="F221" s="6">
        <f>_xlfn.IFNA(IF(VLOOKUP($A221,'BU Raw After'!A:H,1,FALSE)=$A221,VLOOKUP($A221,'BU Raw After'!A:H,5,FALSE),0),0)</f>
        <v>0</v>
      </c>
      <c r="G221" s="6">
        <f t="shared" si="24"/>
        <v>0</v>
      </c>
      <c r="H221" s="7">
        <f t="shared" si="25"/>
        <v>0</v>
      </c>
      <c r="I221" s="6">
        <f>_xlfn.IFNA(IF(VLOOKUP($A221,'BU Raw Before'!A:H,1,FALSE)=$A221,VLOOKUP($A221,'BU Raw Before'!A:H,6,FALSE),0),0)</f>
        <v>0</v>
      </c>
      <c r="J221" s="6">
        <f>_xlfn.IFNA(IF(VLOOKUP($A221,'BU Raw After'!A:H,1,FALSE)=$A221,VLOOKUP($A221,'BU Raw After'!A:H,6,FALSE),0),0)</f>
        <v>0</v>
      </c>
      <c r="K221" s="6">
        <f t="shared" si="26"/>
        <v>0</v>
      </c>
      <c r="L221" s="7">
        <f t="shared" si="27"/>
        <v>0</v>
      </c>
      <c r="M221" s="6">
        <f>_xlfn.IFNA(IF(VLOOKUP($A221,'BU Raw Before'!A:H,1,FALSE)=$A221,VLOOKUP($A221,'BU Raw Before'!A:H,7,FALSE),0),0)</f>
        <v>0</v>
      </c>
      <c r="N221" s="6">
        <f>_xlfn.IFNA(IF(VLOOKUP($A221,'BU Raw After'!A:H,1,FALSE)=$A221,VLOOKUP($A221,'BU Raw After'!A:H,7,FALSE),0),0)</f>
        <v>0</v>
      </c>
      <c r="O221" s="6">
        <f t="shared" si="28"/>
        <v>0</v>
      </c>
      <c r="P221" s="7">
        <f t="shared" si="29"/>
        <v>0</v>
      </c>
      <c r="Q221" s="6">
        <f>_xlfn.IFNA(IF(VLOOKUP($A221,'BU Raw Before'!A:H,1,FALSE)=$A221,VLOOKUP($A221,'BU Raw Before'!A:H,8,FALSE),0),0)</f>
        <v>0</v>
      </c>
      <c r="R221" s="6">
        <f>_xlfn.IFNA(IF(VLOOKUP($A221,'BU Raw After'!A:H,1,FALSE)=$A221,VLOOKUP($A221,'BU Raw After'!A:H,8,FALSE),0),0)</f>
        <v>0</v>
      </c>
      <c r="S221" s="6">
        <f t="shared" si="30"/>
        <v>0</v>
      </c>
      <c r="T221" s="7">
        <f t="shared" si="31"/>
        <v>0</v>
      </c>
    </row>
    <row r="222" spans="1:20" ht="15" x14ac:dyDescent="0.25">
      <c r="A222" t="s">
        <v>200</v>
      </c>
      <c r="B222" t="s">
        <v>182</v>
      </c>
      <c r="C222" t="s">
        <v>32</v>
      </c>
      <c r="D222" t="s">
        <v>11</v>
      </c>
      <c r="E222" s="6">
        <f>_xlfn.IFNA(IF(VLOOKUP($A222,'BU Raw Before'!A:H,1,FALSE)=$A222,VLOOKUP($A222,'BU Raw Before'!A:H,5,FALSE),0),0)</f>
        <v>0</v>
      </c>
      <c r="F222" s="6">
        <f>_xlfn.IFNA(IF(VLOOKUP($A222,'BU Raw After'!A:H,1,FALSE)=$A222,VLOOKUP($A222,'BU Raw After'!A:H,5,FALSE),0),0)</f>
        <v>0</v>
      </c>
      <c r="G222" s="6">
        <f t="shared" si="24"/>
        <v>0</v>
      </c>
      <c r="H222" s="7">
        <f t="shared" si="25"/>
        <v>0</v>
      </c>
      <c r="I222" s="6">
        <f>_xlfn.IFNA(IF(VLOOKUP($A222,'BU Raw Before'!A:H,1,FALSE)=$A222,VLOOKUP($A222,'BU Raw Before'!A:H,6,FALSE),0),0)</f>
        <v>0</v>
      </c>
      <c r="J222" s="6">
        <f>_xlfn.IFNA(IF(VLOOKUP($A222,'BU Raw After'!A:H,1,FALSE)=$A222,VLOOKUP($A222,'BU Raw After'!A:H,6,FALSE),0),0)</f>
        <v>0</v>
      </c>
      <c r="K222" s="6">
        <f t="shared" si="26"/>
        <v>0</v>
      </c>
      <c r="L222" s="7">
        <f t="shared" si="27"/>
        <v>0</v>
      </c>
      <c r="M222" s="6">
        <f>_xlfn.IFNA(IF(VLOOKUP($A222,'BU Raw Before'!A:H,1,FALSE)=$A222,VLOOKUP($A222,'BU Raw Before'!A:H,7,FALSE),0),0)</f>
        <v>0</v>
      </c>
      <c r="N222" s="6">
        <f>_xlfn.IFNA(IF(VLOOKUP($A222,'BU Raw After'!A:H,1,FALSE)=$A222,VLOOKUP($A222,'BU Raw After'!A:H,7,FALSE),0),0)</f>
        <v>0</v>
      </c>
      <c r="O222" s="6">
        <f t="shared" si="28"/>
        <v>0</v>
      </c>
      <c r="P222" s="7">
        <f t="shared" si="29"/>
        <v>0</v>
      </c>
      <c r="Q222" s="6">
        <f>_xlfn.IFNA(IF(VLOOKUP($A222,'BU Raw Before'!A:H,1,FALSE)=$A222,VLOOKUP($A222,'BU Raw Before'!A:H,8,FALSE),0),0)</f>
        <v>0</v>
      </c>
      <c r="R222" s="6">
        <f>_xlfn.IFNA(IF(VLOOKUP($A222,'BU Raw After'!A:H,1,FALSE)=$A222,VLOOKUP($A222,'BU Raw After'!A:H,8,FALSE),0),0)</f>
        <v>0</v>
      </c>
      <c r="S222" s="6">
        <f t="shared" si="30"/>
        <v>0</v>
      </c>
      <c r="T222" s="7">
        <f t="shared" si="31"/>
        <v>0</v>
      </c>
    </row>
    <row r="223" spans="1:20" ht="15" x14ac:dyDescent="0.25">
      <c r="A223" t="s">
        <v>201</v>
      </c>
      <c r="B223" t="s">
        <v>182</v>
      </c>
      <c r="C223" t="s">
        <v>32</v>
      </c>
      <c r="D223" t="s">
        <v>13</v>
      </c>
      <c r="E223" s="6">
        <f>_xlfn.IFNA(IF(VLOOKUP($A223,'BU Raw Before'!A:H,1,FALSE)=$A223,VLOOKUP($A223,'BU Raw Before'!A:H,5,FALSE),0),0)</f>
        <v>0</v>
      </c>
      <c r="F223" s="6">
        <f>_xlfn.IFNA(IF(VLOOKUP($A223,'BU Raw After'!A:H,1,FALSE)=$A223,VLOOKUP($A223,'BU Raw After'!A:H,5,FALSE),0),0)</f>
        <v>0</v>
      </c>
      <c r="G223" s="6">
        <f t="shared" si="24"/>
        <v>0</v>
      </c>
      <c r="H223" s="7">
        <f t="shared" si="25"/>
        <v>0</v>
      </c>
      <c r="I223" s="6">
        <f>_xlfn.IFNA(IF(VLOOKUP($A223,'BU Raw Before'!A:H,1,FALSE)=$A223,VLOOKUP($A223,'BU Raw Before'!A:H,6,FALSE),0),0)</f>
        <v>0</v>
      </c>
      <c r="J223" s="6">
        <f>_xlfn.IFNA(IF(VLOOKUP($A223,'BU Raw After'!A:H,1,FALSE)=$A223,VLOOKUP($A223,'BU Raw After'!A:H,6,FALSE),0),0)</f>
        <v>0</v>
      </c>
      <c r="K223" s="6">
        <f t="shared" si="26"/>
        <v>0</v>
      </c>
      <c r="L223" s="7">
        <f t="shared" si="27"/>
        <v>0</v>
      </c>
      <c r="M223" s="6">
        <f>_xlfn.IFNA(IF(VLOOKUP($A223,'BU Raw Before'!A:H,1,FALSE)=$A223,VLOOKUP($A223,'BU Raw Before'!A:H,7,FALSE),0),0)</f>
        <v>0</v>
      </c>
      <c r="N223" s="6">
        <f>_xlfn.IFNA(IF(VLOOKUP($A223,'BU Raw After'!A:H,1,FALSE)=$A223,VLOOKUP($A223,'BU Raw After'!A:H,7,FALSE),0),0)</f>
        <v>0</v>
      </c>
      <c r="O223" s="6">
        <f t="shared" si="28"/>
        <v>0</v>
      </c>
      <c r="P223" s="7">
        <f t="shared" si="29"/>
        <v>0</v>
      </c>
      <c r="Q223" s="6">
        <f>_xlfn.IFNA(IF(VLOOKUP($A223,'BU Raw Before'!A:H,1,FALSE)=$A223,VLOOKUP($A223,'BU Raw Before'!A:H,8,FALSE),0),0)</f>
        <v>0</v>
      </c>
      <c r="R223" s="6">
        <f>_xlfn.IFNA(IF(VLOOKUP($A223,'BU Raw After'!A:H,1,FALSE)=$A223,VLOOKUP($A223,'BU Raw After'!A:H,8,FALSE),0),0)</f>
        <v>0</v>
      </c>
      <c r="S223" s="6">
        <f t="shared" si="30"/>
        <v>0</v>
      </c>
      <c r="T223" s="7">
        <f t="shared" si="31"/>
        <v>0</v>
      </c>
    </row>
    <row r="224" spans="1:20" ht="15" x14ac:dyDescent="0.25">
      <c r="A224" t="s">
        <v>202</v>
      </c>
      <c r="B224" t="s">
        <v>182</v>
      </c>
      <c r="C224" t="s">
        <v>32</v>
      </c>
      <c r="D224" t="s">
        <v>15</v>
      </c>
      <c r="E224" s="6">
        <f>_xlfn.IFNA(IF(VLOOKUP($A224,'BU Raw Before'!A:H,1,FALSE)=$A224,VLOOKUP($A224,'BU Raw Before'!A:H,5,FALSE),0),0)</f>
        <v>0</v>
      </c>
      <c r="F224" s="6">
        <f>_xlfn.IFNA(IF(VLOOKUP($A224,'BU Raw After'!A:H,1,FALSE)=$A224,VLOOKUP($A224,'BU Raw After'!A:H,5,FALSE),0),0)</f>
        <v>0</v>
      </c>
      <c r="G224" s="6">
        <f t="shared" si="24"/>
        <v>0</v>
      </c>
      <c r="H224" s="7">
        <f t="shared" si="25"/>
        <v>0</v>
      </c>
      <c r="I224" s="6">
        <f>_xlfn.IFNA(IF(VLOOKUP($A224,'BU Raw Before'!A:H,1,FALSE)=$A224,VLOOKUP($A224,'BU Raw Before'!A:H,6,FALSE),0),0)</f>
        <v>0</v>
      </c>
      <c r="J224" s="6">
        <f>_xlfn.IFNA(IF(VLOOKUP($A224,'BU Raw After'!A:H,1,FALSE)=$A224,VLOOKUP($A224,'BU Raw After'!A:H,6,FALSE),0),0)</f>
        <v>0</v>
      </c>
      <c r="K224" s="6">
        <f t="shared" si="26"/>
        <v>0</v>
      </c>
      <c r="L224" s="7">
        <f t="shared" si="27"/>
        <v>0</v>
      </c>
      <c r="M224" s="6">
        <f>_xlfn.IFNA(IF(VLOOKUP($A224,'BU Raw Before'!A:H,1,FALSE)=$A224,VLOOKUP($A224,'BU Raw Before'!A:H,7,FALSE),0),0)</f>
        <v>0</v>
      </c>
      <c r="N224" s="6">
        <f>_xlfn.IFNA(IF(VLOOKUP($A224,'BU Raw After'!A:H,1,FALSE)=$A224,VLOOKUP($A224,'BU Raw After'!A:H,7,FALSE),0),0)</f>
        <v>0</v>
      </c>
      <c r="O224" s="6">
        <f t="shared" si="28"/>
        <v>0</v>
      </c>
      <c r="P224" s="7">
        <f t="shared" si="29"/>
        <v>0</v>
      </c>
      <c r="Q224" s="6">
        <f>_xlfn.IFNA(IF(VLOOKUP($A224,'BU Raw Before'!A:H,1,FALSE)=$A224,VLOOKUP($A224,'BU Raw Before'!A:H,8,FALSE),0),0)</f>
        <v>0</v>
      </c>
      <c r="R224" s="6">
        <f>_xlfn.IFNA(IF(VLOOKUP($A224,'BU Raw After'!A:H,1,FALSE)=$A224,VLOOKUP($A224,'BU Raw After'!A:H,8,FALSE),0),0)</f>
        <v>0</v>
      </c>
      <c r="S224" s="6">
        <f t="shared" si="30"/>
        <v>0</v>
      </c>
      <c r="T224" s="7">
        <f t="shared" si="31"/>
        <v>0</v>
      </c>
    </row>
    <row r="225" spans="1:20" ht="15" x14ac:dyDescent="0.25">
      <c r="A225" t="s">
        <v>203</v>
      </c>
      <c r="B225" t="s">
        <v>182</v>
      </c>
      <c r="C225" t="s">
        <v>32</v>
      </c>
      <c r="D225" t="s">
        <v>17</v>
      </c>
      <c r="E225" s="6">
        <f>_xlfn.IFNA(IF(VLOOKUP($A225,'BU Raw Before'!A:H,1,FALSE)=$A225,VLOOKUP($A225,'BU Raw Before'!A:H,5,FALSE),0),0)</f>
        <v>0</v>
      </c>
      <c r="F225" s="6">
        <f>_xlfn.IFNA(IF(VLOOKUP($A225,'BU Raw After'!A:H,1,FALSE)=$A225,VLOOKUP($A225,'BU Raw After'!A:H,5,FALSE),0),0)</f>
        <v>0</v>
      </c>
      <c r="G225" s="6">
        <f t="shared" si="24"/>
        <v>0</v>
      </c>
      <c r="H225" s="7">
        <f t="shared" si="25"/>
        <v>0</v>
      </c>
      <c r="I225" s="6">
        <f>_xlfn.IFNA(IF(VLOOKUP($A225,'BU Raw Before'!A:H,1,FALSE)=$A225,VLOOKUP($A225,'BU Raw Before'!A:H,6,FALSE),0),0)</f>
        <v>0</v>
      </c>
      <c r="J225" s="6">
        <f>_xlfn.IFNA(IF(VLOOKUP($A225,'BU Raw After'!A:H,1,FALSE)=$A225,VLOOKUP($A225,'BU Raw After'!A:H,6,FALSE),0),0)</f>
        <v>0</v>
      </c>
      <c r="K225" s="6">
        <f t="shared" si="26"/>
        <v>0</v>
      </c>
      <c r="L225" s="7">
        <f t="shared" si="27"/>
        <v>0</v>
      </c>
      <c r="M225" s="6">
        <f>_xlfn.IFNA(IF(VLOOKUP($A225,'BU Raw Before'!A:H,1,FALSE)=$A225,VLOOKUP($A225,'BU Raw Before'!A:H,7,FALSE),0),0)</f>
        <v>0</v>
      </c>
      <c r="N225" s="6">
        <f>_xlfn.IFNA(IF(VLOOKUP($A225,'BU Raw After'!A:H,1,FALSE)=$A225,VLOOKUP($A225,'BU Raw After'!A:H,7,FALSE),0),0)</f>
        <v>0</v>
      </c>
      <c r="O225" s="6">
        <f t="shared" si="28"/>
        <v>0</v>
      </c>
      <c r="P225" s="7">
        <f t="shared" si="29"/>
        <v>0</v>
      </c>
      <c r="Q225" s="6">
        <f>_xlfn.IFNA(IF(VLOOKUP($A225,'BU Raw Before'!A:H,1,FALSE)=$A225,VLOOKUP($A225,'BU Raw Before'!A:H,8,FALSE),0),0)</f>
        <v>0</v>
      </c>
      <c r="R225" s="6">
        <f>_xlfn.IFNA(IF(VLOOKUP($A225,'BU Raw After'!A:H,1,FALSE)=$A225,VLOOKUP($A225,'BU Raw After'!A:H,8,FALSE),0),0)</f>
        <v>0</v>
      </c>
      <c r="S225" s="6">
        <f t="shared" si="30"/>
        <v>0</v>
      </c>
      <c r="T225" s="7">
        <f t="shared" si="31"/>
        <v>0</v>
      </c>
    </row>
    <row r="226" spans="1:20" ht="15" x14ac:dyDescent="0.25">
      <c r="A226" t="s">
        <v>204</v>
      </c>
      <c r="B226" t="s">
        <v>182</v>
      </c>
      <c r="C226" t="s">
        <v>32</v>
      </c>
      <c r="D226" t="s">
        <v>19</v>
      </c>
      <c r="E226" s="6">
        <f>_xlfn.IFNA(IF(VLOOKUP($A226,'BU Raw Before'!A:H,1,FALSE)=$A226,VLOOKUP($A226,'BU Raw Before'!A:H,5,FALSE),0),0)</f>
        <v>0</v>
      </c>
      <c r="F226" s="6">
        <f>_xlfn.IFNA(IF(VLOOKUP($A226,'BU Raw After'!A:H,1,FALSE)=$A226,VLOOKUP($A226,'BU Raw After'!A:H,5,FALSE),0),0)</f>
        <v>0</v>
      </c>
      <c r="G226" s="6">
        <f t="shared" si="24"/>
        <v>0</v>
      </c>
      <c r="H226" s="7">
        <f t="shared" si="25"/>
        <v>0</v>
      </c>
      <c r="I226" s="6">
        <f>_xlfn.IFNA(IF(VLOOKUP($A226,'BU Raw Before'!A:H,1,FALSE)=$A226,VLOOKUP($A226,'BU Raw Before'!A:H,6,FALSE),0),0)</f>
        <v>0</v>
      </c>
      <c r="J226" s="6">
        <f>_xlfn.IFNA(IF(VLOOKUP($A226,'BU Raw After'!A:H,1,FALSE)=$A226,VLOOKUP($A226,'BU Raw After'!A:H,6,FALSE),0),0)</f>
        <v>0</v>
      </c>
      <c r="K226" s="6">
        <f t="shared" si="26"/>
        <v>0</v>
      </c>
      <c r="L226" s="7">
        <f t="shared" si="27"/>
        <v>0</v>
      </c>
      <c r="M226" s="6">
        <f>_xlfn.IFNA(IF(VLOOKUP($A226,'BU Raw Before'!A:H,1,FALSE)=$A226,VLOOKUP($A226,'BU Raw Before'!A:H,7,FALSE),0),0)</f>
        <v>0</v>
      </c>
      <c r="N226" s="6">
        <f>_xlfn.IFNA(IF(VLOOKUP($A226,'BU Raw After'!A:H,1,FALSE)=$A226,VLOOKUP($A226,'BU Raw After'!A:H,7,FALSE),0),0)</f>
        <v>0</v>
      </c>
      <c r="O226" s="6">
        <f t="shared" si="28"/>
        <v>0</v>
      </c>
      <c r="P226" s="7">
        <f t="shared" si="29"/>
        <v>0</v>
      </c>
      <c r="Q226" s="6">
        <f>_xlfn.IFNA(IF(VLOOKUP($A226,'BU Raw Before'!A:H,1,FALSE)=$A226,VLOOKUP($A226,'BU Raw Before'!A:H,8,FALSE),0),0)</f>
        <v>0</v>
      </c>
      <c r="R226" s="6">
        <f>_xlfn.IFNA(IF(VLOOKUP($A226,'BU Raw After'!A:H,1,FALSE)=$A226,VLOOKUP($A226,'BU Raw After'!A:H,8,FALSE),0),0)</f>
        <v>0</v>
      </c>
      <c r="S226" s="6">
        <f t="shared" si="30"/>
        <v>0</v>
      </c>
      <c r="T226" s="7">
        <f t="shared" si="31"/>
        <v>0</v>
      </c>
    </row>
    <row r="227" spans="1:20" ht="15" x14ac:dyDescent="0.25">
      <c r="A227" t="s">
        <v>205</v>
      </c>
      <c r="B227" t="s">
        <v>182</v>
      </c>
      <c r="C227" t="s">
        <v>32</v>
      </c>
      <c r="D227" t="s">
        <v>21</v>
      </c>
      <c r="E227" s="6">
        <f>_xlfn.IFNA(IF(VLOOKUP($A227,'BU Raw Before'!A:H,1,FALSE)=$A227,VLOOKUP($A227,'BU Raw Before'!A:H,5,FALSE),0),0)</f>
        <v>0</v>
      </c>
      <c r="F227" s="6">
        <f>_xlfn.IFNA(IF(VLOOKUP($A227,'BU Raw After'!A:H,1,FALSE)=$A227,VLOOKUP($A227,'BU Raw After'!A:H,5,FALSE),0),0)</f>
        <v>0</v>
      </c>
      <c r="G227" s="6">
        <f t="shared" si="24"/>
        <v>0</v>
      </c>
      <c r="H227" s="7">
        <f t="shared" si="25"/>
        <v>0</v>
      </c>
      <c r="I227" s="6">
        <f>_xlfn.IFNA(IF(VLOOKUP($A227,'BU Raw Before'!A:H,1,FALSE)=$A227,VLOOKUP($A227,'BU Raw Before'!A:H,6,FALSE),0),0)</f>
        <v>0</v>
      </c>
      <c r="J227" s="6">
        <f>_xlfn.IFNA(IF(VLOOKUP($A227,'BU Raw After'!A:H,1,FALSE)=$A227,VLOOKUP($A227,'BU Raw After'!A:H,6,FALSE),0),0)</f>
        <v>0</v>
      </c>
      <c r="K227" s="6">
        <f t="shared" si="26"/>
        <v>0</v>
      </c>
      <c r="L227" s="7">
        <f t="shared" si="27"/>
        <v>0</v>
      </c>
      <c r="M227" s="6">
        <f>_xlfn.IFNA(IF(VLOOKUP($A227,'BU Raw Before'!A:H,1,FALSE)=$A227,VLOOKUP($A227,'BU Raw Before'!A:H,7,FALSE),0),0)</f>
        <v>0</v>
      </c>
      <c r="N227" s="6">
        <f>_xlfn.IFNA(IF(VLOOKUP($A227,'BU Raw After'!A:H,1,FALSE)=$A227,VLOOKUP($A227,'BU Raw After'!A:H,7,FALSE),0),0)</f>
        <v>0</v>
      </c>
      <c r="O227" s="6">
        <f t="shared" si="28"/>
        <v>0</v>
      </c>
      <c r="P227" s="7">
        <f t="shared" si="29"/>
        <v>0</v>
      </c>
      <c r="Q227" s="6">
        <f>_xlfn.IFNA(IF(VLOOKUP($A227,'BU Raw Before'!A:H,1,FALSE)=$A227,VLOOKUP($A227,'BU Raw Before'!A:H,8,FALSE),0),0)</f>
        <v>0</v>
      </c>
      <c r="R227" s="6">
        <f>_xlfn.IFNA(IF(VLOOKUP($A227,'BU Raw After'!A:H,1,FALSE)=$A227,VLOOKUP($A227,'BU Raw After'!A:H,8,FALSE),0),0)</f>
        <v>0</v>
      </c>
      <c r="S227" s="6">
        <f t="shared" si="30"/>
        <v>0</v>
      </c>
      <c r="T227" s="7">
        <f t="shared" si="31"/>
        <v>0</v>
      </c>
    </row>
    <row r="228" spans="1:20" ht="15" x14ac:dyDescent="0.25">
      <c r="A228" t="s">
        <v>206</v>
      </c>
      <c r="B228" t="s">
        <v>182</v>
      </c>
      <c r="C228" t="s">
        <v>41</v>
      </c>
      <c r="D228" t="s">
        <v>7</v>
      </c>
      <c r="E228" s="6">
        <f>_xlfn.IFNA(IF(VLOOKUP($A228,'BU Raw Before'!A:H,1,FALSE)=$A228,VLOOKUP($A228,'BU Raw Before'!A:H,5,FALSE),0),0)</f>
        <v>0</v>
      </c>
      <c r="F228" s="6">
        <f>_xlfn.IFNA(IF(VLOOKUP($A228,'BU Raw After'!A:H,1,FALSE)=$A228,VLOOKUP($A228,'BU Raw After'!A:H,5,FALSE),0),0)</f>
        <v>0</v>
      </c>
      <c r="G228" s="6">
        <f t="shared" si="24"/>
        <v>0</v>
      </c>
      <c r="H228" s="7">
        <f t="shared" si="25"/>
        <v>0</v>
      </c>
      <c r="I228" s="6">
        <f>_xlfn.IFNA(IF(VLOOKUP($A228,'BU Raw Before'!A:H,1,FALSE)=$A228,VLOOKUP($A228,'BU Raw Before'!A:H,6,FALSE),0),0)</f>
        <v>0</v>
      </c>
      <c r="J228" s="6">
        <f>_xlfn.IFNA(IF(VLOOKUP($A228,'BU Raw After'!A:H,1,FALSE)=$A228,VLOOKUP($A228,'BU Raw After'!A:H,6,FALSE),0),0)</f>
        <v>0</v>
      </c>
      <c r="K228" s="6">
        <f t="shared" si="26"/>
        <v>0</v>
      </c>
      <c r="L228" s="7">
        <f t="shared" si="27"/>
        <v>0</v>
      </c>
      <c r="M228" s="6">
        <f>_xlfn.IFNA(IF(VLOOKUP($A228,'BU Raw Before'!A:H,1,FALSE)=$A228,VLOOKUP($A228,'BU Raw Before'!A:H,7,FALSE),0),0)</f>
        <v>0</v>
      </c>
      <c r="N228" s="6">
        <f>_xlfn.IFNA(IF(VLOOKUP($A228,'BU Raw After'!A:H,1,FALSE)=$A228,VLOOKUP($A228,'BU Raw After'!A:H,7,FALSE),0),0)</f>
        <v>0</v>
      </c>
      <c r="O228" s="6">
        <f t="shared" si="28"/>
        <v>0</v>
      </c>
      <c r="P228" s="7">
        <f t="shared" si="29"/>
        <v>0</v>
      </c>
      <c r="Q228" s="6">
        <f>_xlfn.IFNA(IF(VLOOKUP($A228,'BU Raw Before'!A:H,1,FALSE)=$A228,VLOOKUP($A228,'BU Raw Before'!A:H,8,FALSE),0),0)</f>
        <v>0</v>
      </c>
      <c r="R228" s="6">
        <f>_xlfn.IFNA(IF(VLOOKUP($A228,'BU Raw After'!A:H,1,FALSE)=$A228,VLOOKUP($A228,'BU Raw After'!A:H,8,FALSE),0),0)</f>
        <v>0</v>
      </c>
      <c r="S228" s="6">
        <f t="shared" si="30"/>
        <v>0</v>
      </c>
      <c r="T228" s="7">
        <f t="shared" si="31"/>
        <v>0</v>
      </c>
    </row>
    <row r="229" spans="1:20" ht="15" x14ac:dyDescent="0.25">
      <c r="A229" t="s">
        <v>207</v>
      </c>
      <c r="B229" t="s">
        <v>182</v>
      </c>
      <c r="C229" t="s">
        <v>41</v>
      </c>
      <c r="D229" t="s">
        <v>9</v>
      </c>
      <c r="E229" s="6">
        <f>_xlfn.IFNA(IF(VLOOKUP($A229,'BU Raw Before'!A:H,1,FALSE)=$A229,VLOOKUP($A229,'BU Raw Before'!A:H,5,FALSE),0),0)</f>
        <v>0</v>
      </c>
      <c r="F229" s="6">
        <f>_xlfn.IFNA(IF(VLOOKUP($A229,'BU Raw After'!A:H,1,FALSE)=$A229,VLOOKUP($A229,'BU Raw After'!A:H,5,FALSE),0),0)</f>
        <v>0</v>
      </c>
      <c r="G229" s="6">
        <f t="shared" si="24"/>
        <v>0</v>
      </c>
      <c r="H229" s="7">
        <f t="shared" si="25"/>
        <v>0</v>
      </c>
      <c r="I229" s="6">
        <f>_xlfn.IFNA(IF(VLOOKUP($A229,'BU Raw Before'!A:H,1,FALSE)=$A229,VLOOKUP($A229,'BU Raw Before'!A:H,6,FALSE),0),0)</f>
        <v>0</v>
      </c>
      <c r="J229" s="6">
        <f>_xlfn.IFNA(IF(VLOOKUP($A229,'BU Raw After'!A:H,1,FALSE)=$A229,VLOOKUP($A229,'BU Raw After'!A:H,6,FALSE),0),0)</f>
        <v>0</v>
      </c>
      <c r="K229" s="6">
        <f t="shared" si="26"/>
        <v>0</v>
      </c>
      <c r="L229" s="7">
        <f t="shared" si="27"/>
        <v>0</v>
      </c>
      <c r="M229" s="6">
        <f>_xlfn.IFNA(IF(VLOOKUP($A229,'BU Raw Before'!A:H,1,FALSE)=$A229,VLOOKUP($A229,'BU Raw Before'!A:H,7,FALSE),0),0)</f>
        <v>0</v>
      </c>
      <c r="N229" s="6">
        <f>_xlfn.IFNA(IF(VLOOKUP($A229,'BU Raw After'!A:H,1,FALSE)=$A229,VLOOKUP($A229,'BU Raw After'!A:H,7,FALSE),0),0)</f>
        <v>0</v>
      </c>
      <c r="O229" s="6">
        <f t="shared" si="28"/>
        <v>0</v>
      </c>
      <c r="P229" s="7">
        <f t="shared" si="29"/>
        <v>0</v>
      </c>
      <c r="Q229" s="6">
        <f>_xlfn.IFNA(IF(VLOOKUP($A229,'BU Raw Before'!A:H,1,FALSE)=$A229,VLOOKUP($A229,'BU Raw Before'!A:H,8,FALSE),0),0)</f>
        <v>0</v>
      </c>
      <c r="R229" s="6">
        <f>_xlfn.IFNA(IF(VLOOKUP($A229,'BU Raw After'!A:H,1,FALSE)=$A229,VLOOKUP($A229,'BU Raw After'!A:H,8,FALSE),0),0)</f>
        <v>0</v>
      </c>
      <c r="S229" s="6">
        <f t="shared" si="30"/>
        <v>0</v>
      </c>
      <c r="T229" s="7">
        <f t="shared" si="31"/>
        <v>0</v>
      </c>
    </row>
    <row r="230" spans="1:20" ht="15" x14ac:dyDescent="0.25">
      <c r="A230" t="s">
        <v>208</v>
      </c>
      <c r="B230" t="s">
        <v>182</v>
      </c>
      <c r="C230" t="s">
        <v>41</v>
      </c>
      <c r="D230" t="s">
        <v>11</v>
      </c>
      <c r="E230" s="6">
        <f>_xlfn.IFNA(IF(VLOOKUP($A230,'BU Raw Before'!A:H,1,FALSE)=$A230,VLOOKUP($A230,'BU Raw Before'!A:H,5,FALSE),0),0)</f>
        <v>0</v>
      </c>
      <c r="F230" s="6">
        <f>_xlfn.IFNA(IF(VLOOKUP($A230,'BU Raw After'!A:H,1,FALSE)=$A230,VLOOKUP($A230,'BU Raw After'!A:H,5,FALSE),0),0)</f>
        <v>0</v>
      </c>
      <c r="G230" s="6">
        <f t="shared" si="24"/>
        <v>0</v>
      </c>
      <c r="H230" s="7">
        <f t="shared" si="25"/>
        <v>0</v>
      </c>
      <c r="I230" s="6">
        <f>_xlfn.IFNA(IF(VLOOKUP($A230,'BU Raw Before'!A:H,1,FALSE)=$A230,VLOOKUP($A230,'BU Raw Before'!A:H,6,FALSE),0),0)</f>
        <v>0</v>
      </c>
      <c r="J230" s="6">
        <f>_xlfn.IFNA(IF(VLOOKUP($A230,'BU Raw After'!A:H,1,FALSE)=$A230,VLOOKUP($A230,'BU Raw After'!A:H,6,FALSE),0),0)</f>
        <v>0</v>
      </c>
      <c r="K230" s="6">
        <f t="shared" si="26"/>
        <v>0</v>
      </c>
      <c r="L230" s="7">
        <f t="shared" si="27"/>
        <v>0</v>
      </c>
      <c r="M230" s="6">
        <f>_xlfn.IFNA(IF(VLOOKUP($A230,'BU Raw Before'!A:H,1,FALSE)=$A230,VLOOKUP($A230,'BU Raw Before'!A:H,7,FALSE),0),0)</f>
        <v>0</v>
      </c>
      <c r="N230" s="6">
        <f>_xlfn.IFNA(IF(VLOOKUP($A230,'BU Raw After'!A:H,1,FALSE)=$A230,VLOOKUP($A230,'BU Raw After'!A:H,7,FALSE),0),0)</f>
        <v>0</v>
      </c>
      <c r="O230" s="6">
        <f t="shared" si="28"/>
        <v>0</v>
      </c>
      <c r="P230" s="7">
        <f t="shared" si="29"/>
        <v>0</v>
      </c>
      <c r="Q230" s="6">
        <f>_xlfn.IFNA(IF(VLOOKUP($A230,'BU Raw Before'!A:H,1,FALSE)=$A230,VLOOKUP($A230,'BU Raw Before'!A:H,8,FALSE),0),0)</f>
        <v>0</v>
      </c>
      <c r="R230" s="6">
        <f>_xlfn.IFNA(IF(VLOOKUP($A230,'BU Raw After'!A:H,1,FALSE)=$A230,VLOOKUP($A230,'BU Raw After'!A:H,8,FALSE),0),0)</f>
        <v>0</v>
      </c>
      <c r="S230" s="6">
        <f t="shared" si="30"/>
        <v>0</v>
      </c>
      <c r="T230" s="7">
        <f t="shared" si="31"/>
        <v>0</v>
      </c>
    </row>
    <row r="231" spans="1:20" ht="15" x14ac:dyDescent="0.25">
      <c r="A231" t="s">
        <v>209</v>
      </c>
      <c r="B231" t="s">
        <v>182</v>
      </c>
      <c r="C231" t="s">
        <v>41</v>
      </c>
      <c r="D231" t="s">
        <v>13</v>
      </c>
      <c r="E231" s="6">
        <f>_xlfn.IFNA(IF(VLOOKUP($A231,'BU Raw Before'!A:H,1,FALSE)=$A231,VLOOKUP($A231,'BU Raw Before'!A:H,5,FALSE),0),0)</f>
        <v>0</v>
      </c>
      <c r="F231" s="6">
        <f>_xlfn.IFNA(IF(VLOOKUP($A231,'BU Raw After'!A:H,1,FALSE)=$A231,VLOOKUP($A231,'BU Raw After'!A:H,5,FALSE),0),0)</f>
        <v>0</v>
      </c>
      <c r="G231" s="6">
        <f t="shared" si="24"/>
        <v>0</v>
      </c>
      <c r="H231" s="7">
        <f t="shared" si="25"/>
        <v>0</v>
      </c>
      <c r="I231" s="6">
        <f>_xlfn.IFNA(IF(VLOOKUP($A231,'BU Raw Before'!A:H,1,FALSE)=$A231,VLOOKUP($A231,'BU Raw Before'!A:H,6,FALSE),0),0)</f>
        <v>0</v>
      </c>
      <c r="J231" s="6">
        <f>_xlfn.IFNA(IF(VLOOKUP($A231,'BU Raw After'!A:H,1,FALSE)=$A231,VLOOKUP($A231,'BU Raw After'!A:H,6,FALSE),0),0)</f>
        <v>0</v>
      </c>
      <c r="K231" s="6">
        <f t="shared" si="26"/>
        <v>0</v>
      </c>
      <c r="L231" s="7">
        <f t="shared" si="27"/>
        <v>0</v>
      </c>
      <c r="M231" s="6">
        <f>_xlfn.IFNA(IF(VLOOKUP($A231,'BU Raw Before'!A:H,1,FALSE)=$A231,VLOOKUP($A231,'BU Raw Before'!A:H,7,FALSE),0),0)</f>
        <v>0</v>
      </c>
      <c r="N231" s="6">
        <f>_xlfn.IFNA(IF(VLOOKUP($A231,'BU Raw After'!A:H,1,FALSE)=$A231,VLOOKUP($A231,'BU Raw After'!A:H,7,FALSE),0),0)</f>
        <v>0</v>
      </c>
      <c r="O231" s="6">
        <f t="shared" si="28"/>
        <v>0</v>
      </c>
      <c r="P231" s="7">
        <f t="shared" si="29"/>
        <v>0</v>
      </c>
      <c r="Q231" s="6">
        <f>_xlfn.IFNA(IF(VLOOKUP($A231,'BU Raw Before'!A:H,1,FALSE)=$A231,VLOOKUP($A231,'BU Raw Before'!A:H,8,FALSE),0),0)</f>
        <v>0</v>
      </c>
      <c r="R231" s="6">
        <f>_xlfn.IFNA(IF(VLOOKUP($A231,'BU Raw After'!A:H,1,FALSE)=$A231,VLOOKUP($A231,'BU Raw After'!A:H,8,FALSE),0),0)</f>
        <v>0</v>
      </c>
      <c r="S231" s="6">
        <f t="shared" si="30"/>
        <v>0</v>
      </c>
      <c r="T231" s="7">
        <f t="shared" si="31"/>
        <v>0</v>
      </c>
    </row>
    <row r="232" spans="1:20" ht="15" x14ac:dyDescent="0.25">
      <c r="A232" t="s">
        <v>210</v>
      </c>
      <c r="B232" t="s">
        <v>182</v>
      </c>
      <c r="C232" t="s">
        <v>41</v>
      </c>
      <c r="D232" t="s">
        <v>15</v>
      </c>
      <c r="E232" s="6">
        <f>_xlfn.IFNA(IF(VLOOKUP($A232,'BU Raw Before'!A:H,1,FALSE)=$A232,VLOOKUP($A232,'BU Raw Before'!A:H,5,FALSE),0),0)</f>
        <v>0</v>
      </c>
      <c r="F232" s="6">
        <f>_xlfn.IFNA(IF(VLOOKUP($A232,'BU Raw After'!A:H,1,FALSE)=$A232,VLOOKUP($A232,'BU Raw After'!A:H,5,FALSE),0),0)</f>
        <v>0</v>
      </c>
      <c r="G232" s="6">
        <f t="shared" si="24"/>
        <v>0</v>
      </c>
      <c r="H232" s="7">
        <f t="shared" si="25"/>
        <v>0</v>
      </c>
      <c r="I232" s="6">
        <f>_xlfn.IFNA(IF(VLOOKUP($A232,'BU Raw Before'!A:H,1,FALSE)=$A232,VLOOKUP($A232,'BU Raw Before'!A:H,6,FALSE),0),0)</f>
        <v>0</v>
      </c>
      <c r="J232" s="6">
        <f>_xlfn.IFNA(IF(VLOOKUP($A232,'BU Raw After'!A:H,1,FALSE)=$A232,VLOOKUP($A232,'BU Raw After'!A:H,6,FALSE),0),0)</f>
        <v>0</v>
      </c>
      <c r="K232" s="6">
        <f t="shared" si="26"/>
        <v>0</v>
      </c>
      <c r="L232" s="7">
        <f t="shared" si="27"/>
        <v>0</v>
      </c>
      <c r="M232" s="6">
        <f>_xlfn.IFNA(IF(VLOOKUP($A232,'BU Raw Before'!A:H,1,FALSE)=$A232,VLOOKUP($A232,'BU Raw Before'!A:H,7,FALSE),0),0)</f>
        <v>0</v>
      </c>
      <c r="N232" s="6">
        <f>_xlfn.IFNA(IF(VLOOKUP($A232,'BU Raw After'!A:H,1,FALSE)=$A232,VLOOKUP($A232,'BU Raw After'!A:H,7,FALSE),0),0)</f>
        <v>0</v>
      </c>
      <c r="O232" s="6">
        <f t="shared" si="28"/>
        <v>0</v>
      </c>
      <c r="P232" s="7">
        <f t="shared" si="29"/>
        <v>0</v>
      </c>
      <c r="Q232" s="6">
        <f>_xlfn.IFNA(IF(VLOOKUP($A232,'BU Raw Before'!A:H,1,FALSE)=$A232,VLOOKUP($A232,'BU Raw Before'!A:H,8,FALSE),0),0)</f>
        <v>0</v>
      </c>
      <c r="R232" s="6">
        <f>_xlfn.IFNA(IF(VLOOKUP($A232,'BU Raw After'!A:H,1,FALSE)=$A232,VLOOKUP($A232,'BU Raw After'!A:H,8,FALSE),0),0)</f>
        <v>0</v>
      </c>
      <c r="S232" s="6">
        <f t="shared" si="30"/>
        <v>0</v>
      </c>
      <c r="T232" s="7">
        <f t="shared" si="31"/>
        <v>0</v>
      </c>
    </row>
    <row r="233" spans="1:20" ht="15" x14ac:dyDescent="0.25">
      <c r="A233" t="s">
        <v>211</v>
      </c>
      <c r="B233" t="s">
        <v>182</v>
      </c>
      <c r="C233" t="s">
        <v>41</v>
      </c>
      <c r="D233" t="s">
        <v>17</v>
      </c>
      <c r="E233" s="6">
        <f>_xlfn.IFNA(IF(VLOOKUP($A233,'BU Raw Before'!A:H,1,FALSE)=$A233,VLOOKUP($A233,'BU Raw Before'!A:H,5,FALSE),0),0)</f>
        <v>0</v>
      </c>
      <c r="F233" s="6">
        <f>_xlfn.IFNA(IF(VLOOKUP($A233,'BU Raw After'!A:H,1,FALSE)=$A233,VLOOKUP($A233,'BU Raw After'!A:H,5,FALSE),0),0)</f>
        <v>0</v>
      </c>
      <c r="G233" s="6">
        <f t="shared" si="24"/>
        <v>0</v>
      </c>
      <c r="H233" s="7">
        <f t="shared" si="25"/>
        <v>0</v>
      </c>
      <c r="I233" s="6">
        <f>_xlfn.IFNA(IF(VLOOKUP($A233,'BU Raw Before'!A:H,1,FALSE)=$A233,VLOOKUP($A233,'BU Raw Before'!A:H,6,FALSE),0),0)</f>
        <v>0</v>
      </c>
      <c r="J233" s="6">
        <f>_xlfn.IFNA(IF(VLOOKUP($A233,'BU Raw After'!A:H,1,FALSE)=$A233,VLOOKUP($A233,'BU Raw After'!A:H,6,FALSE),0),0)</f>
        <v>0</v>
      </c>
      <c r="K233" s="6">
        <f t="shared" si="26"/>
        <v>0</v>
      </c>
      <c r="L233" s="7">
        <f t="shared" si="27"/>
        <v>0</v>
      </c>
      <c r="M233" s="6">
        <f>_xlfn.IFNA(IF(VLOOKUP($A233,'BU Raw Before'!A:H,1,FALSE)=$A233,VLOOKUP($A233,'BU Raw Before'!A:H,7,FALSE),0),0)</f>
        <v>0</v>
      </c>
      <c r="N233" s="6">
        <f>_xlfn.IFNA(IF(VLOOKUP($A233,'BU Raw After'!A:H,1,FALSE)=$A233,VLOOKUP($A233,'BU Raw After'!A:H,7,FALSE),0),0)</f>
        <v>0</v>
      </c>
      <c r="O233" s="6">
        <f t="shared" si="28"/>
        <v>0</v>
      </c>
      <c r="P233" s="7">
        <f t="shared" si="29"/>
        <v>0</v>
      </c>
      <c r="Q233" s="6">
        <f>_xlfn.IFNA(IF(VLOOKUP($A233,'BU Raw Before'!A:H,1,FALSE)=$A233,VLOOKUP($A233,'BU Raw Before'!A:H,8,FALSE),0),0)</f>
        <v>0</v>
      </c>
      <c r="R233" s="6">
        <f>_xlfn.IFNA(IF(VLOOKUP($A233,'BU Raw After'!A:H,1,FALSE)=$A233,VLOOKUP($A233,'BU Raw After'!A:H,8,FALSE),0),0)</f>
        <v>0</v>
      </c>
      <c r="S233" s="6">
        <f t="shared" si="30"/>
        <v>0</v>
      </c>
      <c r="T233" s="7">
        <f t="shared" si="31"/>
        <v>0</v>
      </c>
    </row>
    <row r="234" spans="1:20" ht="15" x14ac:dyDescent="0.25">
      <c r="A234" t="s">
        <v>212</v>
      </c>
      <c r="B234" t="s">
        <v>182</v>
      </c>
      <c r="C234" t="s">
        <v>41</v>
      </c>
      <c r="D234" t="s">
        <v>19</v>
      </c>
      <c r="E234" s="6">
        <f>_xlfn.IFNA(IF(VLOOKUP($A234,'BU Raw Before'!A:H,1,FALSE)=$A234,VLOOKUP($A234,'BU Raw Before'!A:H,5,FALSE),0),0)</f>
        <v>0</v>
      </c>
      <c r="F234" s="6">
        <f>_xlfn.IFNA(IF(VLOOKUP($A234,'BU Raw After'!A:H,1,FALSE)=$A234,VLOOKUP($A234,'BU Raw After'!A:H,5,FALSE),0),0)</f>
        <v>0</v>
      </c>
      <c r="G234" s="6">
        <f t="shared" si="24"/>
        <v>0</v>
      </c>
      <c r="H234" s="7">
        <f t="shared" si="25"/>
        <v>0</v>
      </c>
      <c r="I234" s="6">
        <f>_xlfn.IFNA(IF(VLOOKUP($A234,'BU Raw Before'!A:H,1,FALSE)=$A234,VLOOKUP($A234,'BU Raw Before'!A:H,6,FALSE),0),0)</f>
        <v>0</v>
      </c>
      <c r="J234" s="6">
        <f>_xlfn.IFNA(IF(VLOOKUP($A234,'BU Raw After'!A:H,1,FALSE)=$A234,VLOOKUP($A234,'BU Raw After'!A:H,6,FALSE),0),0)</f>
        <v>0</v>
      </c>
      <c r="K234" s="6">
        <f t="shared" si="26"/>
        <v>0</v>
      </c>
      <c r="L234" s="7">
        <f t="shared" si="27"/>
        <v>0</v>
      </c>
      <c r="M234" s="6">
        <f>_xlfn.IFNA(IF(VLOOKUP($A234,'BU Raw Before'!A:H,1,FALSE)=$A234,VLOOKUP($A234,'BU Raw Before'!A:H,7,FALSE),0),0)</f>
        <v>0</v>
      </c>
      <c r="N234" s="6">
        <f>_xlfn.IFNA(IF(VLOOKUP($A234,'BU Raw After'!A:H,1,FALSE)=$A234,VLOOKUP($A234,'BU Raw After'!A:H,7,FALSE),0),0)</f>
        <v>0</v>
      </c>
      <c r="O234" s="6">
        <f t="shared" si="28"/>
        <v>0</v>
      </c>
      <c r="P234" s="7">
        <f t="shared" si="29"/>
        <v>0</v>
      </c>
      <c r="Q234" s="6">
        <f>_xlfn.IFNA(IF(VLOOKUP($A234,'BU Raw Before'!A:H,1,FALSE)=$A234,VLOOKUP($A234,'BU Raw Before'!A:H,8,FALSE),0),0)</f>
        <v>0</v>
      </c>
      <c r="R234" s="6">
        <f>_xlfn.IFNA(IF(VLOOKUP($A234,'BU Raw After'!A:H,1,FALSE)=$A234,VLOOKUP($A234,'BU Raw After'!A:H,8,FALSE),0),0)</f>
        <v>0</v>
      </c>
      <c r="S234" s="6">
        <f t="shared" si="30"/>
        <v>0</v>
      </c>
      <c r="T234" s="7">
        <f t="shared" si="31"/>
        <v>0</v>
      </c>
    </row>
    <row r="235" spans="1:20" ht="15" x14ac:dyDescent="0.25">
      <c r="A235" t="s">
        <v>213</v>
      </c>
      <c r="B235" t="s">
        <v>182</v>
      </c>
      <c r="C235" t="s">
        <v>41</v>
      </c>
      <c r="D235" t="s">
        <v>21</v>
      </c>
      <c r="E235" s="6">
        <f>_xlfn.IFNA(IF(VLOOKUP($A235,'BU Raw Before'!A:H,1,FALSE)=$A235,VLOOKUP($A235,'BU Raw Before'!A:H,5,FALSE),0),0)</f>
        <v>0</v>
      </c>
      <c r="F235" s="6">
        <f>_xlfn.IFNA(IF(VLOOKUP($A235,'BU Raw After'!A:H,1,FALSE)=$A235,VLOOKUP($A235,'BU Raw After'!A:H,5,FALSE),0),0)</f>
        <v>0</v>
      </c>
      <c r="G235" s="6">
        <f t="shared" si="24"/>
        <v>0</v>
      </c>
      <c r="H235" s="7">
        <f t="shared" si="25"/>
        <v>0</v>
      </c>
      <c r="I235" s="6">
        <f>_xlfn.IFNA(IF(VLOOKUP($A235,'BU Raw Before'!A:H,1,FALSE)=$A235,VLOOKUP($A235,'BU Raw Before'!A:H,6,FALSE),0),0)</f>
        <v>0</v>
      </c>
      <c r="J235" s="6">
        <f>_xlfn.IFNA(IF(VLOOKUP($A235,'BU Raw After'!A:H,1,FALSE)=$A235,VLOOKUP($A235,'BU Raw After'!A:H,6,FALSE),0),0)</f>
        <v>0</v>
      </c>
      <c r="K235" s="6">
        <f t="shared" si="26"/>
        <v>0</v>
      </c>
      <c r="L235" s="7">
        <f t="shared" si="27"/>
        <v>0</v>
      </c>
      <c r="M235" s="6">
        <f>_xlfn.IFNA(IF(VLOOKUP($A235,'BU Raw Before'!A:H,1,FALSE)=$A235,VLOOKUP($A235,'BU Raw Before'!A:H,7,FALSE),0),0)</f>
        <v>0</v>
      </c>
      <c r="N235" s="6">
        <f>_xlfn.IFNA(IF(VLOOKUP($A235,'BU Raw After'!A:H,1,FALSE)=$A235,VLOOKUP($A235,'BU Raw After'!A:H,7,FALSE),0),0)</f>
        <v>0</v>
      </c>
      <c r="O235" s="6">
        <f t="shared" si="28"/>
        <v>0</v>
      </c>
      <c r="P235" s="7">
        <f t="shared" si="29"/>
        <v>0</v>
      </c>
      <c r="Q235" s="6">
        <f>_xlfn.IFNA(IF(VLOOKUP($A235,'BU Raw Before'!A:H,1,FALSE)=$A235,VLOOKUP($A235,'BU Raw Before'!A:H,8,FALSE),0),0)</f>
        <v>0</v>
      </c>
      <c r="R235" s="6">
        <f>_xlfn.IFNA(IF(VLOOKUP($A235,'BU Raw After'!A:H,1,FALSE)=$A235,VLOOKUP($A235,'BU Raw After'!A:H,8,FALSE),0),0)</f>
        <v>0</v>
      </c>
      <c r="S235" s="6">
        <f t="shared" si="30"/>
        <v>0</v>
      </c>
      <c r="T235" s="7">
        <f t="shared" si="31"/>
        <v>0</v>
      </c>
    </row>
    <row r="236" spans="1:20" ht="15" x14ac:dyDescent="0.25">
      <c r="A236" t="s">
        <v>352</v>
      </c>
      <c r="B236" t="s">
        <v>182</v>
      </c>
      <c r="C236" t="s">
        <v>286</v>
      </c>
      <c r="D236" t="s">
        <v>7</v>
      </c>
      <c r="E236" s="6">
        <f>_xlfn.IFNA(IF(VLOOKUP($A236,'BU Raw Before'!A:H,1,FALSE)=$A236,VLOOKUP($A236,'BU Raw Before'!A:H,5,FALSE),0),0)</f>
        <v>0</v>
      </c>
      <c r="F236" s="6">
        <f>_xlfn.IFNA(IF(VLOOKUP($A236,'BU Raw After'!A:H,1,FALSE)=$A236,VLOOKUP($A236,'BU Raw After'!A:H,5,FALSE),0),0)</f>
        <v>0</v>
      </c>
      <c r="G236" s="6">
        <f t="shared" si="24"/>
        <v>0</v>
      </c>
      <c r="H236" s="7">
        <f t="shared" si="25"/>
        <v>0</v>
      </c>
      <c r="I236" s="6">
        <f>_xlfn.IFNA(IF(VLOOKUP($A236,'BU Raw Before'!A:H,1,FALSE)=$A236,VLOOKUP($A236,'BU Raw Before'!A:H,6,FALSE),0),0)</f>
        <v>0</v>
      </c>
      <c r="J236" s="6">
        <f>_xlfn.IFNA(IF(VLOOKUP($A236,'BU Raw After'!A:H,1,FALSE)=$A236,VLOOKUP($A236,'BU Raw After'!A:H,6,FALSE),0),0)</f>
        <v>0</v>
      </c>
      <c r="K236" s="6">
        <f t="shared" si="26"/>
        <v>0</v>
      </c>
      <c r="L236" s="7">
        <f t="shared" si="27"/>
        <v>0</v>
      </c>
      <c r="M236" s="6">
        <f>_xlfn.IFNA(IF(VLOOKUP($A236,'BU Raw Before'!A:H,1,FALSE)=$A236,VLOOKUP($A236,'BU Raw Before'!A:H,7,FALSE),0),0)</f>
        <v>0</v>
      </c>
      <c r="N236" s="6">
        <f>_xlfn.IFNA(IF(VLOOKUP($A236,'BU Raw After'!A:H,1,FALSE)=$A236,VLOOKUP($A236,'BU Raw After'!A:H,7,FALSE),0),0)</f>
        <v>0</v>
      </c>
      <c r="O236" s="6">
        <f t="shared" si="28"/>
        <v>0</v>
      </c>
      <c r="P236" s="7">
        <f t="shared" si="29"/>
        <v>0</v>
      </c>
      <c r="Q236" s="6">
        <f>_xlfn.IFNA(IF(VLOOKUP($A236,'BU Raw Before'!A:H,1,FALSE)=$A236,VLOOKUP($A236,'BU Raw Before'!A:H,8,FALSE),0),0)</f>
        <v>0</v>
      </c>
      <c r="R236" s="6">
        <f>_xlfn.IFNA(IF(VLOOKUP($A236,'BU Raw After'!A:H,1,FALSE)=$A236,VLOOKUP($A236,'BU Raw After'!A:H,8,FALSE),0),0)</f>
        <v>0</v>
      </c>
      <c r="S236" s="6">
        <f t="shared" si="30"/>
        <v>0</v>
      </c>
      <c r="T236" s="7">
        <f t="shared" si="31"/>
        <v>0</v>
      </c>
    </row>
    <row r="237" spans="1:20" ht="15" x14ac:dyDescent="0.25">
      <c r="A237" t="s">
        <v>353</v>
      </c>
      <c r="B237" t="s">
        <v>182</v>
      </c>
      <c r="C237" t="s">
        <v>286</v>
      </c>
      <c r="D237" t="s">
        <v>9</v>
      </c>
      <c r="E237" s="6">
        <f>_xlfn.IFNA(IF(VLOOKUP($A237,'BU Raw Before'!A:H,1,FALSE)=$A237,VLOOKUP($A237,'BU Raw Before'!A:H,5,FALSE),0),0)</f>
        <v>0</v>
      </c>
      <c r="F237" s="6">
        <f>_xlfn.IFNA(IF(VLOOKUP($A237,'BU Raw After'!A:H,1,FALSE)=$A237,VLOOKUP($A237,'BU Raw After'!A:H,5,FALSE),0),0)</f>
        <v>0</v>
      </c>
      <c r="G237" s="6">
        <f t="shared" si="24"/>
        <v>0</v>
      </c>
      <c r="H237" s="7">
        <f t="shared" si="25"/>
        <v>0</v>
      </c>
      <c r="I237" s="6">
        <f>_xlfn.IFNA(IF(VLOOKUP($A237,'BU Raw Before'!A:H,1,FALSE)=$A237,VLOOKUP($A237,'BU Raw Before'!A:H,6,FALSE),0),0)</f>
        <v>0</v>
      </c>
      <c r="J237" s="6">
        <f>_xlfn.IFNA(IF(VLOOKUP($A237,'BU Raw After'!A:H,1,FALSE)=$A237,VLOOKUP($A237,'BU Raw After'!A:H,6,FALSE),0),0)</f>
        <v>0</v>
      </c>
      <c r="K237" s="6">
        <f t="shared" si="26"/>
        <v>0</v>
      </c>
      <c r="L237" s="7">
        <f t="shared" si="27"/>
        <v>0</v>
      </c>
      <c r="M237" s="6">
        <f>_xlfn.IFNA(IF(VLOOKUP($A237,'BU Raw Before'!A:H,1,FALSE)=$A237,VLOOKUP($A237,'BU Raw Before'!A:H,7,FALSE),0),0)</f>
        <v>0</v>
      </c>
      <c r="N237" s="6">
        <f>_xlfn.IFNA(IF(VLOOKUP($A237,'BU Raw After'!A:H,1,FALSE)=$A237,VLOOKUP($A237,'BU Raw After'!A:H,7,FALSE),0),0)</f>
        <v>0</v>
      </c>
      <c r="O237" s="6">
        <f t="shared" si="28"/>
        <v>0</v>
      </c>
      <c r="P237" s="7">
        <f t="shared" si="29"/>
        <v>0</v>
      </c>
      <c r="Q237" s="6">
        <f>_xlfn.IFNA(IF(VLOOKUP($A237,'BU Raw Before'!A:H,1,FALSE)=$A237,VLOOKUP($A237,'BU Raw Before'!A:H,8,FALSE),0),0)</f>
        <v>0</v>
      </c>
      <c r="R237" s="6">
        <f>_xlfn.IFNA(IF(VLOOKUP($A237,'BU Raw After'!A:H,1,FALSE)=$A237,VLOOKUP($A237,'BU Raw After'!A:H,8,FALSE),0),0)</f>
        <v>0</v>
      </c>
      <c r="S237" s="6">
        <f t="shared" si="30"/>
        <v>0</v>
      </c>
      <c r="T237" s="7">
        <f t="shared" si="31"/>
        <v>0</v>
      </c>
    </row>
    <row r="238" spans="1:20" ht="15" x14ac:dyDescent="0.25">
      <c r="A238" t="s">
        <v>354</v>
      </c>
      <c r="B238" t="s">
        <v>182</v>
      </c>
      <c r="C238" t="s">
        <v>286</v>
      </c>
      <c r="D238" t="s">
        <v>11</v>
      </c>
      <c r="E238" s="6">
        <f>_xlfn.IFNA(IF(VLOOKUP($A238,'BU Raw Before'!A:H,1,FALSE)=$A238,VLOOKUP($A238,'BU Raw Before'!A:H,5,FALSE),0),0)</f>
        <v>0</v>
      </c>
      <c r="F238" s="6">
        <f>_xlfn.IFNA(IF(VLOOKUP($A238,'BU Raw After'!A:H,1,FALSE)=$A238,VLOOKUP($A238,'BU Raw After'!A:H,5,FALSE),0),0)</f>
        <v>0</v>
      </c>
      <c r="G238" s="6">
        <f t="shared" si="24"/>
        <v>0</v>
      </c>
      <c r="H238" s="7">
        <f t="shared" si="25"/>
        <v>0</v>
      </c>
      <c r="I238" s="6">
        <f>_xlfn.IFNA(IF(VLOOKUP($A238,'BU Raw Before'!A:H,1,FALSE)=$A238,VLOOKUP($A238,'BU Raw Before'!A:H,6,FALSE),0),0)</f>
        <v>0</v>
      </c>
      <c r="J238" s="6">
        <f>_xlfn.IFNA(IF(VLOOKUP($A238,'BU Raw After'!A:H,1,FALSE)=$A238,VLOOKUP($A238,'BU Raw After'!A:H,6,FALSE),0),0)</f>
        <v>0</v>
      </c>
      <c r="K238" s="6">
        <f t="shared" si="26"/>
        <v>0</v>
      </c>
      <c r="L238" s="7">
        <f t="shared" si="27"/>
        <v>0</v>
      </c>
      <c r="M238" s="6">
        <f>_xlfn.IFNA(IF(VLOOKUP($A238,'BU Raw Before'!A:H,1,FALSE)=$A238,VLOOKUP($A238,'BU Raw Before'!A:H,7,FALSE),0),0)</f>
        <v>0</v>
      </c>
      <c r="N238" s="6">
        <f>_xlfn.IFNA(IF(VLOOKUP($A238,'BU Raw After'!A:H,1,FALSE)=$A238,VLOOKUP($A238,'BU Raw After'!A:H,7,FALSE),0),0)</f>
        <v>0</v>
      </c>
      <c r="O238" s="6">
        <f t="shared" si="28"/>
        <v>0</v>
      </c>
      <c r="P238" s="7">
        <f t="shared" si="29"/>
        <v>0</v>
      </c>
      <c r="Q238" s="6">
        <f>_xlfn.IFNA(IF(VLOOKUP($A238,'BU Raw Before'!A:H,1,FALSE)=$A238,VLOOKUP($A238,'BU Raw Before'!A:H,8,FALSE),0),0)</f>
        <v>0</v>
      </c>
      <c r="R238" s="6">
        <f>_xlfn.IFNA(IF(VLOOKUP($A238,'BU Raw After'!A:H,1,FALSE)=$A238,VLOOKUP($A238,'BU Raw After'!A:H,8,FALSE),0),0)</f>
        <v>0</v>
      </c>
      <c r="S238" s="6">
        <f t="shared" si="30"/>
        <v>0</v>
      </c>
      <c r="T238" s="7">
        <f t="shared" si="31"/>
        <v>0</v>
      </c>
    </row>
    <row r="239" spans="1:20" ht="15" x14ac:dyDescent="0.25">
      <c r="A239" t="s">
        <v>355</v>
      </c>
      <c r="B239" t="s">
        <v>182</v>
      </c>
      <c r="C239" t="s">
        <v>286</v>
      </c>
      <c r="D239" t="s">
        <v>13</v>
      </c>
      <c r="E239" s="6">
        <f>_xlfn.IFNA(IF(VLOOKUP($A239,'BU Raw Before'!A:H,1,FALSE)=$A239,VLOOKUP($A239,'BU Raw Before'!A:H,5,FALSE),0),0)</f>
        <v>0</v>
      </c>
      <c r="F239" s="6">
        <f>_xlfn.IFNA(IF(VLOOKUP($A239,'BU Raw After'!A:H,1,FALSE)=$A239,VLOOKUP($A239,'BU Raw After'!A:H,5,FALSE),0),0)</f>
        <v>0</v>
      </c>
      <c r="G239" s="6">
        <f t="shared" si="24"/>
        <v>0</v>
      </c>
      <c r="H239" s="7">
        <f t="shared" si="25"/>
        <v>0</v>
      </c>
      <c r="I239" s="6">
        <f>_xlfn.IFNA(IF(VLOOKUP($A239,'BU Raw Before'!A:H,1,FALSE)=$A239,VLOOKUP($A239,'BU Raw Before'!A:H,6,FALSE),0),0)</f>
        <v>0</v>
      </c>
      <c r="J239" s="6">
        <f>_xlfn.IFNA(IF(VLOOKUP($A239,'BU Raw After'!A:H,1,FALSE)=$A239,VLOOKUP($A239,'BU Raw After'!A:H,6,FALSE),0),0)</f>
        <v>0</v>
      </c>
      <c r="K239" s="6">
        <f t="shared" si="26"/>
        <v>0</v>
      </c>
      <c r="L239" s="7">
        <f t="shared" si="27"/>
        <v>0</v>
      </c>
      <c r="M239" s="6">
        <f>_xlfn.IFNA(IF(VLOOKUP($A239,'BU Raw Before'!A:H,1,FALSE)=$A239,VLOOKUP($A239,'BU Raw Before'!A:H,7,FALSE),0),0)</f>
        <v>0</v>
      </c>
      <c r="N239" s="6">
        <f>_xlfn.IFNA(IF(VLOOKUP($A239,'BU Raw After'!A:H,1,FALSE)=$A239,VLOOKUP($A239,'BU Raw After'!A:H,7,FALSE),0),0)</f>
        <v>0</v>
      </c>
      <c r="O239" s="6">
        <f t="shared" si="28"/>
        <v>0</v>
      </c>
      <c r="P239" s="7">
        <f t="shared" si="29"/>
        <v>0</v>
      </c>
      <c r="Q239" s="6">
        <f>_xlfn.IFNA(IF(VLOOKUP($A239,'BU Raw Before'!A:H,1,FALSE)=$A239,VLOOKUP($A239,'BU Raw Before'!A:H,8,FALSE),0),0)</f>
        <v>0</v>
      </c>
      <c r="R239" s="6">
        <f>_xlfn.IFNA(IF(VLOOKUP($A239,'BU Raw After'!A:H,1,FALSE)=$A239,VLOOKUP($A239,'BU Raw After'!A:H,8,FALSE),0),0)</f>
        <v>0</v>
      </c>
      <c r="S239" s="6">
        <f t="shared" si="30"/>
        <v>0</v>
      </c>
      <c r="T239" s="7">
        <f t="shared" si="31"/>
        <v>0</v>
      </c>
    </row>
    <row r="240" spans="1:20" ht="15" x14ac:dyDescent="0.25">
      <c r="A240" t="s">
        <v>356</v>
      </c>
      <c r="B240" t="s">
        <v>182</v>
      </c>
      <c r="C240" t="s">
        <v>286</v>
      </c>
      <c r="D240" t="s">
        <v>15</v>
      </c>
      <c r="E240" s="6">
        <f>_xlfn.IFNA(IF(VLOOKUP($A240,'BU Raw Before'!A:H,1,FALSE)=$A240,VLOOKUP($A240,'BU Raw Before'!A:H,5,FALSE),0),0)</f>
        <v>0</v>
      </c>
      <c r="F240" s="6">
        <f>_xlfn.IFNA(IF(VLOOKUP($A240,'BU Raw After'!A:H,1,FALSE)=$A240,VLOOKUP($A240,'BU Raw After'!A:H,5,FALSE),0),0)</f>
        <v>0</v>
      </c>
      <c r="G240" s="6">
        <f t="shared" si="24"/>
        <v>0</v>
      </c>
      <c r="H240" s="7">
        <f t="shared" si="25"/>
        <v>0</v>
      </c>
      <c r="I240" s="6">
        <f>_xlfn.IFNA(IF(VLOOKUP($A240,'BU Raw Before'!A:H,1,FALSE)=$A240,VLOOKUP($A240,'BU Raw Before'!A:H,6,FALSE),0),0)</f>
        <v>0</v>
      </c>
      <c r="J240" s="6">
        <f>_xlfn.IFNA(IF(VLOOKUP($A240,'BU Raw After'!A:H,1,FALSE)=$A240,VLOOKUP($A240,'BU Raw After'!A:H,6,FALSE),0),0)</f>
        <v>0</v>
      </c>
      <c r="K240" s="6">
        <f t="shared" si="26"/>
        <v>0</v>
      </c>
      <c r="L240" s="7">
        <f t="shared" si="27"/>
        <v>0</v>
      </c>
      <c r="M240" s="6">
        <f>_xlfn.IFNA(IF(VLOOKUP($A240,'BU Raw Before'!A:H,1,FALSE)=$A240,VLOOKUP($A240,'BU Raw Before'!A:H,7,FALSE),0),0)</f>
        <v>0</v>
      </c>
      <c r="N240" s="6">
        <f>_xlfn.IFNA(IF(VLOOKUP($A240,'BU Raw After'!A:H,1,FALSE)=$A240,VLOOKUP($A240,'BU Raw After'!A:H,7,FALSE),0),0)</f>
        <v>0</v>
      </c>
      <c r="O240" s="6">
        <f t="shared" si="28"/>
        <v>0</v>
      </c>
      <c r="P240" s="7">
        <f t="shared" si="29"/>
        <v>0</v>
      </c>
      <c r="Q240" s="6">
        <f>_xlfn.IFNA(IF(VLOOKUP($A240,'BU Raw Before'!A:H,1,FALSE)=$A240,VLOOKUP($A240,'BU Raw Before'!A:H,8,FALSE),0),0)</f>
        <v>0</v>
      </c>
      <c r="R240" s="6">
        <f>_xlfn.IFNA(IF(VLOOKUP($A240,'BU Raw After'!A:H,1,FALSE)=$A240,VLOOKUP($A240,'BU Raw After'!A:H,8,FALSE),0),0)</f>
        <v>0</v>
      </c>
      <c r="S240" s="6">
        <f t="shared" si="30"/>
        <v>0</v>
      </c>
      <c r="T240" s="7">
        <f t="shared" si="31"/>
        <v>0</v>
      </c>
    </row>
    <row r="241" spans="1:20" ht="15" x14ac:dyDescent="0.25">
      <c r="A241" t="s">
        <v>357</v>
      </c>
      <c r="B241" t="s">
        <v>182</v>
      </c>
      <c r="C241" t="s">
        <v>286</v>
      </c>
      <c r="D241" t="s">
        <v>17</v>
      </c>
      <c r="E241" s="6">
        <f>_xlfn.IFNA(IF(VLOOKUP($A241,'BU Raw Before'!A:H,1,FALSE)=$A241,VLOOKUP($A241,'BU Raw Before'!A:H,5,FALSE),0),0)</f>
        <v>0</v>
      </c>
      <c r="F241" s="6">
        <f>_xlfn.IFNA(IF(VLOOKUP($A241,'BU Raw After'!A:H,1,FALSE)=$A241,VLOOKUP($A241,'BU Raw After'!A:H,5,FALSE),0),0)</f>
        <v>0</v>
      </c>
      <c r="G241" s="6">
        <f t="shared" si="24"/>
        <v>0</v>
      </c>
      <c r="H241" s="7">
        <f t="shared" si="25"/>
        <v>0</v>
      </c>
      <c r="I241" s="6">
        <f>_xlfn.IFNA(IF(VLOOKUP($A241,'BU Raw Before'!A:H,1,FALSE)=$A241,VLOOKUP($A241,'BU Raw Before'!A:H,6,FALSE),0),0)</f>
        <v>0</v>
      </c>
      <c r="J241" s="6">
        <f>_xlfn.IFNA(IF(VLOOKUP($A241,'BU Raw After'!A:H,1,FALSE)=$A241,VLOOKUP($A241,'BU Raw After'!A:H,6,FALSE),0),0)</f>
        <v>0</v>
      </c>
      <c r="K241" s="6">
        <f t="shared" si="26"/>
        <v>0</v>
      </c>
      <c r="L241" s="7">
        <f t="shared" si="27"/>
        <v>0</v>
      </c>
      <c r="M241" s="6">
        <f>_xlfn.IFNA(IF(VLOOKUP($A241,'BU Raw Before'!A:H,1,FALSE)=$A241,VLOOKUP($A241,'BU Raw Before'!A:H,7,FALSE),0),0)</f>
        <v>0</v>
      </c>
      <c r="N241" s="6">
        <f>_xlfn.IFNA(IF(VLOOKUP($A241,'BU Raw After'!A:H,1,FALSE)=$A241,VLOOKUP($A241,'BU Raw After'!A:H,7,FALSE),0),0)</f>
        <v>0</v>
      </c>
      <c r="O241" s="6">
        <f t="shared" si="28"/>
        <v>0</v>
      </c>
      <c r="P241" s="7">
        <f t="shared" si="29"/>
        <v>0</v>
      </c>
      <c r="Q241" s="6">
        <f>_xlfn.IFNA(IF(VLOOKUP($A241,'BU Raw Before'!A:H,1,FALSE)=$A241,VLOOKUP($A241,'BU Raw Before'!A:H,8,FALSE),0),0)</f>
        <v>0</v>
      </c>
      <c r="R241" s="6">
        <f>_xlfn.IFNA(IF(VLOOKUP($A241,'BU Raw After'!A:H,1,FALSE)=$A241,VLOOKUP($A241,'BU Raw After'!A:H,8,FALSE),0),0)</f>
        <v>0</v>
      </c>
      <c r="S241" s="6">
        <f t="shared" si="30"/>
        <v>0</v>
      </c>
      <c r="T241" s="7">
        <f t="shared" si="31"/>
        <v>0</v>
      </c>
    </row>
    <row r="242" spans="1:20" ht="15" x14ac:dyDescent="0.25">
      <c r="A242" t="s">
        <v>358</v>
      </c>
      <c r="B242" t="s">
        <v>182</v>
      </c>
      <c r="C242" t="s">
        <v>286</v>
      </c>
      <c r="D242" t="s">
        <v>19</v>
      </c>
      <c r="E242" s="6">
        <f>_xlfn.IFNA(IF(VLOOKUP($A242,'BU Raw Before'!A:H,1,FALSE)=$A242,VLOOKUP($A242,'BU Raw Before'!A:H,5,FALSE),0),0)</f>
        <v>0</v>
      </c>
      <c r="F242" s="6">
        <f>_xlfn.IFNA(IF(VLOOKUP($A242,'BU Raw After'!A:H,1,FALSE)=$A242,VLOOKUP($A242,'BU Raw After'!A:H,5,FALSE),0),0)</f>
        <v>0</v>
      </c>
      <c r="G242" s="6">
        <f t="shared" si="24"/>
        <v>0</v>
      </c>
      <c r="H242" s="7">
        <f t="shared" si="25"/>
        <v>0</v>
      </c>
      <c r="I242" s="6">
        <f>_xlfn.IFNA(IF(VLOOKUP($A242,'BU Raw Before'!A:H,1,FALSE)=$A242,VLOOKUP($A242,'BU Raw Before'!A:H,6,FALSE),0),0)</f>
        <v>0</v>
      </c>
      <c r="J242" s="6">
        <f>_xlfn.IFNA(IF(VLOOKUP($A242,'BU Raw After'!A:H,1,FALSE)=$A242,VLOOKUP($A242,'BU Raw After'!A:H,6,FALSE),0),0)</f>
        <v>0</v>
      </c>
      <c r="K242" s="6">
        <f t="shared" si="26"/>
        <v>0</v>
      </c>
      <c r="L242" s="7">
        <f t="shared" si="27"/>
        <v>0</v>
      </c>
      <c r="M242" s="6">
        <f>_xlfn.IFNA(IF(VLOOKUP($A242,'BU Raw Before'!A:H,1,FALSE)=$A242,VLOOKUP($A242,'BU Raw Before'!A:H,7,FALSE),0),0)</f>
        <v>0</v>
      </c>
      <c r="N242" s="6">
        <f>_xlfn.IFNA(IF(VLOOKUP($A242,'BU Raw After'!A:H,1,FALSE)=$A242,VLOOKUP($A242,'BU Raw After'!A:H,7,FALSE),0),0)</f>
        <v>0</v>
      </c>
      <c r="O242" s="6">
        <f t="shared" si="28"/>
        <v>0</v>
      </c>
      <c r="P242" s="7">
        <f t="shared" si="29"/>
        <v>0</v>
      </c>
      <c r="Q242" s="6">
        <f>_xlfn.IFNA(IF(VLOOKUP($A242,'BU Raw Before'!A:H,1,FALSE)=$A242,VLOOKUP($A242,'BU Raw Before'!A:H,8,FALSE),0),0)</f>
        <v>0</v>
      </c>
      <c r="R242" s="6">
        <f>_xlfn.IFNA(IF(VLOOKUP($A242,'BU Raw After'!A:H,1,FALSE)=$A242,VLOOKUP($A242,'BU Raw After'!A:H,8,FALSE),0),0)</f>
        <v>0</v>
      </c>
      <c r="S242" s="6">
        <f t="shared" si="30"/>
        <v>0</v>
      </c>
      <c r="T242" s="7">
        <f t="shared" si="31"/>
        <v>0</v>
      </c>
    </row>
    <row r="243" spans="1:20" ht="15" x14ac:dyDescent="0.25">
      <c r="A243" t="s">
        <v>359</v>
      </c>
      <c r="B243" t="s">
        <v>182</v>
      </c>
      <c r="C243" t="s">
        <v>286</v>
      </c>
      <c r="D243" t="s">
        <v>21</v>
      </c>
      <c r="E243" s="6">
        <f>_xlfn.IFNA(IF(VLOOKUP($A243,'BU Raw Before'!A:H,1,FALSE)=$A243,VLOOKUP($A243,'BU Raw Before'!A:H,5,FALSE),0),0)</f>
        <v>0</v>
      </c>
      <c r="F243" s="6">
        <f>_xlfn.IFNA(IF(VLOOKUP($A243,'BU Raw After'!A:H,1,FALSE)=$A243,VLOOKUP($A243,'BU Raw After'!A:H,5,FALSE),0),0)</f>
        <v>0</v>
      </c>
      <c r="G243" s="6">
        <f t="shared" si="24"/>
        <v>0</v>
      </c>
      <c r="H243" s="7">
        <f t="shared" si="25"/>
        <v>0</v>
      </c>
      <c r="I243" s="6">
        <f>_xlfn.IFNA(IF(VLOOKUP($A243,'BU Raw Before'!A:H,1,FALSE)=$A243,VLOOKUP($A243,'BU Raw Before'!A:H,6,FALSE),0),0)</f>
        <v>0</v>
      </c>
      <c r="J243" s="6">
        <f>_xlfn.IFNA(IF(VLOOKUP($A243,'BU Raw After'!A:H,1,FALSE)=$A243,VLOOKUP($A243,'BU Raw After'!A:H,6,FALSE),0),0)</f>
        <v>0</v>
      </c>
      <c r="K243" s="6">
        <f t="shared" si="26"/>
        <v>0</v>
      </c>
      <c r="L243" s="7">
        <f t="shared" si="27"/>
        <v>0</v>
      </c>
      <c r="M243" s="6">
        <f>_xlfn.IFNA(IF(VLOOKUP($A243,'BU Raw Before'!A:H,1,FALSE)=$A243,VLOOKUP($A243,'BU Raw Before'!A:H,7,FALSE),0),0)</f>
        <v>0</v>
      </c>
      <c r="N243" s="6">
        <f>_xlfn.IFNA(IF(VLOOKUP($A243,'BU Raw After'!A:H,1,FALSE)=$A243,VLOOKUP($A243,'BU Raw After'!A:H,7,FALSE),0),0)</f>
        <v>0</v>
      </c>
      <c r="O243" s="6">
        <f t="shared" si="28"/>
        <v>0</v>
      </c>
      <c r="P243" s="7">
        <f t="shared" si="29"/>
        <v>0</v>
      </c>
      <c r="Q243" s="6">
        <f>_xlfn.IFNA(IF(VLOOKUP($A243,'BU Raw Before'!A:H,1,FALSE)=$A243,VLOOKUP($A243,'BU Raw Before'!A:H,8,FALSE),0),0)</f>
        <v>0</v>
      </c>
      <c r="R243" s="6">
        <f>_xlfn.IFNA(IF(VLOOKUP($A243,'BU Raw After'!A:H,1,FALSE)=$A243,VLOOKUP($A243,'BU Raw After'!A:H,8,FALSE),0),0)</f>
        <v>0</v>
      </c>
      <c r="S243" s="6">
        <f t="shared" si="30"/>
        <v>0</v>
      </c>
      <c r="T243" s="7">
        <f t="shared" si="31"/>
        <v>0</v>
      </c>
    </row>
    <row r="244" spans="1:20" ht="15" x14ac:dyDescent="0.25">
      <c r="A244" t="s">
        <v>214</v>
      </c>
      <c r="B244" t="s">
        <v>215</v>
      </c>
      <c r="C244" t="s">
        <v>6</v>
      </c>
      <c r="D244" t="s">
        <v>7</v>
      </c>
      <c r="E244" s="6">
        <f>_xlfn.IFNA(IF(VLOOKUP($A244,'BU Raw Before'!A:H,1,FALSE)=$A244,VLOOKUP($A244,'BU Raw Before'!A:H,5,FALSE),0),0)</f>
        <v>0</v>
      </c>
      <c r="F244" s="6">
        <f>_xlfn.IFNA(IF(VLOOKUP($A244,'BU Raw After'!A:H,1,FALSE)=$A244,VLOOKUP($A244,'BU Raw After'!A:H,5,FALSE),0),0)</f>
        <v>0</v>
      </c>
      <c r="G244" s="6">
        <f t="shared" si="24"/>
        <v>0</v>
      </c>
      <c r="H244" s="7">
        <f t="shared" si="25"/>
        <v>0</v>
      </c>
      <c r="I244" s="6">
        <f>_xlfn.IFNA(IF(VLOOKUP($A244,'BU Raw Before'!A:H,1,FALSE)=$A244,VLOOKUP($A244,'BU Raw Before'!A:H,6,FALSE),0),0)</f>
        <v>0</v>
      </c>
      <c r="J244" s="6">
        <f>_xlfn.IFNA(IF(VLOOKUP($A244,'BU Raw After'!A:H,1,FALSE)=$A244,VLOOKUP($A244,'BU Raw After'!A:H,6,FALSE),0),0)</f>
        <v>0</v>
      </c>
      <c r="K244" s="6">
        <f t="shared" si="26"/>
        <v>0</v>
      </c>
      <c r="L244" s="7">
        <f t="shared" si="27"/>
        <v>0</v>
      </c>
      <c r="M244" s="6">
        <f>_xlfn.IFNA(IF(VLOOKUP($A244,'BU Raw Before'!A:H,1,FALSE)=$A244,VLOOKUP($A244,'BU Raw Before'!A:H,7,FALSE),0),0)</f>
        <v>0</v>
      </c>
      <c r="N244" s="6">
        <f>_xlfn.IFNA(IF(VLOOKUP($A244,'BU Raw After'!A:H,1,FALSE)=$A244,VLOOKUP($A244,'BU Raw After'!A:H,7,FALSE),0),0)</f>
        <v>0</v>
      </c>
      <c r="O244" s="6">
        <f t="shared" si="28"/>
        <v>0</v>
      </c>
      <c r="P244" s="7">
        <f t="shared" si="29"/>
        <v>0</v>
      </c>
      <c r="Q244" s="6">
        <f>_xlfn.IFNA(IF(VLOOKUP($A244,'BU Raw Before'!A:H,1,FALSE)=$A244,VLOOKUP($A244,'BU Raw Before'!A:H,8,FALSE),0),0)</f>
        <v>0</v>
      </c>
      <c r="R244" s="6">
        <f>_xlfn.IFNA(IF(VLOOKUP($A244,'BU Raw After'!A:H,1,FALSE)=$A244,VLOOKUP($A244,'BU Raw After'!A:H,8,FALSE),0),0)</f>
        <v>0</v>
      </c>
      <c r="S244" s="6">
        <f t="shared" si="30"/>
        <v>0</v>
      </c>
      <c r="T244" s="7">
        <f t="shared" si="31"/>
        <v>0</v>
      </c>
    </row>
    <row r="245" spans="1:20" ht="15" x14ac:dyDescent="0.25">
      <c r="A245" t="s">
        <v>216</v>
      </c>
      <c r="B245" t="s">
        <v>215</v>
      </c>
      <c r="C245" t="s">
        <v>6</v>
      </c>
      <c r="D245" t="s">
        <v>9</v>
      </c>
      <c r="E245" s="6">
        <f>_xlfn.IFNA(IF(VLOOKUP($A245,'BU Raw Before'!A:H,1,FALSE)=$A245,VLOOKUP($A245,'BU Raw Before'!A:H,5,FALSE),0),0)</f>
        <v>0</v>
      </c>
      <c r="F245" s="6">
        <f>_xlfn.IFNA(IF(VLOOKUP($A245,'BU Raw After'!A:H,1,FALSE)=$A245,VLOOKUP($A245,'BU Raw After'!A:H,5,FALSE),0),0)</f>
        <v>0</v>
      </c>
      <c r="G245" s="6">
        <f t="shared" si="24"/>
        <v>0</v>
      </c>
      <c r="H245" s="7">
        <f t="shared" si="25"/>
        <v>0</v>
      </c>
      <c r="I245" s="6">
        <f>_xlfn.IFNA(IF(VLOOKUP($A245,'BU Raw Before'!A:H,1,FALSE)=$A245,VLOOKUP($A245,'BU Raw Before'!A:H,6,FALSE),0),0)</f>
        <v>0</v>
      </c>
      <c r="J245" s="6">
        <f>_xlfn.IFNA(IF(VLOOKUP($A245,'BU Raw After'!A:H,1,FALSE)=$A245,VLOOKUP($A245,'BU Raw After'!A:H,6,FALSE),0),0)</f>
        <v>0</v>
      </c>
      <c r="K245" s="6">
        <f t="shared" si="26"/>
        <v>0</v>
      </c>
      <c r="L245" s="7">
        <f t="shared" si="27"/>
        <v>0</v>
      </c>
      <c r="M245" s="6">
        <f>_xlfn.IFNA(IF(VLOOKUP($A245,'BU Raw Before'!A:H,1,FALSE)=$A245,VLOOKUP($A245,'BU Raw Before'!A:H,7,FALSE),0),0)</f>
        <v>0</v>
      </c>
      <c r="N245" s="6">
        <f>_xlfn.IFNA(IF(VLOOKUP($A245,'BU Raw After'!A:H,1,FALSE)=$A245,VLOOKUP($A245,'BU Raw After'!A:H,7,FALSE),0),0)</f>
        <v>0</v>
      </c>
      <c r="O245" s="6">
        <f t="shared" si="28"/>
        <v>0</v>
      </c>
      <c r="P245" s="7">
        <f t="shared" si="29"/>
        <v>0</v>
      </c>
      <c r="Q245" s="6">
        <f>_xlfn.IFNA(IF(VLOOKUP($A245,'BU Raw Before'!A:H,1,FALSE)=$A245,VLOOKUP($A245,'BU Raw Before'!A:H,8,FALSE),0),0)</f>
        <v>0</v>
      </c>
      <c r="R245" s="6">
        <f>_xlfn.IFNA(IF(VLOOKUP($A245,'BU Raw After'!A:H,1,FALSE)=$A245,VLOOKUP($A245,'BU Raw After'!A:H,8,FALSE),0),0)</f>
        <v>0</v>
      </c>
      <c r="S245" s="6">
        <f t="shared" si="30"/>
        <v>0</v>
      </c>
      <c r="T245" s="7">
        <f t="shared" si="31"/>
        <v>0</v>
      </c>
    </row>
    <row r="246" spans="1:20" ht="15" x14ac:dyDescent="0.25">
      <c r="A246" t="s">
        <v>217</v>
      </c>
      <c r="B246" t="s">
        <v>215</v>
      </c>
      <c r="C246" t="s">
        <v>6</v>
      </c>
      <c r="D246" t="s">
        <v>11</v>
      </c>
      <c r="E246" s="6">
        <f>_xlfn.IFNA(IF(VLOOKUP($A246,'BU Raw Before'!A:H,1,FALSE)=$A246,VLOOKUP($A246,'BU Raw Before'!A:H,5,FALSE),0),0)</f>
        <v>0</v>
      </c>
      <c r="F246" s="6">
        <f>_xlfn.IFNA(IF(VLOOKUP($A246,'BU Raw After'!A:H,1,FALSE)=$A246,VLOOKUP($A246,'BU Raw After'!A:H,5,FALSE),0),0)</f>
        <v>0</v>
      </c>
      <c r="G246" s="6">
        <f t="shared" si="24"/>
        <v>0</v>
      </c>
      <c r="H246" s="7">
        <f t="shared" si="25"/>
        <v>0</v>
      </c>
      <c r="I246" s="6">
        <f>_xlfn.IFNA(IF(VLOOKUP($A246,'BU Raw Before'!A:H,1,FALSE)=$A246,VLOOKUP($A246,'BU Raw Before'!A:H,6,FALSE),0),0)</f>
        <v>0</v>
      </c>
      <c r="J246" s="6">
        <f>_xlfn.IFNA(IF(VLOOKUP($A246,'BU Raw After'!A:H,1,FALSE)=$A246,VLOOKUP($A246,'BU Raw After'!A:H,6,FALSE),0),0)</f>
        <v>0</v>
      </c>
      <c r="K246" s="6">
        <f t="shared" si="26"/>
        <v>0</v>
      </c>
      <c r="L246" s="7">
        <f t="shared" si="27"/>
        <v>0</v>
      </c>
      <c r="M246" s="6">
        <f>_xlfn.IFNA(IF(VLOOKUP($A246,'BU Raw Before'!A:H,1,FALSE)=$A246,VLOOKUP($A246,'BU Raw Before'!A:H,7,FALSE),0),0)</f>
        <v>0</v>
      </c>
      <c r="N246" s="6">
        <f>_xlfn.IFNA(IF(VLOOKUP($A246,'BU Raw After'!A:H,1,FALSE)=$A246,VLOOKUP($A246,'BU Raw After'!A:H,7,FALSE),0),0)</f>
        <v>0</v>
      </c>
      <c r="O246" s="6">
        <f t="shared" si="28"/>
        <v>0</v>
      </c>
      <c r="P246" s="7">
        <f t="shared" si="29"/>
        <v>0</v>
      </c>
      <c r="Q246" s="6">
        <f>_xlfn.IFNA(IF(VLOOKUP($A246,'BU Raw Before'!A:H,1,FALSE)=$A246,VLOOKUP($A246,'BU Raw Before'!A:H,8,FALSE),0),0)</f>
        <v>0</v>
      </c>
      <c r="R246" s="6">
        <f>_xlfn.IFNA(IF(VLOOKUP($A246,'BU Raw After'!A:H,1,FALSE)=$A246,VLOOKUP($A246,'BU Raw After'!A:H,8,FALSE),0),0)</f>
        <v>0</v>
      </c>
      <c r="S246" s="6">
        <f t="shared" si="30"/>
        <v>0</v>
      </c>
      <c r="T246" s="7">
        <f t="shared" si="31"/>
        <v>0</v>
      </c>
    </row>
    <row r="247" spans="1:20" ht="15" x14ac:dyDescent="0.25">
      <c r="A247" t="s">
        <v>218</v>
      </c>
      <c r="B247" t="s">
        <v>215</v>
      </c>
      <c r="C247" t="s">
        <v>6</v>
      </c>
      <c r="D247" t="s">
        <v>13</v>
      </c>
      <c r="E247" s="6">
        <f>_xlfn.IFNA(IF(VLOOKUP($A247,'BU Raw Before'!A:H,1,FALSE)=$A247,VLOOKUP($A247,'BU Raw Before'!A:H,5,FALSE),0),0)</f>
        <v>0</v>
      </c>
      <c r="F247" s="6">
        <f>_xlfn.IFNA(IF(VLOOKUP($A247,'BU Raw After'!A:H,1,FALSE)=$A247,VLOOKUP($A247,'BU Raw After'!A:H,5,FALSE),0),0)</f>
        <v>0</v>
      </c>
      <c r="G247" s="6">
        <f t="shared" si="24"/>
        <v>0</v>
      </c>
      <c r="H247" s="7">
        <f t="shared" si="25"/>
        <v>0</v>
      </c>
      <c r="I247" s="6">
        <f>_xlfn.IFNA(IF(VLOOKUP($A247,'BU Raw Before'!A:H,1,FALSE)=$A247,VLOOKUP($A247,'BU Raw Before'!A:H,6,FALSE),0),0)</f>
        <v>0</v>
      </c>
      <c r="J247" s="6">
        <f>_xlfn.IFNA(IF(VLOOKUP($A247,'BU Raw After'!A:H,1,FALSE)=$A247,VLOOKUP($A247,'BU Raw After'!A:H,6,FALSE),0),0)</f>
        <v>0</v>
      </c>
      <c r="K247" s="6">
        <f t="shared" si="26"/>
        <v>0</v>
      </c>
      <c r="L247" s="7">
        <f t="shared" si="27"/>
        <v>0</v>
      </c>
      <c r="M247" s="6">
        <f>_xlfn.IFNA(IF(VLOOKUP($A247,'BU Raw Before'!A:H,1,FALSE)=$A247,VLOOKUP($A247,'BU Raw Before'!A:H,7,FALSE),0),0)</f>
        <v>0</v>
      </c>
      <c r="N247" s="6">
        <f>_xlfn.IFNA(IF(VLOOKUP($A247,'BU Raw After'!A:H,1,FALSE)=$A247,VLOOKUP($A247,'BU Raw After'!A:H,7,FALSE),0),0)</f>
        <v>0</v>
      </c>
      <c r="O247" s="6">
        <f t="shared" si="28"/>
        <v>0</v>
      </c>
      <c r="P247" s="7">
        <f t="shared" si="29"/>
        <v>0</v>
      </c>
      <c r="Q247" s="6">
        <f>_xlfn.IFNA(IF(VLOOKUP($A247,'BU Raw Before'!A:H,1,FALSE)=$A247,VLOOKUP($A247,'BU Raw Before'!A:H,8,FALSE),0),0)</f>
        <v>0</v>
      </c>
      <c r="R247" s="6">
        <f>_xlfn.IFNA(IF(VLOOKUP($A247,'BU Raw After'!A:H,1,FALSE)=$A247,VLOOKUP($A247,'BU Raw After'!A:H,8,FALSE),0),0)</f>
        <v>0</v>
      </c>
      <c r="S247" s="6">
        <f t="shared" si="30"/>
        <v>0</v>
      </c>
      <c r="T247" s="7">
        <f t="shared" si="31"/>
        <v>0</v>
      </c>
    </row>
    <row r="248" spans="1:20" ht="15" x14ac:dyDescent="0.25">
      <c r="A248" t="s">
        <v>219</v>
      </c>
      <c r="B248" t="s">
        <v>215</v>
      </c>
      <c r="C248" t="s">
        <v>6</v>
      </c>
      <c r="D248" t="s">
        <v>15</v>
      </c>
      <c r="E248" s="6">
        <f>_xlfn.IFNA(IF(VLOOKUP($A248,'BU Raw Before'!A:H,1,FALSE)=$A248,VLOOKUP($A248,'BU Raw Before'!A:H,5,FALSE),0),0)</f>
        <v>0</v>
      </c>
      <c r="F248" s="6">
        <f>_xlfn.IFNA(IF(VLOOKUP($A248,'BU Raw After'!A:H,1,FALSE)=$A248,VLOOKUP($A248,'BU Raw After'!A:H,5,FALSE),0),0)</f>
        <v>0</v>
      </c>
      <c r="G248" s="6">
        <f t="shared" si="24"/>
        <v>0</v>
      </c>
      <c r="H248" s="7">
        <f t="shared" si="25"/>
        <v>0</v>
      </c>
      <c r="I248" s="6">
        <f>_xlfn.IFNA(IF(VLOOKUP($A248,'BU Raw Before'!A:H,1,FALSE)=$A248,VLOOKUP($A248,'BU Raw Before'!A:H,6,FALSE),0),0)</f>
        <v>0</v>
      </c>
      <c r="J248" s="6">
        <f>_xlfn.IFNA(IF(VLOOKUP($A248,'BU Raw After'!A:H,1,FALSE)=$A248,VLOOKUP($A248,'BU Raw After'!A:H,6,FALSE),0),0)</f>
        <v>0</v>
      </c>
      <c r="K248" s="6">
        <f t="shared" si="26"/>
        <v>0</v>
      </c>
      <c r="L248" s="7">
        <f t="shared" si="27"/>
        <v>0</v>
      </c>
      <c r="M248" s="6">
        <f>_xlfn.IFNA(IF(VLOOKUP($A248,'BU Raw Before'!A:H,1,FALSE)=$A248,VLOOKUP($A248,'BU Raw Before'!A:H,7,FALSE),0),0)</f>
        <v>0</v>
      </c>
      <c r="N248" s="6">
        <f>_xlfn.IFNA(IF(VLOOKUP($A248,'BU Raw After'!A:H,1,FALSE)=$A248,VLOOKUP($A248,'BU Raw After'!A:H,7,FALSE),0),0)</f>
        <v>0</v>
      </c>
      <c r="O248" s="6">
        <f t="shared" si="28"/>
        <v>0</v>
      </c>
      <c r="P248" s="7">
        <f t="shared" si="29"/>
        <v>0</v>
      </c>
      <c r="Q248" s="6">
        <f>_xlfn.IFNA(IF(VLOOKUP($A248,'BU Raw Before'!A:H,1,FALSE)=$A248,VLOOKUP($A248,'BU Raw Before'!A:H,8,FALSE),0),0)</f>
        <v>0</v>
      </c>
      <c r="R248" s="6">
        <f>_xlfn.IFNA(IF(VLOOKUP($A248,'BU Raw After'!A:H,1,FALSE)=$A248,VLOOKUP($A248,'BU Raw After'!A:H,8,FALSE),0),0)</f>
        <v>0</v>
      </c>
      <c r="S248" s="6">
        <f t="shared" si="30"/>
        <v>0</v>
      </c>
      <c r="T248" s="7">
        <f t="shared" si="31"/>
        <v>0</v>
      </c>
    </row>
    <row r="249" spans="1:20" ht="15" x14ac:dyDescent="0.25">
      <c r="A249" t="s">
        <v>220</v>
      </c>
      <c r="B249" t="s">
        <v>215</v>
      </c>
      <c r="C249" t="s">
        <v>6</v>
      </c>
      <c r="D249" t="s">
        <v>17</v>
      </c>
      <c r="E249" s="6">
        <f>_xlfn.IFNA(IF(VLOOKUP($A249,'BU Raw Before'!A:H,1,FALSE)=$A249,VLOOKUP($A249,'BU Raw Before'!A:H,5,FALSE),0),0)</f>
        <v>0</v>
      </c>
      <c r="F249" s="6">
        <f>_xlfn.IFNA(IF(VLOOKUP($A249,'BU Raw After'!A:H,1,FALSE)=$A249,VLOOKUP($A249,'BU Raw After'!A:H,5,FALSE),0),0)</f>
        <v>0</v>
      </c>
      <c r="G249" s="6">
        <f t="shared" si="24"/>
        <v>0</v>
      </c>
      <c r="H249" s="7">
        <f t="shared" si="25"/>
        <v>0</v>
      </c>
      <c r="I249" s="6">
        <f>_xlfn.IFNA(IF(VLOOKUP($A249,'BU Raw Before'!A:H,1,FALSE)=$A249,VLOOKUP($A249,'BU Raw Before'!A:H,6,FALSE),0),0)</f>
        <v>0</v>
      </c>
      <c r="J249" s="6">
        <f>_xlfn.IFNA(IF(VLOOKUP($A249,'BU Raw After'!A:H,1,FALSE)=$A249,VLOOKUP($A249,'BU Raw After'!A:H,6,FALSE),0),0)</f>
        <v>0</v>
      </c>
      <c r="K249" s="6">
        <f t="shared" si="26"/>
        <v>0</v>
      </c>
      <c r="L249" s="7">
        <f t="shared" si="27"/>
        <v>0</v>
      </c>
      <c r="M249" s="6">
        <f>_xlfn.IFNA(IF(VLOOKUP($A249,'BU Raw Before'!A:H,1,FALSE)=$A249,VLOOKUP($A249,'BU Raw Before'!A:H,7,FALSE),0),0)</f>
        <v>0</v>
      </c>
      <c r="N249" s="6">
        <f>_xlfn.IFNA(IF(VLOOKUP($A249,'BU Raw After'!A:H,1,FALSE)=$A249,VLOOKUP($A249,'BU Raw After'!A:H,7,FALSE),0),0)</f>
        <v>0</v>
      </c>
      <c r="O249" s="6">
        <f t="shared" si="28"/>
        <v>0</v>
      </c>
      <c r="P249" s="7">
        <f t="shared" si="29"/>
        <v>0</v>
      </c>
      <c r="Q249" s="6">
        <f>_xlfn.IFNA(IF(VLOOKUP($A249,'BU Raw Before'!A:H,1,FALSE)=$A249,VLOOKUP($A249,'BU Raw Before'!A:H,8,FALSE),0),0)</f>
        <v>0</v>
      </c>
      <c r="R249" s="6">
        <f>_xlfn.IFNA(IF(VLOOKUP($A249,'BU Raw After'!A:H,1,FALSE)=$A249,VLOOKUP($A249,'BU Raw After'!A:H,8,FALSE),0),0)</f>
        <v>0</v>
      </c>
      <c r="S249" s="6">
        <f t="shared" si="30"/>
        <v>0</v>
      </c>
      <c r="T249" s="7">
        <f t="shared" si="31"/>
        <v>0</v>
      </c>
    </row>
    <row r="250" spans="1:20" ht="15" x14ac:dyDescent="0.25">
      <c r="A250" t="s">
        <v>221</v>
      </c>
      <c r="B250" t="s">
        <v>215</v>
      </c>
      <c r="C250" t="s">
        <v>6</v>
      </c>
      <c r="D250" t="s">
        <v>19</v>
      </c>
      <c r="E250" s="6">
        <f>_xlfn.IFNA(IF(VLOOKUP($A250,'BU Raw Before'!A:H,1,FALSE)=$A250,VLOOKUP($A250,'BU Raw Before'!A:H,5,FALSE),0),0)</f>
        <v>0</v>
      </c>
      <c r="F250" s="6">
        <f>_xlfn.IFNA(IF(VLOOKUP($A250,'BU Raw After'!A:H,1,FALSE)=$A250,VLOOKUP($A250,'BU Raw After'!A:H,5,FALSE),0),0)</f>
        <v>0</v>
      </c>
      <c r="G250" s="6">
        <f t="shared" si="24"/>
        <v>0</v>
      </c>
      <c r="H250" s="7">
        <f t="shared" si="25"/>
        <v>0</v>
      </c>
      <c r="I250" s="6">
        <f>_xlfn.IFNA(IF(VLOOKUP($A250,'BU Raw Before'!A:H,1,FALSE)=$A250,VLOOKUP($A250,'BU Raw Before'!A:H,6,FALSE),0),0)</f>
        <v>0</v>
      </c>
      <c r="J250" s="6">
        <f>_xlfn.IFNA(IF(VLOOKUP($A250,'BU Raw After'!A:H,1,FALSE)=$A250,VLOOKUP($A250,'BU Raw After'!A:H,6,FALSE),0),0)</f>
        <v>0</v>
      </c>
      <c r="K250" s="6">
        <f t="shared" si="26"/>
        <v>0</v>
      </c>
      <c r="L250" s="7">
        <f t="shared" si="27"/>
        <v>0</v>
      </c>
      <c r="M250" s="6">
        <f>_xlfn.IFNA(IF(VLOOKUP($A250,'BU Raw Before'!A:H,1,FALSE)=$A250,VLOOKUP($A250,'BU Raw Before'!A:H,7,FALSE),0),0)</f>
        <v>0</v>
      </c>
      <c r="N250" s="6">
        <f>_xlfn.IFNA(IF(VLOOKUP($A250,'BU Raw After'!A:H,1,FALSE)=$A250,VLOOKUP($A250,'BU Raw After'!A:H,7,FALSE),0),0)</f>
        <v>0</v>
      </c>
      <c r="O250" s="6">
        <f t="shared" si="28"/>
        <v>0</v>
      </c>
      <c r="P250" s="7">
        <f t="shared" si="29"/>
        <v>0</v>
      </c>
      <c r="Q250" s="6">
        <f>_xlfn.IFNA(IF(VLOOKUP($A250,'BU Raw Before'!A:H,1,FALSE)=$A250,VLOOKUP($A250,'BU Raw Before'!A:H,8,FALSE),0),0)</f>
        <v>0</v>
      </c>
      <c r="R250" s="6">
        <f>_xlfn.IFNA(IF(VLOOKUP($A250,'BU Raw After'!A:H,1,FALSE)=$A250,VLOOKUP($A250,'BU Raw After'!A:H,8,FALSE),0),0)</f>
        <v>0</v>
      </c>
      <c r="S250" s="6">
        <f t="shared" si="30"/>
        <v>0</v>
      </c>
      <c r="T250" s="7">
        <f t="shared" si="31"/>
        <v>0</v>
      </c>
    </row>
    <row r="251" spans="1:20" ht="15" x14ac:dyDescent="0.25">
      <c r="A251" t="s">
        <v>222</v>
      </c>
      <c r="B251" t="s">
        <v>215</v>
      </c>
      <c r="C251" t="s">
        <v>6</v>
      </c>
      <c r="D251" t="s">
        <v>21</v>
      </c>
      <c r="E251" s="6">
        <f>_xlfn.IFNA(IF(VLOOKUP($A251,'BU Raw Before'!A:H,1,FALSE)=$A251,VLOOKUP($A251,'BU Raw Before'!A:H,5,FALSE),0),0)</f>
        <v>0</v>
      </c>
      <c r="F251" s="6">
        <f>_xlfn.IFNA(IF(VLOOKUP($A251,'BU Raw After'!A:H,1,FALSE)=$A251,VLOOKUP($A251,'BU Raw After'!A:H,5,FALSE),0),0)</f>
        <v>0</v>
      </c>
      <c r="G251" s="6">
        <f t="shared" si="24"/>
        <v>0</v>
      </c>
      <c r="H251" s="7">
        <f t="shared" si="25"/>
        <v>0</v>
      </c>
      <c r="I251" s="6">
        <f>_xlfn.IFNA(IF(VLOOKUP($A251,'BU Raw Before'!A:H,1,FALSE)=$A251,VLOOKUP($A251,'BU Raw Before'!A:H,6,FALSE),0),0)</f>
        <v>0</v>
      </c>
      <c r="J251" s="6">
        <f>_xlfn.IFNA(IF(VLOOKUP($A251,'BU Raw After'!A:H,1,FALSE)=$A251,VLOOKUP($A251,'BU Raw After'!A:H,6,FALSE),0),0)</f>
        <v>0</v>
      </c>
      <c r="K251" s="6">
        <f t="shared" si="26"/>
        <v>0</v>
      </c>
      <c r="L251" s="7">
        <f t="shared" si="27"/>
        <v>0</v>
      </c>
      <c r="M251" s="6">
        <f>_xlfn.IFNA(IF(VLOOKUP($A251,'BU Raw Before'!A:H,1,FALSE)=$A251,VLOOKUP($A251,'BU Raw Before'!A:H,7,FALSE),0),0)</f>
        <v>0</v>
      </c>
      <c r="N251" s="6">
        <f>_xlfn.IFNA(IF(VLOOKUP($A251,'BU Raw After'!A:H,1,FALSE)=$A251,VLOOKUP($A251,'BU Raw After'!A:H,7,FALSE),0),0)</f>
        <v>0</v>
      </c>
      <c r="O251" s="6">
        <f t="shared" si="28"/>
        <v>0</v>
      </c>
      <c r="P251" s="7">
        <f t="shared" si="29"/>
        <v>0</v>
      </c>
      <c r="Q251" s="6">
        <f>_xlfn.IFNA(IF(VLOOKUP($A251,'BU Raw Before'!A:H,1,FALSE)=$A251,VLOOKUP($A251,'BU Raw Before'!A:H,8,FALSE),0),0)</f>
        <v>0</v>
      </c>
      <c r="R251" s="6">
        <f>_xlfn.IFNA(IF(VLOOKUP($A251,'BU Raw After'!A:H,1,FALSE)=$A251,VLOOKUP($A251,'BU Raw After'!A:H,8,FALSE),0),0)</f>
        <v>0</v>
      </c>
      <c r="S251" s="6">
        <f t="shared" si="30"/>
        <v>0</v>
      </c>
      <c r="T251" s="7">
        <f t="shared" si="31"/>
        <v>0</v>
      </c>
    </row>
    <row r="252" spans="1:20" ht="15" x14ac:dyDescent="0.25">
      <c r="A252" t="s">
        <v>223</v>
      </c>
      <c r="B252" t="s">
        <v>215</v>
      </c>
      <c r="C252" t="s">
        <v>23</v>
      </c>
      <c r="D252" t="s">
        <v>7</v>
      </c>
      <c r="E252" s="6">
        <f>_xlfn.IFNA(IF(VLOOKUP($A252,'BU Raw Before'!A:H,1,FALSE)=$A252,VLOOKUP($A252,'BU Raw Before'!A:H,5,FALSE),0),0)</f>
        <v>0</v>
      </c>
      <c r="F252" s="6">
        <f>_xlfn.IFNA(IF(VLOOKUP($A252,'BU Raw After'!A:H,1,FALSE)=$A252,VLOOKUP($A252,'BU Raw After'!A:H,5,FALSE),0),0)</f>
        <v>0</v>
      </c>
      <c r="G252" s="6">
        <f t="shared" si="24"/>
        <v>0</v>
      </c>
      <c r="H252" s="7">
        <f t="shared" si="25"/>
        <v>0</v>
      </c>
      <c r="I252" s="6">
        <f>_xlfn.IFNA(IF(VLOOKUP($A252,'BU Raw Before'!A:H,1,FALSE)=$A252,VLOOKUP($A252,'BU Raw Before'!A:H,6,FALSE),0),0)</f>
        <v>0</v>
      </c>
      <c r="J252" s="6">
        <f>_xlfn.IFNA(IF(VLOOKUP($A252,'BU Raw After'!A:H,1,FALSE)=$A252,VLOOKUP($A252,'BU Raw After'!A:H,6,FALSE),0),0)</f>
        <v>0</v>
      </c>
      <c r="K252" s="6">
        <f t="shared" si="26"/>
        <v>0</v>
      </c>
      <c r="L252" s="7">
        <f t="shared" si="27"/>
        <v>0</v>
      </c>
      <c r="M252" s="6">
        <f>_xlfn.IFNA(IF(VLOOKUP($A252,'BU Raw Before'!A:H,1,FALSE)=$A252,VLOOKUP($A252,'BU Raw Before'!A:H,7,FALSE),0),0)</f>
        <v>0</v>
      </c>
      <c r="N252" s="6">
        <f>_xlfn.IFNA(IF(VLOOKUP($A252,'BU Raw After'!A:H,1,FALSE)=$A252,VLOOKUP($A252,'BU Raw After'!A:H,7,FALSE),0),0)</f>
        <v>0</v>
      </c>
      <c r="O252" s="6">
        <f t="shared" si="28"/>
        <v>0</v>
      </c>
      <c r="P252" s="7">
        <f t="shared" si="29"/>
        <v>0</v>
      </c>
      <c r="Q252" s="6">
        <f>_xlfn.IFNA(IF(VLOOKUP($A252,'BU Raw Before'!A:H,1,FALSE)=$A252,VLOOKUP($A252,'BU Raw Before'!A:H,8,FALSE),0),0)</f>
        <v>0</v>
      </c>
      <c r="R252" s="6">
        <f>_xlfn.IFNA(IF(VLOOKUP($A252,'BU Raw After'!A:H,1,FALSE)=$A252,VLOOKUP($A252,'BU Raw After'!A:H,8,FALSE),0),0)</f>
        <v>0</v>
      </c>
      <c r="S252" s="6">
        <f t="shared" si="30"/>
        <v>0</v>
      </c>
      <c r="T252" s="7">
        <f t="shared" si="31"/>
        <v>0</v>
      </c>
    </row>
    <row r="253" spans="1:20" ht="15" x14ac:dyDescent="0.25">
      <c r="A253" t="s">
        <v>224</v>
      </c>
      <c r="B253" t="s">
        <v>215</v>
      </c>
      <c r="C253" t="s">
        <v>23</v>
      </c>
      <c r="D253" t="s">
        <v>9</v>
      </c>
      <c r="E253" s="6">
        <f>_xlfn.IFNA(IF(VLOOKUP($A253,'BU Raw Before'!A:H,1,FALSE)=$A253,VLOOKUP($A253,'BU Raw Before'!A:H,5,FALSE),0),0)</f>
        <v>0</v>
      </c>
      <c r="F253" s="6">
        <f>_xlfn.IFNA(IF(VLOOKUP($A253,'BU Raw After'!A:H,1,FALSE)=$A253,VLOOKUP($A253,'BU Raw After'!A:H,5,FALSE),0),0)</f>
        <v>0</v>
      </c>
      <c r="G253" s="6">
        <f t="shared" si="24"/>
        <v>0</v>
      </c>
      <c r="H253" s="7">
        <f t="shared" si="25"/>
        <v>0</v>
      </c>
      <c r="I253" s="6">
        <f>_xlfn.IFNA(IF(VLOOKUP($A253,'BU Raw Before'!A:H,1,FALSE)=$A253,VLOOKUP($A253,'BU Raw Before'!A:H,6,FALSE),0),0)</f>
        <v>0</v>
      </c>
      <c r="J253" s="6">
        <f>_xlfn.IFNA(IF(VLOOKUP($A253,'BU Raw After'!A:H,1,FALSE)=$A253,VLOOKUP($A253,'BU Raw After'!A:H,6,FALSE),0),0)</f>
        <v>0</v>
      </c>
      <c r="K253" s="6">
        <f t="shared" si="26"/>
        <v>0</v>
      </c>
      <c r="L253" s="7">
        <f t="shared" si="27"/>
        <v>0</v>
      </c>
      <c r="M253" s="6">
        <f>_xlfn.IFNA(IF(VLOOKUP($A253,'BU Raw Before'!A:H,1,FALSE)=$A253,VLOOKUP($A253,'BU Raw Before'!A:H,7,FALSE),0),0)</f>
        <v>0</v>
      </c>
      <c r="N253" s="6">
        <f>_xlfn.IFNA(IF(VLOOKUP($A253,'BU Raw After'!A:H,1,FALSE)=$A253,VLOOKUP($A253,'BU Raw After'!A:H,7,FALSE),0),0)</f>
        <v>0</v>
      </c>
      <c r="O253" s="6">
        <f t="shared" si="28"/>
        <v>0</v>
      </c>
      <c r="P253" s="7">
        <f t="shared" si="29"/>
        <v>0</v>
      </c>
      <c r="Q253" s="6">
        <f>_xlfn.IFNA(IF(VLOOKUP($A253,'BU Raw Before'!A:H,1,FALSE)=$A253,VLOOKUP($A253,'BU Raw Before'!A:H,8,FALSE),0),0)</f>
        <v>0</v>
      </c>
      <c r="R253" s="6">
        <f>_xlfn.IFNA(IF(VLOOKUP($A253,'BU Raw After'!A:H,1,FALSE)=$A253,VLOOKUP($A253,'BU Raw After'!A:H,8,FALSE),0),0)</f>
        <v>0</v>
      </c>
      <c r="S253" s="6">
        <f t="shared" si="30"/>
        <v>0</v>
      </c>
      <c r="T253" s="7">
        <f t="shared" si="31"/>
        <v>0</v>
      </c>
    </row>
    <row r="254" spans="1:20" ht="15" x14ac:dyDescent="0.25">
      <c r="A254" t="s">
        <v>225</v>
      </c>
      <c r="B254" t="s">
        <v>215</v>
      </c>
      <c r="C254" t="s">
        <v>23</v>
      </c>
      <c r="D254" t="s">
        <v>11</v>
      </c>
      <c r="E254" s="6">
        <f>_xlfn.IFNA(IF(VLOOKUP($A254,'BU Raw Before'!A:H,1,FALSE)=$A254,VLOOKUP($A254,'BU Raw Before'!A:H,5,FALSE),0),0)</f>
        <v>0</v>
      </c>
      <c r="F254" s="6">
        <f>_xlfn.IFNA(IF(VLOOKUP($A254,'BU Raw After'!A:H,1,FALSE)=$A254,VLOOKUP($A254,'BU Raw After'!A:H,5,FALSE),0),0)</f>
        <v>0</v>
      </c>
      <c r="G254" s="6">
        <f t="shared" si="24"/>
        <v>0</v>
      </c>
      <c r="H254" s="7">
        <f t="shared" si="25"/>
        <v>0</v>
      </c>
      <c r="I254" s="6">
        <f>_xlfn.IFNA(IF(VLOOKUP($A254,'BU Raw Before'!A:H,1,FALSE)=$A254,VLOOKUP($A254,'BU Raw Before'!A:H,6,FALSE),0),0)</f>
        <v>0</v>
      </c>
      <c r="J254" s="6">
        <f>_xlfn.IFNA(IF(VLOOKUP($A254,'BU Raw After'!A:H,1,FALSE)=$A254,VLOOKUP($A254,'BU Raw After'!A:H,6,FALSE),0),0)</f>
        <v>0</v>
      </c>
      <c r="K254" s="6">
        <f t="shared" si="26"/>
        <v>0</v>
      </c>
      <c r="L254" s="7">
        <f t="shared" si="27"/>
        <v>0</v>
      </c>
      <c r="M254" s="6">
        <f>_xlfn.IFNA(IF(VLOOKUP($A254,'BU Raw Before'!A:H,1,FALSE)=$A254,VLOOKUP($A254,'BU Raw Before'!A:H,7,FALSE),0),0)</f>
        <v>0</v>
      </c>
      <c r="N254" s="6">
        <f>_xlfn.IFNA(IF(VLOOKUP($A254,'BU Raw After'!A:H,1,FALSE)=$A254,VLOOKUP($A254,'BU Raw After'!A:H,7,FALSE),0),0)</f>
        <v>0</v>
      </c>
      <c r="O254" s="6">
        <f t="shared" si="28"/>
        <v>0</v>
      </c>
      <c r="P254" s="7">
        <f t="shared" si="29"/>
        <v>0</v>
      </c>
      <c r="Q254" s="6">
        <f>_xlfn.IFNA(IF(VLOOKUP($A254,'BU Raw Before'!A:H,1,FALSE)=$A254,VLOOKUP($A254,'BU Raw Before'!A:H,8,FALSE),0),0)</f>
        <v>0</v>
      </c>
      <c r="R254" s="6">
        <f>_xlfn.IFNA(IF(VLOOKUP($A254,'BU Raw After'!A:H,1,FALSE)=$A254,VLOOKUP($A254,'BU Raw After'!A:H,8,FALSE),0),0)</f>
        <v>0</v>
      </c>
      <c r="S254" s="6">
        <f t="shared" si="30"/>
        <v>0</v>
      </c>
      <c r="T254" s="7">
        <f t="shared" si="31"/>
        <v>0</v>
      </c>
    </row>
    <row r="255" spans="1:20" ht="15" x14ac:dyDescent="0.25">
      <c r="A255" t="s">
        <v>226</v>
      </c>
      <c r="B255" t="s">
        <v>215</v>
      </c>
      <c r="C255" t="s">
        <v>23</v>
      </c>
      <c r="D255" t="s">
        <v>13</v>
      </c>
      <c r="E255" s="6">
        <f>_xlfn.IFNA(IF(VLOOKUP($A255,'BU Raw Before'!A:H,1,FALSE)=$A255,VLOOKUP($A255,'BU Raw Before'!A:H,5,FALSE),0),0)</f>
        <v>0</v>
      </c>
      <c r="F255" s="6">
        <f>_xlfn.IFNA(IF(VLOOKUP($A255,'BU Raw After'!A:H,1,FALSE)=$A255,VLOOKUP($A255,'BU Raw After'!A:H,5,FALSE),0),0)</f>
        <v>0</v>
      </c>
      <c r="G255" s="6">
        <f t="shared" si="24"/>
        <v>0</v>
      </c>
      <c r="H255" s="7">
        <f t="shared" si="25"/>
        <v>0</v>
      </c>
      <c r="I255" s="6">
        <f>_xlfn.IFNA(IF(VLOOKUP($A255,'BU Raw Before'!A:H,1,FALSE)=$A255,VLOOKUP($A255,'BU Raw Before'!A:H,6,FALSE),0),0)</f>
        <v>0</v>
      </c>
      <c r="J255" s="6">
        <f>_xlfn.IFNA(IF(VLOOKUP($A255,'BU Raw After'!A:H,1,FALSE)=$A255,VLOOKUP($A255,'BU Raw After'!A:H,6,FALSE),0),0)</f>
        <v>0</v>
      </c>
      <c r="K255" s="6">
        <f t="shared" si="26"/>
        <v>0</v>
      </c>
      <c r="L255" s="7">
        <f t="shared" si="27"/>
        <v>0</v>
      </c>
      <c r="M255" s="6">
        <f>_xlfn.IFNA(IF(VLOOKUP($A255,'BU Raw Before'!A:H,1,FALSE)=$A255,VLOOKUP($A255,'BU Raw Before'!A:H,7,FALSE),0),0)</f>
        <v>0</v>
      </c>
      <c r="N255" s="6">
        <f>_xlfn.IFNA(IF(VLOOKUP($A255,'BU Raw After'!A:H,1,FALSE)=$A255,VLOOKUP($A255,'BU Raw After'!A:H,7,FALSE),0),0)</f>
        <v>0</v>
      </c>
      <c r="O255" s="6">
        <f t="shared" si="28"/>
        <v>0</v>
      </c>
      <c r="P255" s="7">
        <f t="shared" si="29"/>
        <v>0</v>
      </c>
      <c r="Q255" s="6">
        <f>_xlfn.IFNA(IF(VLOOKUP($A255,'BU Raw Before'!A:H,1,FALSE)=$A255,VLOOKUP($A255,'BU Raw Before'!A:H,8,FALSE),0),0)</f>
        <v>0</v>
      </c>
      <c r="R255" s="6">
        <f>_xlfn.IFNA(IF(VLOOKUP($A255,'BU Raw After'!A:H,1,FALSE)=$A255,VLOOKUP($A255,'BU Raw After'!A:H,8,FALSE),0),0)</f>
        <v>0</v>
      </c>
      <c r="S255" s="6">
        <f t="shared" si="30"/>
        <v>0</v>
      </c>
      <c r="T255" s="7">
        <f t="shared" si="31"/>
        <v>0</v>
      </c>
    </row>
    <row r="256" spans="1:20" ht="15" x14ac:dyDescent="0.25">
      <c r="A256" t="s">
        <v>227</v>
      </c>
      <c r="B256" t="s">
        <v>215</v>
      </c>
      <c r="C256" t="s">
        <v>23</v>
      </c>
      <c r="D256" t="s">
        <v>15</v>
      </c>
      <c r="E256" s="6">
        <f>_xlfn.IFNA(IF(VLOOKUP($A256,'BU Raw Before'!A:H,1,FALSE)=$A256,VLOOKUP($A256,'BU Raw Before'!A:H,5,FALSE),0),0)</f>
        <v>0</v>
      </c>
      <c r="F256" s="6">
        <f>_xlfn.IFNA(IF(VLOOKUP($A256,'BU Raw After'!A:H,1,FALSE)=$A256,VLOOKUP($A256,'BU Raw After'!A:H,5,FALSE),0),0)</f>
        <v>0</v>
      </c>
      <c r="G256" s="6">
        <f t="shared" si="24"/>
        <v>0</v>
      </c>
      <c r="H256" s="7">
        <f t="shared" si="25"/>
        <v>0</v>
      </c>
      <c r="I256" s="6">
        <f>_xlfn.IFNA(IF(VLOOKUP($A256,'BU Raw Before'!A:H,1,FALSE)=$A256,VLOOKUP($A256,'BU Raw Before'!A:H,6,FALSE),0),0)</f>
        <v>0</v>
      </c>
      <c r="J256" s="6">
        <f>_xlfn.IFNA(IF(VLOOKUP($A256,'BU Raw After'!A:H,1,FALSE)=$A256,VLOOKUP($A256,'BU Raw After'!A:H,6,FALSE),0),0)</f>
        <v>0</v>
      </c>
      <c r="K256" s="6">
        <f t="shared" si="26"/>
        <v>0</v>
      </c>
      <c r="L256" s="7">
        <f t="shared" si="27"/>
        <v>0</v>
      </c>
      <c r="M256" s="6">
        <f>_xlfn.IFNA(IF(VLOOKUP($A256,'BU Raw Before'!A:H,1,FALSE)=$A256,VLOOKUP($A256,'BU Raw Before'!A:H,7,FALSE),0),0)</f>
        <v>0</v>
      </c>
      <c r="N256" s="6">
        <f>_xlfn.IFNA(IF(VLOOKUP($A256,'BU Raw After'!A:H,1,FALSE)=$A256,VLOOKUP($A256,'BU Raw After'!A:H,7,FALSE),0),0)</f>
        <v>0</v>
      </c>
      <c r="O256" s="6">
        <f t="shared" si="28"/>
        <v>0</v>
      </c>
      <c r="P256" s="7">
        <f t="shared" si="29"/>
        <v>0</v>
      </c>
      <c r="Q256" s="6">
        <f>_xlfn.IFNA(IF(VLOOKUP($A256,'BU Raw Before'!A:H,1,FALSE)=$A256,VLOOKUP($A256,'BU Raw Before'!A:H,8,FALSE),0),0)</f>
        <v>0</v>
      </c>
      <c r="R256" s="6">
        <f>_xlfn.IFNA(IF(VLOOKUP($A256,'BU Raw After'!A:H,1,FALSE)=$A256,VLOOKUP($A256,'BU Raw After'!A:H,8,FALSE),0),0)</f>
        <v>0</v>
      </c>
      <c r="S256" s="6">
        <f t="shared" si="30"/>
        <v>0</v>
      </c>
      <c r="T256" s="7">
        <f t="shared" si="31"/>
        <v>0</v>
      </c>
    </row>
    <row r="257" spans="1:20" ht="15" x14ac:dyDescent="0.25">
      <c r="A257" t="s">
        <v>228</v>
      </c>
      <c r="B257" t="s">
        <v>215</v>
      </c>
      <c r="C257" t="s">
        <v>23</v>
      </c>
      <c r="D257" t="s">
        <v>17</v>
      </c>
      <c r="E257" s="6">
        <f>_xlfn.IFNA(IF(VLOOKUP($A257,'BU Raw Before'!A:H,1,FALSE)=$A257,VLOOKUP($A257,'BU Raw Before'!A:H,5,FALSE),0),0)</f>
        <v>0</v>
      </c>
      <c r="F257" s="6">
        <f>_xlfn.IFNA(IF(VLOOKUP($A257,'BU Raw After'!A:H,1,FALSE)=$A257,VLOOKUP($A257,'BU Raw After'!A:H,5,FALSE),0),0)</f>
        <v>0</v>
      </c>
      <c r="G257" s="6">
        <f t="shared" si="24"/>
        <v>0</v>
      </c>
      <c r="H257" s="7">
        <f t="shared" si="25"/>
        <v>0</v>
      </c>
      <c r="I257" s="6">
        <f>_xlfn.IFNA(IF(VLOOKUP($A257,'BU Raw Before'!A:H,1,FALSE)=$A257,VLOOKUP($A257,'BU Raw Before'!A:H,6,FALSE),0),0)</f>
        <v>0</v>
      </c>
      <c r="J257" s="6">
        <f>_xlfn.IFNA(IF(VLOOKUP($A257,'BU Raw After'!A:H,1,FALSE)=$A257,VLOOKUP($A257,'BU Raw After'!A:H,6,FALSE),0),0)</f>
        <v>0</v>
      </c>
      <c r="K257" s="6">
        <f t="shared" si="26"/>
        <v>0</v>
      </c>
      <c r="L257" s="7">
        <f t="shared" si="27"/>
        <v>0</v>
      </c>
      <c r="M257" s="6">
        <f>_xlfn.IFNA(IF(VLOOKUP($A257,'BU Raw Before'!A:H,1,FALSE)=$A257,VLOOKUP($A257,'BU Raw Before'!A:H,7,FALSE),0),0)</f>
        <v>0</v>
      </c>
      <c r="N257" s="6">
        <f>_xlfn.IFNA(IF(VLOOKUP($A257,'BU Raw After'!A:H,1,FALSE)=$A257,VLOOKUP($A257,'BU Raw After'!A:H,7,FALSE),0),0)</f>
        <v>0</v>
      </c>
      <c r="O257" s="6">
        <f t="shared" si="28"/>
        <v>0</v>
      </c>
      <c r="P257" s="7">
        <f t="shared" si="29"/>
        <v>0</v>
      </c>
      <c r="Q257" s="6">
        <f>_xlfn.IFNA(IF(VLOOKUP($A257,'BU Raw Before'!A:H,1,FALSE)=$A257,VLOOKUP($A257,'BU Raw Before'!A:H,8,FALSE),0),0)</f>
        <v>0</v>
      </c>
      <c r="R257" s="6">
        <f>_xlfn.IFNA(IF(VLOOKUP($A257,'BU Raw After'!A:H,1,FALSE)=$A257,VLOOKUP($A257,'BU Raw After'!A:H,8,FALSE),0),0)</f>
        <v>0</v>
      </c>
      <c r="S257" s="6">
        <f t="shared" si="30"/>
        <v>0</v>
      </c>
      <c r="T257" s="7">
        <f t="shared" si="31"/>
        <v>0</v>
      </c>
    </row>
    <row r="258" spans="1:20" ht="15" x14ac:dyDescent="0.25">
      <c r="A258" t="s">
        <v>229</v>
      </c>
      <c r="B258" t="s">
        <v>215</v>
      </c>
      <c r="C258" t="s">
        <v>23</v>
      </c>
      <c r="D258" t="s">
        <v>19</v>
      </c>
      <c r="E258" s="6">
        <f>_xlfn.IFNA(IF(VLOOKUP($A258,'BU Raw Before'!A:H,1,FALSE)=$A258,VLOOKUP($A258,'BU Raw Before'!A:H,5,FALSE),0),0)</f>
        <v>0</v>
      </c>
      <c r="F258" s="6">
        <f>_xlfn.IFNA(IF(VLOOKUP($A258,'BU Raw After'!A:H,1,FALSE)=$A258,VLOOKUP($A258,'BU Raw After'!A:H,5,FALSE),0),0)</f>
        <v>0</v>
      </c>
      <c r="G258" s="6">
        <f t="shared" si="24"/>
        <v>0</v>
      </c>
      <c r="H258" s="7">
        <f t="shared" si="25"/>
        <v>0</v>
      </c>
      <c r="I258" s="6">
        <f>_xlfn.IFNA(IF(VLOOKUP($A258,'BU Raw Before'!A:H,1,FALSE)=$A258,VLOOKUP($A258,'BU Raw Before'!A:H,6,FALSE),0),0)</f>
        <v>0</v>
      </c>
      <c r="J258" s="6">
        <f>_xlfn.IFNA(IF(VLOOKUP($A258,'BU Raw After'!A:H,1,FALSE)=$A258,VLOOKUP($A258,'BU Raw After'!A:H,6,FALSE),0),0)</f>
        <v>0</v>
      </c>
      <c r="K258" s="6">
        <f t="shared" si="26"/>
        <v>0</v>
      </c>
      <c r="L258" s="7">
        <f t="shared" si="27"/>
        <v>0</v>
      </c>
      <c r="M258" s="6">
        <f>_xlfn.IFNA(IF(VLOOKUP($A258,'BU Raw Before'!A:H,1,FALSE)=$A258,VLOOKUP($A258,'BU Raw Before'!A:H,7,FALSE),0),0)</f>
        <v>0</v>
      </c>
      <c r="N258" s="6">
        <f>_xlfn.IFNA(IF(VLOOKUP($A258,'BU Raw After'!A:H,1,FALSE)=$A258,VLOOKUP($A258,'BU Raw After'!A:H,7,FALSE),0),0)</f>
        <v>0</v>
      </c>
      <c r="O258" s="6">
        <f t="shared" si="28"/>
        <v>0</v>
      </c>
      <c r="P258" s="7">
        <f t="shared" si="29"/>
        <v>0</v>
      </c>
      <c r="Q258" s="6">
        <f>_xlfn.IFNA(IF(VLOOKUP($A258,'BU Raw Before'!A:H,1,FALSE)=$A258,VLOOKUP($A258,'BU Raw Before'!A:H,8,FALSE),0),0)</f>
        <v>0</v>
      </c>
      <c r="R258" s="6">
        <f>_xlfn.IFNA(IF(VLOOKUP($A258,'BU Raw After'!A:H,1,FALSE)=$A258,VLOOKUP($A258,'BU Raw After'!A:H,8,FALSE),0),0)</f>
        <v>0</v>
      </c>
      <c r="S258" s="6">
        <f t="shared" si="30"/>
        <v>0</v>
      </c>
      <c r="T258" s="7">
        <f t="shared" si="31"/>
        <v>0</v>
      </c>
    </row>
    <row r="259" spans="1:20" ht="15" x14ac:dyDescent="0.25">
      <c r="A259" t="s">
        <v>230</v>
      </c>
      <c r="B259" t="s">
        <v>215</v>
      </c>
      <c r="C259" t="s">
        <v>23</v>
      </c>
      <c r="D259" t="s">
        <v>21</v>
      </c>
      <c r="E259" s="6">
        <f>_xlfn.IFNA(IF(VLOOKUP($A259,'BU Raw Before'!A:H,1,FALSE)=$A259,VLOOKUP($A259,'BU Raw Before'!A:H,5,FALSE),0),0)</f>
        <v>0</v>
      </c>
      <c r="F259" s="6">
        <f>_xlfn.IFNA(IF(VLOOKUP($A259,'BU Raw After'!A:H,1,FALSE)=$A259,VLOOKUP($A259,'BU Raw After'!A:H,5,FALSE),0),0)</f>
        <v>0</v>
      </c>
      <c r="G259" s="6">
        <f t="shared" si="24"/>
        <v>0</v>
      </c>
      <c r="H259" s="7">
        <f t="shared" si="25"/>
        <v>0</v>
      </c>
      <c r="I259" s="6">
        <f>_xlfn.IFNA(IF(VLOOKUP($A259,'BU Raw Before'!A:H,1,FALSE)=$A259,VLOOKUP($A259,'BU Raw Before'!A:H,6,FALSE),0),0)</f>
        <v>0</v>
      </c>
      <c r="J259" s="6">
        <f>_xlfn.IFNA(IF(VLOOKUP($A259,'BU Raw After'!A:H,1,FALSE)=$A259,VLOOKUP($A259,'BU Raw After'!A:H,6,FALSE),0),0)</f>
        <v>0</v>
      </c>
      <c r="K259" s="6">
        <f t="shared" si="26"/>
        <v>0</v>
      </c>
      <c r="L259" s="7">
        <f t="shared" si="27"/>
        <v>0</v>
      </c>
      <c r="M259" s="6">
        <f>_xlfn.IFNA(IF(VLOOKUP($A259,'BU Raw Before'!A:H,1,FALSE)=$A259,VLOOKUP($A259,'BU Raw Before'!A:H,7,FALSE),0),0)</f>
        <v>0</v>
      </c>
      <c r="N259" s="6">
        <f>_xlfn.IFNA(IF(VLOOKUP($A259,'BU Raw After'!A:H,1,FALSE)=$A259,VLOOKUP($A259,'BU Raw After'!A:H,7,FALSE),0),0)</f>
        <v>0</v>
      </c>
      <c r="O259" s="6">
        <f t="shared" si="28"/>
        <v>0</v>
      </c>
      <c r="P259" s="7">
        <f t="shared" si="29"/>
        <v>0</v>
      </c>
      <c r="Q259" s="6">
        <f>_xlfn.IFNA(IF(VLOOKUP($A259,'BU Raw Before'!A:H,1,FALSE)=$A259,VLOOKUP($A259,'BU Raw Before'!A:H,8,FALSE),0),0)</f>
        <v>0</v>
      </c>
      <c r="R259" s="6">
        <f>_xlfn.IFNA(IF(VLOOKUP($A259,'BU Raw After'!A:H,1,FALSE)=$A259,VLOOKUP($A259,'BU Raw After'!A:H,8,FALSE),0),0)</f>
        <v>0</v>
      </c>
      <c r="S259" s="6">
        <f t="shared" si="30"/>
        <v>0</v>
      </c>
      <c r="T259" s="7">
        <f t="shared" si="31"/>
        <v>0</v>
      </c>
    </row>
    <row r="260" spans="1:20" ht="15" x14ac:dyDescent="0.25">
      <c r="A260" t="s">
        <v>231</v>
      </c>
      <c r="B260" t="s">
        <v>215</v>
      </c>
      <c r="C260" t="s">
        <v>32</v>
      </c>
      <c r="D260" t="s">
        <v>7</v>
      </c>
      <c r="E260" s="6">
        <f>_xlfn.IFNA(IF(VLOOKUP($A260,'BU Raw Before'!A:H,1,FALSE)=$A260,VLOOKUP($A260,'BU Raw Before'!A:H,5,FALSE),0),0)</f>
        <v>0</v>
      </c>
      <c r="F260" s="6">
        <f>_xlfn.IFNA(IF(VLOOKUP($A260,'BU Raw After'!A:H,1,FALSE)=$A260,VLOOKUP($A260,'BU Raw After'!A:H,5,FALSE),0),0)</f>
        <v>0</v>
      </c>
      <c r="G260" s="6">
        <f t="shared" si="24"/>
        <v>0</v>
      </c>
      <c r="H260" s="7">
        <f t="shared" si="25"/>
        <v>0</v>
      </c>
      <c r="I260" s="6">
        <f>_xlfn.IFNA(IF(VLOOKUP($A260,'BU Raw Before'!A:H,1,FALSE)=$A260,VLOOKUP($A260,'BU Raw Before'!A:H,6,FALSE),0),0)</f>
        <v>0</v>
      </c>
      <c r="J260" s="6">
        <f>_xlfn.IFNA(IF(VLOOKUP($A260,'BU Raw After'!A:H,1,FALSE)=$A260,VLOOKUP($A260,'BU Raw After'!A:H,6,FALSE),0),0)</f>
        <v>0</v>
      </c>
      <c r="K260" s="6">
        <f t="shared" si="26"/>
        <v>0</v>
      </c>
      <c r="L260" s="7">
        <f t="shared" si="27"/>
        <v>0</v>
      </c>
      <c r="M260" s="6">
        <f>_xlfn.IFNA(IF(VLOOKUP($A260,'BU Raw Before'!A:H,1,FALSE)=$A260,VLOOKUP($A260,'BU Raw Before'!A:H,7,FALSE),0),0)</f>
        <v>0</v>
      </c>
      <c r="N260" s="6">
        <f>_xlfn.IFNA(IF(VLOOKUP($A260,'BU Raw After'!A:H,1,FALSE)=$A260,VLOOKUP($A260,'BU Raw After'!A:H,7,FALSE),0),0)</f>
        <v>0</v>
      </c>
      <c r="O260" s="6">
        <f t="shared" si="28"/>
        <v>0</v>
      </c>
      <c r="P260" s="7">
        <f t="shared" si="29"/>
        <v>0</v>
      </c>
      <c r="Q260" s="6">
        <f>_xlfn.IFNA(IF(VLOOKUP($A260,'BU Raw Before'!A:H,1,FALSE)=$A260,VLOOKUP($A260,'BU Raw Before'!A:H,8,FALSE),0),0)</f>
        <v>0</v>
      </c>
      <c r="R260" s="6">
        <f>_xlfn.IFNA(IF(VLOOKUP($A260,'BU Raw After'!A:H,1,FALSE)=$A260,VLOOKUP($A260,'BU Raw After'!A:H,8,FALSE),0),0)</f>
        <v>0</v>
      </c>
      <c r="S260" s="6">
        <f t="shared" si="30"/>
        <v>0</v>
      </c>
      <c r="T260" s="7">
        <f t="shared" si="31"/>
        <v>0</v>
      </c>
    </row>
    <row r="261" spans="1:20" ht="15" x14ac:dyDescent="0.25">
      <c r="A261" t="s">
        <v>232</v>
      </c>
      <c r="B261" t="s">
        <v>215</v>
      </c>
      <c r="C261" t="s">
        <v>32</v>
      </c>
      <c r="D261" t="s">
        <v>9</v>
      </c>
      <c r="E261" s="6">
        <f>_xlfn.IFNA(IF(VLOOKUP($A261,'BU Raw Before'!A:H,1,FALSE)=$A261,VLOOKUP($A261,'BU Raw Before'!A:H,5,FALSE),0),0)</f>
        <v>0</v>
      </c>
      <c r="F261" s="6">
        <f>_xlfn.IFNA(IF(VLOOKUP($A261,'BU Raw After'!A:H,1,FALSE)=$A261,VLOOKUP($A261,'BU Raw After'!A:H,5,FALSE),0),0)</f>
        <v>0</v>
      </c>
      <c r="G261" s="6">
        <f t="shared" ref="G261:G291" si="32">F261-E261</f>
        <v>0</v>
      </c>
      <c r="H261" s="7">
        <f t="shared" ref="H261:H291" si="33">IFERROR(G261/F261,0)</f>
        <v>0</v>
      </c>
      <c r="I261" s="6">
        <f>_xlfn.IFNA(IF(VLOOKUP($A261,'BU Raw Before'!A:H,1,FALSE)=$A261,VLOOKUP($A261,'BU Raw Before'!A:H,6,FALSE),0),0)</f>
        <v>0</v>
      </c>
      <c r="J261" s="6">
        <f>_xlfn.IFNA(IF(VLOOKUP($A261,'BU Raw After'!A:H,1,FALSE)=$A261,VLOOKUP($A261,'BU Raw After'!A:H,6,FALSE),0),0)</f>
        <v>0</v>
      </c>
      <c r="K261" s="6">
        <f t="shared" ref="K261:K291" si="34">J261-I261</f>
        <v>0</v>
      </c>
      <c r="L261" s="7">
        <f t="shared" ref="L261:L291" si="35">IFERROR(K261/J261,0)</f>
        <v>0</v>
      </c>
      <c r="M261" s="6">
        <f>_xlfn.IFNA(IF(VLOOKUP($A261,'BU Raw Before'!A:H,1,FALSE)=$A261,VLOOKUP($A261,'BU Raw Before'!A:H,7,FALSE),0),0)</f>
        <v>0</v>
      </c>
      <c r="N261" s="6">
        <f>_xlfn.IFNA(IF(VLOOKUP($A261,'BU Raw After'!A:H,1,FALSE)=$A261,VLOOKUP($A261,'BU Raw After'!A:H,7,FALSE),0),0)</f>
        <v>0</v>
      </c>
      <c r="O261" s="6">
        <f t="shared" ref="O261:O291" si="36">N261-M261</f>
        <v>0</v>
      </c>
      <c r="P261" s="7">
        <f t="shared" ref="P261:P291" si="37">IFERROR(O261/N261,0)</f>
        <v>0</v>
      </c>
      <c r="Q261" s="6">
        <f>_xlfn.IFNA(IF(VLOOKUP($A261,'BU Raw Before'!A:H,1,FALSE)=$A261,VLOOKUP($A261,'BU Raw Before'!A:H,8,FALSE),0),0)</f>
        <v>0</v>
      </c>
      <c r="R261" s="6">
        <f>_xlfn.IFNA(IF(VLOOKUP($A261,'BU Raw After'!A:H,1,FALSE)=$A261,VLOOKUP($A261,'BU Raw After'!A:H,8,FALSE),0),0)</f>
        <v>0</v>
      </c>
      <c r="S261" s="6">
        <f t="shared" ref="S261:S291" si="38">R261-Q261</f>
        <v>0</v>
      </c>
      <c r="T261" s="7">
        <f t="shared" ref="T261:T291" si="39">IFERROR(S261/R261,0)</f>
        <v>0</v>
      </c>
    </row>
    <row r="262" spans="1:20" ht="15" x14ac:dyDescent="0.25">
      <c r="A262" t="s">
        <v>233</v>
      </c>
      <c r="B262" t="s">
        <v>215</v>
      </c>
      <c r="C262" t="s">
        <v>32</v>
      </c>
      <c r="D262" t="s">
        <v>11</v>
      </c>
      <c r="E262" s="6">
        <f>_xlfn.IFNA(IF(VLOOKUP($A262,'BU Raw Before'!A:H,1,FALSE)=$A262,VLOOKUP($A262,'BU Raw Before'!A:H,5,FALSE),0),0)</f>
        <v>0</v>
      </c>
      <c r="F262" s="6">
        <f>_xlfn.IFNA(IF(VLOOKUP($A262,'BU Raw After'!A:H,1,FALSE)=$A262,VLOOKUP($A262,'BU Raw After'!A:H,5,FALSE),0),0)</f>
        <v>0</v>
      </c>
      <c r="G262" s="6">
        <f t="shared" si="32"/>
        <v>0</v>
      </c>
      <c r="H262" s="7">
        <f t="shared" si="33"/>
        <v>0</v>
      </c>
      <c r="I262" s="6">
        <f>_xlfn.IFNA(IF(VLOOKUP($A262,'BU Raw Before'!A:H,1,FALSE)=$A262,VLOOKUP($A262,'BU Raw Before'!A:H,6,FALSE),0),0)</f>
        <v>0</v>
      </c>
      <c r="J262" s="6">
        <f>_xlfn.IFNA(IF(VLOOKUP($A262,'BU Raw After'!A:H,1,FALSE)=$A262,VLOOKUP($A262,'BU Raw After'!A:H,6,FALSE),0),0)</f>
        <v>0</v>
      </c>
      <c r="K262" s="6">
        <f t="shared" si="34"/>
        <v>0</v>
      </c>
      <c r="L262" s="7">
        <f t="shared" si="35"/>
        <v>0</v>
      </c>
      <c r="M262" s="6">
        <f>_xlfn.IFNA(IF(VLOOKUP($A262,'BU Raw Before'!A:H,1,FALSE)=$A262,VLOOKUP($A262,'BU Raw Before'!A:H,7,FALSE),0),0)</f>
        <v>0</v>
      </c>
      <c r="N262" s="6">
        <f>_xlfn.IFNA(IF(VLOOKUP($A262,'BU Raw After'!A:H,1,FALSE)=$A262,VLOOKUP($A262,'BU Raw After'!A:H,7,FALSE),0),0)</f>
        <v>0</v>
      </c>
      <c r="O262" s="6">
        <f t="shared" si="36"/>
        <v>0</v>
      </c>
      <c r="P262" s="7">
        <f t="shared" si="37"/>
        <v>0</v>
      </c>
      <c r="Q262" s="6">
        <f>_xlfn.IFNA(IF(VLOOKUP($A262,'BU Raw Before'!A:H,1,FALSE)=$A262,VLOOKUP($A262,'BU Raw Before'!A:H,8,FALSE),0),0)</f>
        <v>0</v>
      </c>
      <c r="R262" s="6">
        <f>_xlfn.IFNA(IF(VLOOKUP($A262,'BU Raw After'!A:H,1,FALSE)=$A262,VLOOKUP($A262,'BU Raw After'!A:H,8,FALSE),0),0)</f>
        <v>0</v>
      </c>
      <c r="S262" s="6">
        <f t="shared" si="38"/>
        <v>0</v>
      </c>
      <c r="T262" s="7">
        <f t="shared" si="39"/>
        <v>0</v>
      </c>
    </row>
    <row r="263" spans="1:20" ht="15" x14ac:dyDescent="0.25">
      <c r="A263" t="s">
        <v>234</v>
      </c>
      <c r="B263" t="s">
        <v>215</v>
      </c>
      <c r="C263" t="s">
        <v>32</v>
      </c>
      <c r="D263" t="s">
        <v>13</v>
      </c>
      <c r="E263" s="6">
        <f>_xlfn.IFNA(IF(VLOOKUP($A263,'BU Raw Before'!A:H,1,FALSE)=$A263,VLOOKUP($A263,'BU Raw Before'!A:H,5,FALSE),0),0)</f>
        <v>0</v>
      </c>
      <c r="F263" s="6">
        <f>_xlfn.IFNA(IF(VLOOKUP($A263,'BU Raw After'!A:H,1,FALSE)=$A263,VLOOKUP($A263,'BU Raw After'!A:H,5,FALSE),0),0)</f>
        <v>0</v>
      </c>
      <c r="G263" s="6">
        <f t="shared" si="32"/>
        <v>0</v>
      </c>
      <c r="H263" s="7">
        <f t="shared" si="33"/>
        <v>0</v>
      </c>
      <c r="I263" s="6">
        <f>_xlfn.IFNA(IF(VLOOKUP($A263,'BU Raw Before'!A:H,1,FALSE)=$A263,VLOOKUP($A263,'BU Raw Before'!A:H,6,FALSE),0),0)</f>
        <v>0</v>
      </c>
      <c r="J263" s="6">
        <f>_xlfn.IFNA(IF(VLOOKUP($A263,'BU Raw After'!A:H,1,FALSE)=$A263,VLOOKUP($A263,'BU Raw After'!A:H,6,FALSE),0),0)</f>
        <v>0</v>
      </c>
      <c r="K263" s="6">
        <f t="shared" si="34"/>
        <v>0</v>
      </c>
      <c r="L263" s="7">
        <f t="shared" si="35"/>
        <v>0</v>
      </c>
      <c r="M263" s="6">
        <f>_xlfn.IFNA(IF(VLOOKUP($A263,'BU Raw Before'!A:H,1,FALSE)=$A263,VLOOKUP($A263,'BU Raw Before'!A:H,7,FALSE),0),0)</f>
        <v>0</v>
      </c>
      <c r="N263" s="6">
        <f>_xlfn.IFNA(IF(VLOOKUP($A263,'BU Raw After'!A:H,1,FALSE)=$A263,VLOOKUP($A263,'BU Raw After'!A:H,7,FALSE),0),0)</f>
        <v>0</v>
      </c>
      <c r="O263" s="6">
        <f t="shared" si="36"/>
        <v>0</v>
      </c>
      <c r="P263" s="7">
        <f t="shared" si="37"/>
        <v>0</v>
      </c>
      <c r="Q263" s="6">
        <f>_xlfn.IFNA(IF(VLOOKUP($A263,'BU Raw Before'!A:H,1,FALSE)=$A263,VLOOKUP($A263,'BU Raw Before'!A:H,8,FALSE),0),0)</f>
        <v>0</v>
      </c>
      <c r="R263" s="6">
        <f>_xlfn.IFNA(IF(VLOOKUP($A263,'BU Raw After'!A:H,1,FALSE)=$A263,VLOOKUP($A263,'BU Raw After'!A:H,8,FALSE),0),0)</f>
        <v>0</v>
      </c>
      <c r="S263" s="6">
        <f t="shared" si="38"/>
        <v>0</v>
      </c>
      <c r="T263" s="7">
        <f t="shared" si="39"/>
        <v>0</v>
      </c>
    </row>
    <row r="264" spans="1:20" ht="15" x14ac:dyDescent="0.25">
      <c r="A264" t="s">
        <v>235</v>
      </c>
      <c r="B264" t="s">
        <v>215</v>
      </c>
      <c r="C264" t="s">
        <v>32</v>
      </c>
      <c r="D264" t="s">
        <v>15</v>
      </c>
      <c r="E264" s="6">
        <f>_xlfn.IFNA(IF(VLOOKUP($A264,'BU Raw Before'!A:H,1,FALSE)=$A264,VLOOKUP($A264,'BU Raw Before'!A:H,5,FALSE),0),0)</f>
        <v>0</v>
      </c>
      <c r="F264" s="6">
        <f>_xlfn.IFNA(IF(VLOOKUP($A264,'BU Raw After'!A:H,1,FALSE)=$A264,VLOOKUP($A264,'BU Raw After'!A:H,5,FALSE),0),0)</f>
        <v>0</v>
      </c>
      <c r="G264" s="6">
        <f t="shared" si="32"/>
        <v>0</v>
      </c>
      <c r="H264" s="7">
        <f t="shared" si="33"/>
        <v>0</v>
      </c>
      <c r="I264" s="6">
        <f>_xlfn.IFNA(IF(VLOOKUP($A264,'BU Raw Before'!A:H,1,FALSE)=$A264,VLOOKUP($A264,'BU Raw Before'!A:H,6,FALSE),0),0)</f>
        <v>0</v>
      </c>
      <c r="J264" s="6">
        <f>_xlfn.IFNA(IF(VLOOKUP($A264,'BU Raw After'!A:H,1,FALSE)=$A264,VLOOKUP($A264,'BU Raw After'!A:H,6,FALSE),0),0)</f>
        <v>0</v>
      </c>
      <c r="K264" s="6">
        <f t="shared" si="34"/>
        <v>0</v>
      </c>
      <c r="L264" s="7">
        <f t="shared" si="35"/>
        <v>0</v>
      </c>
      <c r="M264" s="6">
        <f>_xlfn.IFNA(IF(VLOOKUP($A264,'BU Raw Before'!A:H,1,FALSE)=$A264,VLOOKUP($A264,'BU Raw Before'!A:H,7,FALSE),0),0)</f>
        <v>0</v>
      </c>
      <c r="N264" s="6">
        <f>_xlfn.IFNA(IF(VLOOKUP($A264,'BU Raw After'!A:H,1,FALSE)=$A264,VLOOKUP($A264,'BU Raw After'!A:H,7,FALSE),0),0)</f>
        <v>0</v>
      </c>
      <c r="O264" s="6">
        <f t="shared" si="36"/>
        <v>0</v>
      </c>
      <c r="P264" s="7">
        <f t="shared" si="37"/>
        <v>0</v>
      </c>
      <c r="Q264" s="6">
        <f>_xlfn.IFNA(IF(VLOOKUP($A264,'BU Raw Before'!A:H,1,FALSE)=$A264,VLOOKUP($A264,'BU Raw Before'!A:H,8,FALSE),0),0)</f>
        <v>0</v>
      </c>
      <c r="R264" s="6">
        <f>_xlfn.IFNA(IF(VLOOKUP($A264,'BU Raw After'!A:H,1,FALSE)=$A264,VLOOKUP($A264,'BU Raw After'!A:H,8,FALSE),0),0)</f>
        <v>0</v>
      </c>
      <c r="S264" s="6">
        <f t="shared" si="38"/>
        <v>0</v>
      </c>
      <c r="T264" s="7">
        <f t="shared" si="39"/>
        <v>0</v>
      </c>
    </row>
    <row r="265" spans="1:20" ht="15" x14ac:dyDescent="0.25">
      <c r="A265" t="s">
        <v>236</v>
      </c>
      <c r="B265" t="s">
        <v>215</v>
      </c>
      <c r="C265" t="s">
        <v>32</v>
      </c>
      <c r="D265" t="s">
        <v>17</v>
      </c>
      <c r="E265" s="6">
        <f>_xlfn.IFNA(IF(VLOOKUP($A265,'BU Raw Before'!A:H,1,FALSE)=$A265,VLOOKUP($A265,'BU Raw Before'!A:H,5,FALSE),0),0)</f>
        <v>0</v>
      </c>
      <c r="F265" s="6">
        <f>_xlfn.IFNA(IF(VLOOKUP($A265,'BU Raw After'!A:H,1,FALSE)=$A265,VLOOKUP($A265,'BU Raw After'!A:H,5,FALSE),0),0)</f>
        <v>0</v>
      </c>
      <c r="G265" s="6">
        <f t="shared" si="32"/>
        <v>0</v>
      </c>
      <c r="H265" s="7">
        <f t="shared" si="33"/>
        <v>0</v>
      </c>
      <c r="I265" s="6">
        <f>_xlfn.IFNA(IF(VLOOKUP($A265,'BU Raw Before'!A:H,1,FALSE)=$A265,VLOOKUP($A265,'BU Raw Before'!A:H,6,FALSE),0),0)</f>
        <v>0</v>
      </c>
      <c r="J265" s="6">
        <f>_xlfn.IFNA(IF(VLOOKUP($A265,'BU Raw After'!A:H,1,FALSE)=$A265,VLOOKUP($A265,'BU Raw After'!A:H,6,FALSE),0),0)</f>
        <v>0</v>
      </c>
      <c r="K265" s="6">
        <f t="shared" si="34"/>
        <v>0</v>
      </c>
      <c r="L265" s="7">
        <f t="shared" si="35"/>
        <v>0</v>
      </c>
      <c r="M265" s="6">
        <f>_xlfn.IFNA(IF(VLOOKUP($A265,'BU Raw Before'!A:H,1,FALSE)=$A265,VLOOKUP($A265,'BU Raw Before'!A:H,7,FALSE),0),0)</f>
        <v>0</v>
      </c>
      <c r="N265" s="6">
        <f>_xlfn.IFNA(IF(VLOOKUP($A265,'BU Raw After'!A:H,1,FALSE)=$A265,VLOOKUP($A265,'BU Raw After'!A:H,7,FALSE),0),0)</f>
        <v>0</v>
      </c>
      <c r="O265" s="6">
        <f t="shared" si="36"/>
        <v>0</v>
      </c>
      <c r="P265" s="7">
        <f t="shared" si="37"/>
        <v>0</v>
      </c>
      <c r="Q265" s="6">
        <f>_xlfn.IFNA(IF(VLOOKUP($A265,'BU Raw Before'!A:H,1,FALSE)=$A265,VLOOKUP($A265,'BU Raw Before'!A:H,8,FALSE),0),0)</f>
        <v>0</v>
      </c>
      <c r="R265" s="6">
        <f>_xlfn.IFNA(IF(VLOOKUP($A265,'BU Raw After'!A:H,1,FALSE)=$A265,VLOOKUP($A265,'BU Raw After'!A:H,8,FALSE),0),0)</f>
        <v>0</v>
      </c>
      <c r="S265" s="6">
        <f t="shared" si="38"/>
        <v>0</v>
      </c>
      <c r="T265" s="7">
        <f t="shared" si="39"/>
        <v>0</v>
      </c>
    </row>
    <row r="266" spans="1:20" ht="15" x14ac:dyDescent="0.25">
      <c r="A266" t="s">
        <v>237</v>
      </c>
      <c r="B266" t="s">
        <v>215</v>
      </c>
      <c r="C266" t="s">
        <v>32</v>
      </c>
      <c r="D266" t="s">
        <v>19</v>
      </c>
      <c r="E266" s="6">
        <f>_xlfn.IFNA(IF(VLOOKUP($A266,'BU Raw Before'!A:H,1,FALSE)=$A266,VLOOKUP($A266,'BU Raw Before'!A:H,5,FALSE),0),0)</f>
        <v>0</v>
      </c>
      <c r="F266" s="6">
        <f>_xlfn.IFNA(IF(VLOOKUP($A266,'BU Raw After'!A:H,1,FALSE)=$A266,VLOOKUP($A266,'BU Raw After'!A:H,5,FALSE),0),0)</f>
        <v>0</v>
      </c>
      <c r="G266" s="6">
        <f t="shared" si="32"/>
        <v>0</v>
      </c>
      <c r="H266" s="7">
        <f t="shared" si="33"/>
        <v>0</v>
      </c>
      <c r="I266" s="6">
        <f>_xlfn.IFNA(IF(VLOOKUP($A266,'BU Raw Before'!A:H,1,FALSE)=$A266,VLOOKUP($A266,'BU Raw Before'!A:H,6,FALSE),0),0)</f>
        <v>0</v>
      </c>
      <c r="J266" s="6">
        <f>_xlfn.IFNA(IF(VLOOKUP($A266,'BU Raw After'!A:H,1,FALSE)=$A266,VLOOKUP($A266,'BU Raw After'!A:H,6,FALSE),0),0)</f>
        <v>0</v>
      </c>
      <c r="K266" s="6">
        <f t="shared" si="34"/>
        <v>0</v>
      </c>
      <c r="L266" s="7">
        <f t="shared" si="35"/>
        <v>0</v>
      </c>
      <c r="M266" s="6">
        <f>_xlfn.IFNA(IF(VLOOKUP($A266,'BU Raw Before'!A:H,1,FALSE)=$A266,VLOOKUP($A266,'BU Raw Before'!A:H,7,FALSE),0),0)</f>
        <v>0</v>
      </c>
      <c r="N266" s="6">
        <f>_xlfn.IFNA(IF(VLOOKUP($A266,'BU Raw After'!A:H,1,FALSE)=$A266,VLOOKUP($A266,'BU Raw After'!A:H,7,FALSE),0),0)</f>
        <v>0</v>
      </c>
      <c r="O266" s="6">
        <f t="shared" si="36"/>
        <v>0</v>
      </c>
      <c r="P266" s="7">
        <f t="shared" si="37"/>
        <v>0</v>
      </c>
      <c r="Q266" s="6">
        <f>_xlfn.IFNA(IF(VLOOKUP($A266,'BU Raw Before'!A:H,1,FALSE)=$A266,VLOOKUP($A266,'BU Raw Before'!A:H,8,FALSE),0),0)</f>
        <v>0</v>
      </c>
      <c r="R266" s="6">
        <f>_xlfn.IFNA(IF(VLOOKUP($A266,'BU Raw After'!A:H,1,FALSE)=$A266,VLOOKUP($A266,'BU Raw After'!A:H,8,FALSE),0),0)</f>
        <v>0</v>
      </c>
      <c r="S266" s="6">
        <f t="shared" si="38"/>
        <v>0</v>
      </c>
      <c r="T266" s="7">
        <f t="shared" si="39"/>
        <v>0</v>
      </c>
    </row>
    <row r="267" spans="1:20" ht="15" x14ac:dyDescent="0.25">
      <c r="A267" t="s">
        <v>238</v>
      </c>
      <c r="B267" t="s">
        <v>215</v>
      </c>
      <c r="C267" t="s">
        <v>32</v>
      </c>
      <c r="D267" t="s">
        <v>21</v>
      </c>
      <c r="E267" s="6">
        <f>_xlfn.IFNA(IF(VLOOKUP($A267,'BU Raw Before'!A:H,1,FALSE)=$A267,VLOOKUP($A267,'BU Raw Before'!A:H,5,FALSE),0),0)</f>
        <v>0</v>
      </c>
      <c r="F267" s="6">
        <f>_xlfn.IFNA(IF(VLOOKUP($A267,'BU Raw After'!A:H,1,FALSE)=$A267,VLOOKUP($A267,'BU Raw After'!A:H,5,FALSE),0),0)</f>
        <v>0</v>
      </c>
      <c r="G267" s="6">
        <f t="shared" si="32"/>
        <v>0</v>
      </c>
      <c r="H267" s="7">
        <f t="shared" si="33"/>
        <v>0</v>
      </c>
      <c r="I267" s="6">
        <f>_xlfn.IFNA(IF(VLOOKUP($A267,'BU Raw Before'!A:H,1,FALSE)=$A267,VLOOKUP($A267,'BU Raw Before'!A:H,6,FALSE),0),0)</f>
        <v>0</v>
      </c>
      <c r="J267" s="6">
        <f>_xlfn.IFNA(IF(VLOOKUP($A267,'BU Raw After'!A:H,1,FALSE)=$A267,VLOOKUP($A267,'BU Raw After'!A:H,6,FALSE),0),0)</f>
        <v>0</v>
      </c>
      <c r="K267" s="6">
        <f t="shared" si="34"/>
        <v>0</v>
      </c>
      <c r="L267" s="7">
        <f t="shared" si="35"/>
        <v>0</v>
      </c>
      <c r="M267" s="6">
        <f>_xlfn.IFNA(IF(VLOOKUP($A267,'BU Raw Before'!A:H,1,FALSE)=$A267,VLOOKUP($A267,'BU Raw Before'!A:H,7,FALSE),0),0)</f>
        <v>0</v>
      </c>
      <c r="N267" s="6">
        <f>_xlfn.IFNA(IF(VLOOKUP($A267,'BU Raw After'!A:H,1,FALSE)=$A267,VLOOKUP($A267,'BU Raw After'!A:H,7,FALSE),0),0)</f>
        <v>0</v>
      </c>
      <c r="O267" s="6">
        <f t="shared" si="36"/>
        <v>0</v>
      </c>
      <c r="P267" s="7">
        <f t="shared" si="37"/>
        <v>0</v>
      </c>
      <c r="Q267" s="6">
        <f>_xlfn.IFNA(IF(VLOOKUP($A267,'BU Raw Before'!A:H,1,FALSE)=$A267,VLOOKUP($A267,'BU Raw Before'!A:H,8,FALSE),0),0)</f>
        <v>0</v>
      </c>
      <c r="R267" s="6">
        <f>_xlfn.IFNA(IF(VLOOKUP($A267,'BU Raw After'!A:H,1,FALSE)=$A267,VLOOKUP($A267,'BU Raw After'!A:H,8,FALSE),0),0)</f>
        <v>0</v>
      </c>
      <c r="S267" s="6">
        <f t="shared" si="38"/>
        <v>0</v>
      </c>
      <c r="T267" s="7">
        <f t="shared" si="39"/>
        <v>0</v>
      </c>
    </row>
    <row r="268" spans="1:20" ht="15" x14ac:dyDescent="0.25">
      <c r="A268" t="s">
        <v>239</v>
      </c>
      <c r="B268" t="s">
        <v>215</v>
      </c>
      <c r="C268" t="s">
        <v>41</v>
      </c>
      <c r="D268" t="s">
        <v>7</v>
      </c>
      <c r="E268" s="6">
        <f>_xlfn.IFNA(IF(VLOOKUP($A268,'BU Raw Before'!A:H,1,FALSE)=$A268,VLOOKUP($A268,'BU Raw Before'!A:H,5,FALSE),0),0)</f>
        <v>0</v>
      </c>
      <c r="F268" s="6">
        <f>_xlfn.IFNA(IF(VLOOKUP($A268,'BU Raw After'!A:H,1,FALSE)=$A268,VLOOKUP($A268,'BU Raw After'!A:H,5,FALSE),0),0)</f>
        <v>0</v>
      </c>
      <c r="G268" s="6">
        <f t="shared" si="32"/>
        <v>0</v>
      </c>
      <c r="H268" s="7">
        <f t="shared" si="33"/>
        <v>0</v>
      </c>
      <c r="I268" s="6">
        <f>_xlfn.IFNA(IF(VLOOKUP($A268,'BU Raw Before'!A:H,1,FALSE)=$A268,VLOOKUP($A268,'BU Raw Before'!A:H,6,FALSE),0),0)</f>
        <v>0</v>
      </c>
      <c r="J268" s="6">
        <f>_xlfn.IFNA(IF(VLOOKUP($A268,'BU Raw After'!A:H,1,FALSE)=$A268,VLOOKUP($A268,'BU Raw After'!A:H,6,FALSE),0),0)</f>
        <v>0</v>
      </c>
      <c r="K268" s="6">
        <f t="shared" si="34"/>
        <v>0</v>
      </c>
      <c r="L268" s="7">
        <f t="shared" si="35"/>
        <v>0</v>
      </c>
      <c r="M268" s="6">
        <f>_xlfn.IFNA(IF(VLOOKUP($A268,'BU Raw Before'!A:H,1,FALSE)=$A268,VLOOKUP($A268,'BU Raw Before'!A:H,7,FALSE),0),0)</f>
        <v>0</v>
      </c>
      <c r="N268" s="6">
        <f>_xlfn.IFNA(IF(VLOOKUP($A268,'BU Raw After'!A:H,1,FALSE)=$A268,VLOOKUP($A268,'BU Raw After'!A:H,7,FALSE),0),0)</f>
        <v>0</v>
      </c>
      <c r="O268" s="6">
        <f t="shared" si="36"/>
        <v>0</v>
      </c>
      <c r="P268" s="7">
        <f t="shared" si="37"/>
        <v>0</v>
      </c>
      <c r="Q268" s="6">
        <f>_xlfn.IFNA(IF(VLOOKUP($A268,'BU Raw Before'!A:H,1,FALSE)=$A268,VLOOKUP($A268,'BU Raw Before'!A:H,8,FALSE),0),0)</f>
        <v>0</v>
      </c>
      <c r="R268" s="6">
        <f>_xlfn.IFNA(IF(VLOOKUP($A268,'BU Raw After'!A:H,1,FALSE)=$A268,VLOOKUP($A268,'BU Raw After'!A:H,8,FALSE),0),0)</f>
        <v>0</v>
      </c>
      <c r="S268" s="6">
        <f t="shared" si="38"/>
        <v>0</v>
      </c>
      <c r="T268" s="7">
        <f t="shared" si="39"/>
        <v>0</v>
      </c>
    </row>
    <row r="269" spans="1:20" ht="15" x14ac:dyDescent="0.25">
      <c r="A269" t="s">
        <v>240</v>
      </c>
      <c r="B269" t="s">
        <v>215</v>
      </c>
      <c r="C269" t="s">
        <v>41</v>
      </c>
      <c r="D269" t="s">
        <v>9</v>
      </c>
      <c r="E269" s="6">
        <f>_xlfn.IFNA(IF(VLOOKUP($A269,'BU Raw Before'!A:H,1,FALSE)=$A269,VLOOKUP($A269,'BU Raw Before'!A:H,5,FALSE),0),0)</f>
        <v>0</v>
      </c>
      <c r="F269" s="6">
        <f>_xlfn.IFNA(IF(VLOOKUP($A269,'BU Raw After'!A:H,1,FALSE)=$A269,VLOOKUP($A269,'BU Raw After'!A:H,5,FALSE),0),0)</f>
        <v>0</v>
      </c>
      <c r="G269" s="6">
        <f t="shared" si="32"/>
        <v>0</v>
      </c>
      <c r="H269" s="7">
        <f t="shared" si="33"/>
        <v>0</v>
      </c>
      <c r="I269" s="6">
        <f>_xlfn.IFNA(IF(VLOOKUP($A269,'BU Raw Before'!A:H,1,FALSE)=$A269,VLOOKUP($A269,'BU Raw Before'!A:H,6,FALSE),0),0)</f>
        <v>0</v>
      </c>
      <c r="J269" s="6">
        <f>_xlfn.IFNA(IF(VLOOKUP($A269,'BU Raw After'!A:H,1,FALSE)=$A269,VLOOKUP($A269,'BU Raw After'!A:H,6,FALSE),0),0)</f>
        <v>0</v>
      </c>
      <c r="K269" s="6">
        <f t="shared" si="34"/>
        <v>0</v>
      </c>
      <c r="L269" s="7">
        <f t="shared" si="35"/>
        <v>0</v>
      </c>
      <c r="M269" s="6">
        <f>_xlfn.IFNA(IF(VLOOKUP($A269,'BU Raw Before'!A:H,1,FALSE)=$A269,VLOOKUP($A269,'BU Raw Before'!A:H,7,FALSE),0),0)</f>
        <v>0</v>
      </c>
      <c r="N269" s="6">
        <f>_xlfn.IFNA(IF(VLOOKUP($A269,'BU Raw After'!A:H,1,FALSE)=$A269,VLOOKUP($A269,'BU Raw After'!A:H,7,FALSE),0),0)</f>
        <v>0</v>
      </c>
      <c r="O269" s="6">
        <f t="shared" si="36"/>
        <v>0</v>
      </c>
      <c r="P269" s="7">
        <f t="shared" si="37"/>
        <v>0</v>
      </c>
      <c r="Q269" s="6">
        <f>_xlfn.IFNA(IF(VLOOKUP($A269,'BU Raw Before'!A:H,1,FALSE)=$A269,VLOOKUP($A269,'BU Raw Before'!A:H,8,FALSE),0),0)</f>
        <v>0</v>
      </c>
      <c r="R269" s="6">
        <f>_xlfn.IFNA(IF(VLOOKUP($A269,'BU Raw After'!A:H,1,FALSE)=$A269,VLOOKUP($A269,'BU Raw After'!A:H,8,FALSE),0),0)</f>
        <v>0</v>
      </c>
      <c r="S269" s="6">
        <f t="shared" si="38"/>
        <v>0</v>
      </c>
      <c r="T269" s="7">
        <f t="shared" si="39"/>
        <v>0</v>
      </c>
    </row>
    <row r="270" spans="1:20" ht="15" x14ac:dyDescent="0.25">
      <c r="A270" t="s">
        <v>241</v>
      </c>
      <c r="B270" t="s">
        <v>215</v>
      </c>
      <c r="C270" t="s">
        <v>41</v>
      </c>
      <c r="D270" t="s">
        <v>11</v>
      </c>
      <c r="E270" s="6">
        <f>_xlfn.IFNA(IF(VLOOKUP($A270,'BU Raw Before'!A:H,1,FALSE)=$A270,VLOOKUP($A270,'BU Raw Before'!A:H,5,FALSE),0),0)</f>
        <v>0</v>
      </c>
      <c r="F270" s="6">
        <f>_xlfn.IFNA(IF(VLOOKUP($A270,'BU Raw After'!A:H,1,FALSE)=$A270,VLOOKUP($A270,'BU Raw After'!A:H,5,FALSE),0),0)</f>
        <v>0</v>
      </c>
      <c r="G270" s="6">
        <f t="shared" si="32"/>
        <v>0</v>
      </c>
      <c r="H270" s="7">
        <f t="shared" si="33"/>
        <v>0</v>
      </c>
      <c r="I270" s="6">
        <f>_xlfn.IFNA(IF(VLOOKUP($A270,'BU Raw Before'!A:H,1,FALSE)=$A270,VLOOKUP($A270,'BU Raw Before'!A:H,6,FALSE),0),0)</f>
        <v>0</v>
      </c>
      <c r="J270" s="6">
        <f>_xlfn.IFNA(IF(VLOOKUP($A270,'BU Raw After'!A:H,1,FALSE)=$A270,VLOOKUP($A270,'BU Raw After'!A:H,6,FALSE),0),0)</f>
        <v>0</v>
      </c>
      <c r="K270" s="6">
        <f t="shared" si="34"/>
        <v>0</v>
      </c>
      <c r="L270" s="7">
        <f t="shared" si="35"/>
        <v>0</v>
      </c>
      <c r="M270" s="6">
        <f>_xlfn.IFNA(IF(VLOOKUP($A270,'BU Raw Before'!A:H,1,FALSE)=$A270,VLOOKUP($A270,'BU Raw Before'!A:H,7,FALSE),0),0)</f>
        <v>0</v>
      </c>
      <c r="N270" s="6">
        <f>_xlfn.IFNA(IF(VLOOKUP($A270,'BU Raw After'!A:H,1,FALSE)=$A270,VLOOKUP($A270,'BU Raw After'!A:H,7,FALSE),0),0)</f>
        <v>0</v>
      </c>
      <c r="O270" s="6">
        <f t="shared" si="36"/>
        <v>0</v>
      </c>
      <c r="P270" s="7">
        <f t="shared" si="37"/>
        <v>0</v>
      </c>
      <c r="Q270" s="6">
        <f>_xlfn.IFNA(IF(VLOOKUP($A270,'BU Raw Before'!A:H,1,FALSE)=$A270,VLOOKUP($A270,'BU Raw Before'!A:H,8,FALSE),0),0)</f>
        <v>0</v>
      </c>
      <c r="R270" s="6">
        <f>_xlfn.IFNA(IF(VLOOKUP($A270,'BU Raw After'!A:H,1,FALSE)=$A270,VLOOKUP($A270,'BU Raw After'!A:H,8,FALSE),0),0)</f>
        <v>0</v>
      </c>
      <c r="S270" s="6">
        <f t="shared" si="38"/>
        <v>0</v>
      </c>
      <c r="T270" s="7">
        <f t="shared" si="39"/>
        <v>0</v>
      </c>
    </row>
    <row r="271" spans="1:20" ht="15" x14ac:dyDescent="0.25">
      <c r="A271" t="s">
        <v>242</v>
      </c>
      <c r="B271" t="s">
        <v>215</v>
      </c>
      <c r="C271" t="s">
        <v>41</v>
      </c>
      <c r="D271" t="s">
        <v>13</v>
      </c>
      <c r="E271" s="6">
        <f>_xlfn.IFNA(IF(VLOOKUP($A271,'BU Raw Before'!A:H,1,FALSE)=$A271,VLOOKUP($A271,'BU Raw Before'!A:H,5,FALSE),0),0)</f>
        <v>0</v>
      </c>
      <c r="F271" s="6">
        <f>_xlfn.IFNA(IF(VLOOKUP($A271,'BU Raw After'!A:H,1,FALSE)=$A271,VLOOKUP($A271,'BU Raw After'!A:H,5,FALSE),0),0)</f>
        <v>0</v>
      </c>
      <c r="G271" s="6">
        <f t="shared" si="32"/>
        <v>0</v>
      </c>
      <c r="H271" s="7">
        <f t="shared" si="33"/>
        <v>0</v>
      </c>
      <c r="I271" s="6">
        <f>_xlfn.IFNA(IF(VLOOKUP($A271,'BU Raw Before'!A:H,1,FALSE)=$A271,VLOOKUP($A271,'BU Raw Before'!A:H,6,FALSE),0),0)</f>
        <v>0</v>
      </c>
      <c r="J271" s="6">
        <f>_xlfn.IFNA(IF(VLOOKUP($A271,'BU Raw After'!A:H,1,FALSE)=$A271,VLOOKUP($A271,'BU Raw After'!A:H,6,FALSE),0),0)</f>
        <v>0</v>
      </c>
      <c r="K271" s="6">
        <f t="shared" si="34"/>
        <v>0</v>
      </c>
      <c r="L271" s="7">
        <f t="shared" si="35"/>
        <v>0</v>
      </c>
      <c r="M271" s="6">
        <f>_xlfn.IFNA(IF(VLOOKUP($A271,'BU Raw Before'!A:H,1,FALSE)=$A271,VLOOKUP($A271,'BU Raw Before'!A:H,7,FALSE),0),0)</f>
        <v>0</v>
      </c>
      <c r="N271" s="6">
        <f>_xlfn.IFNA(IF(VLOOKUP($A271,'BU Raw After'!A:H,1,FALSE)=$A271,VLOOKUP($A271,'BU Raw After'!A:H,7,FALSE),0),0)</f>
        <v>0</v>
      </c>
      <c r="O271" s="6">
        <f t="shared" si="36"/>
        <v>0</v>
      </c>
      <c r="P271" s="7">
        <f t="shared" si="37"/>
        <v>0</v>
      </c>
      <c r="Q271" s="6">
        <f>_xlfn.IFNA(IF(VLOOKUP($A271,'BU Raw Before'!A:H,1,FALSE)=$A271,VLOOKUP($A271,'BU Raw Before'!A:H,8,FALSE),0),0)</f>
        <v>0</v>
      </c>
      <c r="R271" s="6">
        <f>_xlfn.IFNA(IF(VLOOKUP($A271,'BU Raw After'!A:H,1,FALSE)=$A271,VLOOKUP($A271,'BU Raw After'!A:H,8,FALSE),0),0)</f>
        <v>0</v>
      </c>
      <c r="S271" s="6">
        <f t="shared" si="38"/>
        <v>0</v>
      </c>
      <c r="T271" s="7">
        <f t="shared" si="39"/>
        <v>0</v>
      </c>
    </row>
    <row r="272" spans="1:20" ht="15" x14ac:dyDescent="0.25">
      <c r="A272" t="s">
        <v>243</v>
      </c>
      <c r="B272" t="s">
        <v>215</v>
      </c>
      <c r="C272" t="s">
        <v>41</v>
      </c>
      <c r="D272" t="s">
        <v>15</v>
      </c>
      <c r="E272" s="6">
        <f>_xlfn.IFNA(IF(VLOOKUP($A272,'BU Raw Before'!A:H,1,FALSE)=$A272,VLOOKUP($A272,'BU Raw Before'!A:H,5,FALSE),0),0)</f>
        <v>0</v>
      </c>
      <c r="F272" s="6">
        <f>_xlfn.IFNA(IF(VLOOKUP($A272,'BU Raw After'!A:H,1,FALSE)=$A272,VLOOKUP($A272,'BU Raw After'!A:H,5,FALSE),0),0)</f>
        <v>0</v>
      </c>
      <c r="G272" s="6">
        <f t="shared" si="32"/>
        <v>0</v>
      </c>
      <c r="H272" s="7">
        <f t="shared" si="33"/>
        <v>0</v>
      </c>
      <c r="I272" s="6">
        <f>_xlfn.IFNA(IF(VLOOKUP($A272,'BU Raw Before'!A:H,1,FALSE)=$A272,VLOOKUP($A272,'BU Raw Before'!A:H,6,FALSE),0),0)</f>
        <v>0</v>
      </c>
      <c r="J272" s="6">
        <f>_xlfn.IFNA(IF(VLOOKUP($A272,'BU Raw After'!A:H,1,FALSE)=$A272,VLOOKUP($A272,'BU Raw After'!A:H,6,FALSE),0),0)</f>
        <v>0</v>
      </c>
      <c r="K272" s="6">
        <f t="shared" si="34"/>
        <v>0</v>
      </c>
      <c r="L272" s="7">
        <f t="shared" si="35"/>
        <v>0</v>
      </c>
      <c r="M272" s="6">
        <f>_xlfn.IFNA(IF(VLOOKUP($A272,'BU Raw Before'!A:H,1,FALSE)=$A272,VLOOKUP($A272,'BU Raw Before'!A:H,7,FALSE),0),0)</f>
        <v>0</v>
      </c>
      <c r="N272" s="6">
        <f>_xlfn.IFNA(IF(VLOOKUP($A272,'BU Raw After'!A:H,1,FALSE)=$A272,VLOOKUP($A272,'BU Raw After'!A:H,7,FALSE),0),0)</f>
        <v>0</v>
      </c>
      <c r="O272" s="6">
        <f t="shared" si="36"/>
        <v>0</v>
      </c>
      <c r="P272" s="7">
        <f t="shared" si="37"/>
        <v>0</v>
      </c>
      <c r="Q272" s="6">
        <f>_xlfn.IFNA(IF(VLOOKUP($A272,'BU Raw Before'!A:H,1,FALSE)=$A272,VLOOKUP($A272,'BU Raw Before'!A:H,8,FALSE),0),0)</f>
        <v>0</v>
      </c>
      <c r="R272" s="6">
        <f>_xlfn.IFNA(IF(VLOOKUP($A272,'BU Raw After'!A:H,1,FALSE)=$A272,VLOOKUP($A272,'BU Raw After'!A:H,8,FALSE),0),0)</f>
        <v>0</v>
      </c>
      <c r="S272" s="6">
        <f t="shared" si="38"/>
        <v>0</v>
      </c>
      <c r="T272" s="7">
        <f t="shared" si="39"/>
        <v>0</v>
      </c>
    </row>
    <row r="273" spans="1:20" ht="15" x14ac:dyDescent="0.25">
      <c r="A273" t="s">
        <v>244</v>
      </c>
      <c r="B273" t="s">
        <v>215</v>
      </c>
      <c r="C273" t="s">
        <v>41</v>
      </c>
      <c r="D273" t="s">
        <v>17</v>
      </c>
      <c r="E273" s="6">
        <f>_xlfn.IFNA(IF(VLOOKUP($A273,'BU Raw Before'!A:H,1,FALSE)=$A273,VLOOKUP($A273,'BU Raw Before'!A:H,5,FALSE),0),0)</f>
        <v>0</v>
      </c>
      <c r="F273" s="6">
        <f>_xlfn.IFNA(IF(VLOOKUP($A273,'BU Raw After'!A:H,1,FALSE)=$A273,VLOOKUP($A273,'BU Raw After'!A:H,5,FALSE),0),0)</f>
        <v>0</v>
      </c>
      <c r="G273" s="6">
        <f t="shared" si="32"/>
        <v>0</v>
      </c>
      <c r="H273" s="7">
        <f t="shared" si="33"/>
        <v>0</v>
      </c>
      <c r="I273" s="6">
        <f>_xlfn.IFNA(IF(VLOOKUP($A273,'BU Raw Before'!A:H,1,FALSE)=$A273,VLOOKUP($A273,'BU Raw Before'!A:H,6,FALSE),0),0)</f>
        <v>0</v>
      </c>
      <c r="J273" s="6">
        <f>_xlfn.IFNA(IF(VLOOKUP($A273,'BU Raw After'!A:H,1,FALSE)=$A273,VLOOKUP($A273,'BU Raw After'!A:H,6,FALSE),0),0)</f>
        <v>0</v>
      </c>
      <c r="K273" s="6">
        <f t="shared" si="34"/>
        <v>0</v>
      </c>
      <c r="L273" s="7">
        <f t="shared" si="35"/>
        <v>0</v>
      </c>
      <c r="M273" s="6">
        <f>_xlfn.IFNA(IF(VLOOKUP($A273,'BU Raw Before'!A:H,1,FALSE)=$A273,VLOOKUP($A273,'BU Raw Before'!A:H,7,FALSE),0),0)</f>
        <v>0</v>
      </c>
      <c r="N273" s="6">
        <f>_xlfn.IFNA(IF(VLOOKUP($A273,'BU Raw After'!A:H,1,FALSE)=$A273,VLOOKUP($A273,'BU Raw After'!A:H,7,FALSE),0),0)</f>
        <v>0</v>
      </c>
      <c r="O273" s="6">
        <f t="shared" si="36"/>
        <v>0</v>
      </c>
      <c r="P273" s="7">
        <f t="shared" si="37"/>
        <v>0</v>
      </c>
      <c r="Q273" s="6">
        <f>_xlfn.IFNA(IF(VLOOKUP($A273,'BU Raw Before'!A:H,1,FALSE)=$A273,VLOOKUP($A273,'BU Raw Before'!A:H,8,FALSE),0),0)</f>
        <v>0</v>
      </c>
      <c r="R273" s="6">
        <f>_xlfn.IFNA(IF(VLOOKUP($A273,'BU Raw After'!A:H,1,FALSE)=$A273,VLOOKUP($A273,'BU Raw After'!A:H,8,FALSE),0),0)</f>
        <v>0</v>
      </c>
      <c r="S273" s="6">
        <f t="shared" si="38"/>
        <v>0</v>
      </c>
      <c r="T273" s="7">
        <f t="shared" si="39"/>
        <v>0</v>
      </c>
    </row>
    <row r="274" spans="1:20" ht="15" x14ac:dyDescent="0.25">
      <c r="A274" t="s">
        <v>245</v>
      </c>
      <c r="B274" t="s">
        <v>215</v>
      </c>
      <c r="C274" t="s">
        <v>41</v>
      </c>
      <c r="D274" t="s">
        <v>19</v>
      </c>
      <c r="E274" s="6">
        <f>_xlfn.IFNA(IF(VLOOKUP($A274,'BU Raw Before'!A:H,1,FALSE)=$A274,VLOOKUP($A274,'BU Raw Before'!A:H,5,FALSE),0),0)</f>
        <v>0</v>
      </c>
      <c r="F274" s="6">
        <f>_xlfn.IFNA(IF(VLOOKUP($A274,'BU Raw After'!A:H,1,FALSE)=$A274,VLOOKUP($A274,'BU Raw After'!A:H,5,FALSE),0),0)</f>
        <v>0</v>
      </c>
      <c r="G274" s="6">
        <f t="shared" si="32"/>
        <v>0</v>
      </c>
      <c r="H274" s="7">
        <f t="shared" si="33"/>
        <v>0</v>
      </c>
      <c r="I274" s="6">
        <f>_xlfn.IFNA(IF(VLOOKUP($A274,'BU Raw Before'!A:H,1,FALSE)=$A274,VLOOKUP($A274,'BU Raw Before'!A:H,6,FALSE),0),0)</f>
        <v>0</v>
      </c>
      <c r="J274" s="6">
        <f>_xlfn.IFNA(IF(VLOOKUP($A274,'BU Raw After'!A:H,1,FALSE)=$A274,VLOOKUP($A274,'BU Raw After'!A:H,6,FALSE),0),0)</f>
        <v>0</v>
      </c>
      <c r="K274" s="6">
        <f t="shared" si="34"/>
        <v>0</v>
      </c>
      <c r="L274" s="7">
        <f t="shared" si="35"/>
        <v>0</v>
      </c>
      <c r="M274" s="6">
        <f>_xlfn.IFNA(IF(VLOOKUP($A274,'BU Raw Before'!A:H,1,FALSE)=$A274,VLOOKUP($A274,'BU Raw Before'!A:H,7,FALSE),0),0)</f>
        <v>0</v>
      </c>
      <c r="N274" s="6">
        <f>_xlfn.IFNA(IF(VLOOKUP($A274,'BU Raw After'!A:H,1,FALSE)=$A274,VLOOKUP($A274,'BU Raw After'!A:H,7,FALSE),0),0)</f>
        <v>0</v>
      </c>
      <c r="O274" s="6">
        <f t="shared" si="36"/>
        <v>0</v>
      </c>
      <c r="P274" s="7">
        <f t="shared" si="37"/>
        <v>0</v>
      </c>
      <c r="Q274" s="6">
        <f>_xlfn.IFNA(IF(VLOOKUP($A274,'BU Raw Before'!A:H,1,FALSE)=$A274,VLOOKUP($A274,'BU Raw Before'!A:H,8,FALSE),0),0)</f>
        <v>0</v>
      </c>
      <c r="R274" s="6">
        <f>_xlfn.IFNA(IF(VLOOKUP($A274,'BU Raw After'!A:H,1,FALSE)=$A274,VLOOKUP($A274,'BU Raw After'!A:H,8,FALSE),0),0)</f>
        <v>0</v>
      </c>
      <c r="S274" s="6">
        <f t="shared" si="38"/>
        <v>0</v>
      </c>
      <c r="T274" s="7">
        <f t="shared" si="39"/>
        <v>0</v>
      </c>
    </row>
    <row r="275" spans="1:20" ht="15" x14ac:dyDescent="0.25">
      <c r="A275" t="s">
        <v>246</v>
      </c>
      <c r="B275" t="s">
        <v>215</v>
      </c>
      <c r="C275" t="s">
        <v>41</v>
      </c>
      <c r="D275" t="s">
        <v>21</v>
      </c>
      <c r="E275" s="6">
        <f>_xlfn.IFNA(IF(VLOOKUP($A275,'BU Raw Before'!A:H,1,FALSE)=$A275,VLOOKUP($A275,'BU Raw Before'!A:H,5,FALSE),0),0)</f>
        <v>0</v>
      </c>
      <c r="F275" s="6">
        <f>_xlfn.IFNA(IF(VLOOKUP($A275,'BU Raw After'!A:H,1,FALSE)=$A275,VLOOKUP($A275,'BU Raw After'!A:H,5,FALSE),0),0)</f>
        <v>0</v>
      </c>
      <c r="G275" s="6">
        <f t="shared" si="32"/>
        <v>0</v>
      </c>
      <c r="H275" s="7">
        <f t="shared" si="33"/>
        <v>0</v>
      </c>
      <c r="I275" s="6">
        <f>_xlfn.IFNA(IF(VLOOKUP($A275,'BU Raw Before'!A:H,1,FALSE)=$A275,VLOOKUP($A275,'BU Raw Before'!A:H,6,FALSE),0),0)</f>
        <v>0</v>
      </c>
      <c r="J275" s="6">
        <f>_xlfn.IFNA(IF(VLOOKUP($A275,'BU Raw After'!A:H,1,FALSE)=$A275,VLOOKUP($A275,'BU Raw After'!A:H,6,FALSE),0),0)</f>
        <v>0</v>
      </c>
      <c r="K275" s="6">
        <f t="shared" si="34"/>
        <v>0</v>
      </c>
      <c r="L275" s="7">
        <f t="shared" si="35"/>
        <v>0</v>
      </c>
      <c r="M275" s="6">
        <f>_xlfn.IFNA(IF(VLOOKUP($A275,'BU Raw Before'!A:H,1,FALSE)=$A275,VLOOKUP($A275,'BU Raw Before'!A:H,7,FALSE),0),0)</f>
        <v>0</v>
      </c>
      <c r="N275" s="6">
        <f>_xlfn.IFNA(IF(VLOOKUP($A275,'BU Raw After'!A:H,1,FALSE)=$A275,VLOOKUP($A275,'BU Raw After'!A:H,7,FALSE),0),0)</f>
        <v>0</v>
      </c>
      <c r="O275" s="6">
        <f t="shared" si="36"/>
        <v>0</v>
      </c>
      <c r="P275" s="7">
        <f t="shared" si="37"/>
        <v>0</v>
      </c>
      <c r="Q275" s="6">
        <f>_xlfn.IFNA(IF(VLOOKUP($A275,'BU Raw Before'!A:H,1,FALSE)=$A275,VLOOKUP($A275,'BU Raw Before'!A:H,8,FALSE),0),0)</f>
        <v>0</v>
      </c>
      <c r="R275" s="6">
        <f>_xlfn.IFNA(IF(VLOOKUP($A275,'BU Raw After'!A:H,1,FALSE)=$A275,VLOOKUP($A275,'BU Raw After'!A:H,8,FALSE),0),0)</f>
        <v>0</v>
      </c>
      <c r="S275" s="6">
        <f t="shared" si="38"/>
        <v>0</v>
      </c>
      <c r="T275" s="7">
        <f t="shared" si="39"/>
        <v>0</v>
      </c>
    </row>
    <row r="276" spans="1:20" ht="15" x14ac:dyDescent="0.25">
      <c r="A276" t="s">
        <v>360</v>
      </c>
      <c r="B276" t="s">
        <v>215</v>
      </c>
      <c r="C276" t="s">
        <v>286</v>
      </c>
      <c r="D276" t="s">
        <v>7</v>
      </c>
      <c r="E276" s="6">
        <f>_xlfn.IFNA(IF(VLOOKUP($A276,'BU Raw Before'!A:H,1,FALSE)=$A276,VLOOKUP($A276,'BU Raw Before'!A:H,5,FALSE),0),0)</f>
        <v>0</v>
      </c>
      <c r="F276" s="6">
        <f>_xlfn.IFNA(IF(VLOOKUP($A276,'BU Raw After'!A:H,1,FALSE)=$A276,VLOOKUP($A276,'BU Raw After'!A:H,5,FALSE),0),0)</f>
        <v>0</v>
      </c>
      <c r="G276" s="6">
        <f t="shared" si="32"/>
        <v>0</v>
      </c>
      <c r="H276" s="7">
        <f t="shared" si="33"/>
        <v>0</v>
      </c>
      <c r="I276" s="6">
        <f>_xlfn.IFNA(IF(VLOOKUP($A276,'BU Raw Before'!A:H,1,FALSE)=$A276,VLOOKUP($A276,'BU Raw Before'!A:H,6,FALSE),0),0)</f>
        <v>0</v>
      </c>
      <c r="J276" s="6">
        <f>_xlfn.IFNA(IF(VLOOKUP($A276,'BU Raw After'!A:H,1,FALSE)=$A276,VLOOKUP($A276,'BU Raw After'!A:H,6,FALSE),0),0)</f>
        <v>0</v>
      </c>
      <c r="K276" s="6">
        <f t="shared" si="34"/>
        <v>0</v>
      </c>
      <c r="L276" s="7">
        <f t="shared" si="35"/>
        <v>0</v>
      </c>
      <c r="M276" s="6">
        <f>_xlfn.IFNA(IF(VLOOKUP($A276,'BU Raw Before'!A:H,1,FALSE)=$A276,VLOOKUP($A276,'BU Raw Before'!A:H,7,FALSE),0),0)</f>
        <v>0</v>
      </c>
      <c r="N276" s="6">
        <f>_xlfn.IFNA(IF(VLOOKUP($A276,'BU Raw After'!A:H,1,FALSE)=$A276,VLOOKUP($A276,'BU Raw After'!A:H,7,FALSE),0),0)</f>
        <v>0</v>
      </c>
      <c r="O276" s="6">
        <f t="shared" si="36"/>
        <v>0</v>
      </c>
      <c r="P276" s="7">
        <f t="shared" si="37"/>
        <v>0</v>
      </c>
      <c r="Q276" s="6">
        <f>_xlfn.IFNA(IF(VLOOKUP($A276,'BU Raw Before'!A:H,1,FALSE)=$A276,VLOOKUP($A276,'BU Raw Before'!A:H,8,FALSE),0),0)</f>
        <v>0</v>
      </c>
      <c r="R276" s="6">
        <f>_xlfn.IFNA(IF(VLOOKUP($A276,'BU Raw After'!A:H,1,FALSE)=$A276,VLOOKUP($A276,'BU Raw After'!A:H,8,FALSE),0),0)</f>
        <v>0</v>
      </c>
      <c r="S276" s="6">
        <f t="shared" si="38"/>
        <v>0</v>
      </c>
      <c r="T276" s="7">
        <f t="shared" si="39"/>
        <v>0</v>
      </c>
    </row>
    <row r="277" spans="1:20" ht="15" x14ac:dyDescent="0.25">
      <c r="A277" t="s">
        <v>361</v>
      </c>
      <c r="B277" t="s">
        <v>215</v>
      </c>
      <c r="C277" t="s">
        <v>286</v>
      </c>
      <c r="D277" t="s">
        <v>9</v>
      </c>
      <c r="E277" s="6">
        <f>_xlfn.IFNA(IF(VLOOKUP($A277,'BU Raw Before'!A:H,1,FALSE)=$A277,VLOOKUP($A277,'BU Raw Before'!A:H,5,FALSE),0),0)</f>
        <v>0</v>
      </c>
      <c r="F277" s="6">
        <f>_xlfn.IFNA(IF(VLOOKUP($A277,'BU Raw After'!A:H,1,FALSE)=$A277,VLOOKUP($A277,'BU Raw After'!A:H,5,FALSE),0),0)</f>
        <v>0</v>
      </c>
      <c r="G277" s="6">
        <f t="shared" si="32"/>
        <v>0</v>
      </c>
      <c r="H277" s="7">
        <f t="shared" si="33"/>
        <v>0</v>
      </c>
      <c r="I277" s="6">
        <f>_xlfn.IFNA(IF(VLOOKUP($A277,'BU Raw Before'!A:H,1,FALSE)=$A277,VLOOKUP($A277,'BU Raw Before'!A:H,6,FALSE),0),0)</f>
        <v>0</v>
      </c>
      <c r="J277" s="6">
        <f>_xlfn.IFNA(IF(VLOOKUP($A277,'BU Raw After'!A:H,1,FALSE)=$A277,VLOOKUP($A277,'BU Raw After'!A:H,6,FALSE),0),0)</f>
        <v>0</v>
      </c>
      <c r="K277" s="6">
        <f t="shared" si="34"/>
        <v>0</v>
      </c>
      <c r="L277" s="7">
        <f t="shared" si="35"/>
        <v>0</v>
      </c>
      <c r="M277" s="6">
        <f>_xlfn.IFNA(IF(VLOOKUP($A277,'BU Raw Before'!A:H,1,FALSE)=$A277,VLOOKUP($A277,'BU Raw Before'!A:H,7,FALSE),0),0)</f>
        <v>0</v>
      </c>
      <c r="N277" s="6">
        <f>_xlfn.IFNA(IF(VLOOKUP($A277,'BU Raw After'!A:H,1,FALSE)=$A277,VLOOKUP($A277,'BU Raw After'!A:H,7,FALSE),0),0)</f>
        <v>0</v>
      </c>
      <c r="O277" s="6">
        <f t="shared" si="36"/>
        <v>0</v>
      </c>
      <c r="P277" s="7">
        <f t="shared" si="37"/>
        <v>0</v>
      </c>
      <c r="Q277" s="6">
        <f>_xlfn.IFNA(IF(VLOOKUP($A277,'BU Raw Before'!A:H,1,FALSE)=$A277,VLOOKUP($A277,'BU Raw Before'!A:H,8,FALSE),0),0)</f>
        <v>0</v>
      </c>
      <c r="R277" s="6">
        <f>_xlfn.IFNA(IF(VLOOKUP($A277,'BU Raw After'!A:H,1,FALSE)=$A277,VLOOKUP($A277,'BU Raw After'!A:H,8,FALSE),0),0)</f>
        <v>0</v>
      </c>
      <c r="S277" s="6">
        <f t="shared" si="38"/>
        <v>0</v>
      </c>
      <c r="T277" s="7">
        <f t="shared" si="39"/>
        <v>0</v>
      </c>
    </row>
    <row r="278" spans="1:20" ht="15" x14ac:dyDescent="0.25">
      <c r="A278" t="s">
        <v>362</v>
      </c>
      <c r="B278" t="s">
        <v>215</v>
      </c>
      <c r="C278" t="s">
        <v>286</v>
      </c>
      <c r="D278" t="s">
        <v>11</v>
      </c>
      <c r="E278" s="6">
        <f>_xlfn.IFNA(IF(VLOOKUP($A278,'BU Raw Before'!A:H,1,FALSE)=$A278,VLOOKUP($A278,'BU Raw Before'!A:H,5,FALSE),0),0)</f>
        <v>0</v>
      </c>
      <c r="F278" s="6">
        <f>_xlfn.IFNA(IF(VLOOKUP($A278,'BU Raw After'!A:H,1,FALSE)=$A278,VLOOKUP($A278,'BU Raw After'!A:H,5,FALSE),0),0)</f>
        <v>0</v>
      </c>
      <c r="G278" s="6">
        <f t="shared" si="32"/>
        <v>0</v>
      </c>
      <c r="H278" s="7">
        <f t="shared" si="33"/>
        <v>0</v>
      </c>
      <c r="I278" s="6">
        <f>_xlfn.IFNA(IF(VLOOKUP($A278,'BU Raw Before'!A:H,1,FALSE)=$A278,VLOOKUP($A278,'BU Raw Before'!A:H,6,FALSE),0),0)</f>
        <v>0</v>
      </c>
      <c r="J278" s="6">
        <f>_xlfn.IFNA(IF(VLOOKUP($A278,'BU Raw After'!A:H,1,FALSE)=$A278,VLOOKUP($A278,'BU Raw After'!A:H,6,FALSE),0),0)</f>
        <v>0</v>
      </c>
      <c r="K278" s="6">
        <f t="shared" si="34"/>
        <v>0</v>
      </c>
      <c r="L278" s="7">
        <f t="shared" si="35"/>
        <v>0</v>
      </c>
      <c r="M278" s="6">
        <f>_xlfn.IFNA(IF(VLOOKUP($A278,'BU Raw Before'!A:H,1,FALSE)=$A278,VLOOKUP($A278,'BU Raw Before'!A:H,7,FALSE),0),0)</f>
        <v>0</v>
      </c>
      <c r="N278" s="6">
        <f>_xlfn.IFNA(IF(VLOOKUP($A278,'BU Raw After'!A:H,1,FALSE)=$A278,VLOOKUP($A278,'BU Raw After'!A:H,7,FALSE),0),0)</f>
        <v>0</v>
      </c>
      <c r="O278" s="6">
        <f t="shared" si="36"/>
        <v>0</v>
      </c>
      <c r="P278" s="7">
        <f t="shared" si="37"/>
        <v>0</v>
      </c>
      <c r="Q278" s="6">
        <f>_xlfn.IFNA(IF(VLOOKUP($A278,'BU Raw Before'!A:H,1,FALSE)=$A278,VLOOKUP($A278,'BU Raw Before'!A:H,8,FALSE),0),0)</f>
        <v>0</v>
      </c>
      <c r="R278" s="6">
        <f>_xlfn.IFNA(IF(VLOOKUP($A278,'BU Raw After'!A:H,1,FALSE)=$A278,VLOOKUP($A278,'BU Raw After'!A:H,8,FALSE),0),0)</f>
        <v>0</v>
      </c>
      <c r="S278" s="6">
        <f t="shared" si="38"/>
        <v>0</v>
      </c>
      <c r="T278" s="7">
        <f t="shared" si="39"/>
        <v>0</v>
      </c>
    </row>
    <row r="279" spans="1:20" ht="15" x14ac:dyDescent="0.25">
      <c r="A279" t="s">
        <v>363</v>
      </c>
      <c r="B279" t="s">
        <v>215</v>
      </c>
      <c r="C279" t="s">
        <v>286</v>
      </c>
      <c r="D279" t="s">
        <v>13</v>
      </c>
      <c r="E279" s="6">
        <f>_xlfn.IFNA(IF(VLOOKUP($A279,'BU Raw Before'!A:H,1,FALSE)=$A279,VLOOKUP($A279,'BU Raw Before'!A:H,5,FALSE),0),0)</f>
        <v>0</v>
      </c>
      <c r="F279" s="6">
        <f>_xlfn.IFNA(IF(VLOOKUP($A279,'BU Raw After'!A:H,1,FALSE)=$A279,VLOOKUP($A279,'BU Raw After'!A:H,5,FALSE),0),0)</f>
        <v>0</v>
      </c>
      <c r="G279" s="6">
        <f t="shared" si="32"/>
        <v>0</v>
      </c>
      <c r="H279" s="7">
        <f t="shared" si="33"/>
        <v>0</v>
      </c>
      <c r="I279" s="6">
        <f>_xlfn.IFNA(IF(VLOOKUP($A279,'BU Raw Before'!A:H,1,FALSE)=$A279,VLOOKUP($A279,'BU Raw Before'!A:H,6,FALSE),0),0)</f>
        <v>0</v>
      </c>
      <c r="J279" s="6">
        <f>_xlfn.IFNA(IF(VLOOKUP($A279,'BU Raw After'!A:H,1,FALSE)=$A279,VLOOKUP($A279,'BU Raw After'!A:H,6,FALSE),0),0)</f>
        <v>0</v>
      </c>
      <c r="K279" s="6">
        <f t="shared" si="34"/>
        <v>0</v>
      </c>
      <c r="L279" s="7">
        <f t="shared" si="35"/>
        <v>0</v>
      </c>
      <c r="M279" s="6">
        <f>_xlfn.IFNA(IF(VLOOKUP($A279,'BU Raw Before'!A:H,1,FALSE)=$A279,VLOOKUP($A279,'BU Raw Before'!A:H,7,FALSE),0),0)</f>
        <v>0</v>
      </c>
      <c r="N279" s="6">
        <f>_xlfn.IFNA(IF(VLOOKUP($A279,'BU Raw After'!A:H,1,FALSE)=$A279,VLOOKUP($A279,'BU Raw After'!A:H,7,FALSE),0),0)</f>
        <v>0</v>
      </c>
      <c r="O279" s="6">
        <f t="shared" si="36"/>
        <v>0</v>
      </c>
      <c r="P279" s="7">
        <f t="shared" si="37"/>
        <v>0</v>
      </c>
      <c r="Q279" s="6">
        <f>_xlfn.IFNA(IF(VLOOKUP($A279,'BU Raw Before'!A:H,1,FALSE)=$A279,VLOOKUP($A279,'BU Raw Before'!A:H,8,FALSE),0),0)</f>
        <v>0</v>
      </c>
      <c r="R279" s="6">
        <f>_xlfn.IFNA(IF(VLOOKUP($A279,'BU Raw After'!A:H,1,FALSE)=$A279,VLOOKUP($A279,'BU Raw After'!A:H,8,FALSE),0),0)</f>
        <v>0</v>
      </c>
      <c r="S279" s="6">
        <f t="shared" si="38"/>
        <v>0</v>
      </c>
      <c r="T279" s="7">
        <f t="shared" si="39"/>
        <v>0</v>
      </c>
    </row>
    <row r="280" spans="1:20" ht="15" x14ac:dyDescent="0.25">
      <c r="A280" t="s">
        <v>364</v>
      </c>
      <c r="B280" t="s">
        <v>215</v>
      </c>
      <c r="C280" t="s">
        <v>286</v>
      </c>
      <c r="D280" t="s">
        <v>15</v>
      </c>
      <c r="E280" s="6">
        <f>_xlfn.IFNA(IF(VLOOKUP($A280,'BU Raw Before'!A:H,1,FALSE)=$A280,VLOOKUP($A280,'BU Raw Before'!A:H,5,FALSE),0),0)</f>
        <v>0</v>
      </c>
      <c r="F280" s="6">
        <f>_xlfn.IFNA(IF(VLOOKUP($A280,'BU Raw After'!A:H,1,FALSE)=$A280,VLOOKUP($A280,'BU Raw After'!A:H,5,FALSE),0),0)</f>
        <v>0</v>
      </c>
      <c r="G280" s="6">
        <f t="shared" si="32"/>
        <v>0</v>
      </c>
      <c r="H280" s="7">
        <f t="shared" si="33"/>
        <v>0</v>
      </c>
      <c r="I280" s="6">
        <f>_xlfn.IFNA(IF(VLOOKUP($A280,'BU Raw Before'!A:H,1,FALSE)=$A280,VLOOKUP($A280,'BU Raw Before'!A:H,6,FALSE),0),0)</f>
        <v>0</v>
      </c>
      <c r="J280" s="6">
        <f>_xlfn.IFNA(IF(VLOOKUP($A280,'BU Raw After'!A:H,1,FALSE)=$A280,VLOOKUP($A280,'BU Raw After'!A:H,6,FALSE),0),0)</f>
        <v>0</v>
      </c>
      <c r="K280" s="6">
        <f t="shared" si="34"/>
        <v>0</v>
      </c>
      <c r="L280" s="7">
        <f t="shared" si="35"/>
        <v>0</v>
      </c>
      <c r="M280" s="6">
        <f>_xlfn.IFNA(IF(VLOOKUP($A280,'BU Raw Before'!A:H,1,FALSE)=$A280,VLOOKUP($A280,'BU Raw Before'!A:H,7,FALSE),0),0)</f>
        <v>0</v>
      </c>
      <c r="N280" s="6">
        <f>_xlfn.IFNA(IF(VLOOKUP($A280,'BU Raw After'!A:H,1,FALSE)=$A280,VLOOKUP($A280,'BU Raw After'!A:H,7,FALSE),0),0)</f>
        <v>0</v>
      </c>
      <c r="O280" s="6">
        <f t="shared" si="36"/>
        <v>0</v>
      </c>
      <c r="P280" s="7">
        <f t="shared" si="37"/>
        <v>0</v>
      </c>
      <c r="Q280" s="6">
        <f>_xlfn.IFNA(IF(VLOOKUP($A280,'BU Raw Before'!A:H,1,FALSE)=$A280,VLOOKUP($A280,'BU Raw Before'!A:H,8,FALSE),0),0)</f>
        <v>0</v>
      </c>
      <c r="R280" s="6">
        <f>_xlfn.IFNA(IF(VLOOKUP($A280,'BU Raw After'!A:H,1,FALSE)=$A280,VLOOKUP($A280,'BU Raw After'!A:H,8,FALSE),0),0)</f>
        <v>0</v>
      </c>
      <c r="S280" s="6">
        <f t="shared" si="38"/>
        <v>0</v>
      </c>
      <c r="T280" s="7">
        <f t="shared" si="39"/>
        <v>0</v>
      </c>
    </row>
    <row r="281" spans="1:20" ht="15" x14ac:dyDescent="0.25">
      <c r="A281" t="s">
        <v>365</v>
      </c>
      <c r="B281" t="s">
        <v>215</v>
      </c>
      <c r="C281" t="s">
        <v>286</v>
      </c>
      <c r="D281" t="s">
        <v>17</v>
      </c>
      <c r="E281" s="6">
        <f>_xlfn.IFNA(IF(VLOOKUP($A281,'BU Raw Before'!A:H,1,FALSE)=$A281,VLOOKUP($A281,'BU Raw Before'!A:H,5,FALSE),0),0)</f>
        <v>0</v>
      </c>
      <c r="F281" s="6">
        <f>_xlfn.IFNA(IF(VLOOKUP($A281,'BU Raw After'!A:H,1,FALSE)=$A281,VLOOKUP($A281,'BU Raw After'!A:H,5,FALSE),0),0)</f>
        <v>0</v>
      </c>
      <c r="G281" s="6">
        <f t="shared" si="32"/>
        <v>0</v>
      </c>
      <c r="H281" s="7">
        <f t="shared" si="33"/>
        <v>0</v>
      </c>
      <c r="I281" s="6">
        <f>_xlfn.IFNA(IF(VLOOKUP($A281,'BU Raw Before'!A:H,1,FALSE)=$A281,VLOOKUP($A281,'BU Raw Before'!A:H,6,FALSE),0),0)</f>
        <v>0</v>
      </c>
      <c r="J281" s="6">
        <f>_xlfn.IFNA(IF(VLOOKUP($A281,'BU Raw After'!A:H,1,FALSE)=$A281,VLOOKUP($A281,'BU Raw After'!A:H,6,FALSE),0),0)</f>
        <v>0</v>
      </c>
      <c r="K281" s="6">
        <f t="shared" si="34"/>
        <v>0</v>
      </c>
      <c r="L281" s="7">
        <f t="shared" si="35"/>
        <v>0</v>
      </c>
      <c r="M281" s="6">
        <f>_xlfn.IFNA(IF(VLOOKUP($A281,'BU Raw Before'!A:H,1,FALSE)=$A281,VLOOKUP($A281,'BU Raw Before'!A:H,7,FALSE),0),0)</f>
        <v>0</v>
      </c>
      <c r="N281" s="6">
        <f>_xlfn.IFNA(IF(VLOOKUP($A281,'BU Raw After'!A:H,1,FALSE)=$A281,VLOOKUP($A281,'BU Raw After'!A:H,7,FALSE),0),0)</f>
        <v>0</v>
      </c>
      <c r="O281" s="6">
        <f t="shared" si="36"/>
        <v>0</v>
      </c>
      <c r="P281" s="7">
        <f t="shared" si="37"/>
        <v>0</v>
      </c>
      <c r="Q281" s="6">
        <f>_xlfn.IFNA(IF(VLOOKUP($A281,'BU Raw Before'!A:H,1,FALSE)=$A281,VLOOKUP($A281,'BU Raw Before'!A:H,8,FALSE),0),0)</f>
        <v>0</v>
      </c>
      <c r="R281" s="6">
        <f>_xlfn.IFNA(IF(VLOOKUP($A281,'BU Raw After'!A:H,1,FALSE)=$A281,VLOOKUP($A281,'BU Raw After'!A:H,8,FALSE),0),0)</f>
        <v>0</v>
      </c>
      <c r="S281" s="6">
        <f t="shared" si="38"/>
        <v>0</v>
      </c>
      <c r="T281" s="7">
        <f t="shared" si="39"/>
        <v>0</v>
      </c>
    </row>
    <row r="282" spans="1:20" ht="15" x14ac:dyDescent="0.25">
      <c r="A282" t="s">
        <v>366</v>
      </c>
      <c r="B282" t="s">
        <v>215</v>
      </c>
      <c r="C282" t="s">
        <v>286</v>
      </c>
      <c r="D282" t="s">
        <v>19</v>
      </c>
      <c r="E282" s="6">
        <f>_xlfn.IFNA(IF(VLOOKUP($A282,'BU Raw Before'!A:H,1,FALSE)=$A282,VLOOKUP($A282,'BU Raw Before'!A:H,5,FALSE),0),0)</f>
        <v>0</v>
      </c>
      <c r="F282" s="6">
        <f>_xlfn.IFNA(IF(VLOOKUP($A282,'BU Raw After'!A:H,1,FALSE)=$A282,VLOOKUP($A282,'BU Raw After'!A:H,5,FALSE),0),0)</f>
        <v>0</v>
      </c>
      <c r="G282" s="6">
        <f t="shared" si="32"/>
        <v>0</v>
      </c>
      <c r="H282" s="7">
        <f t="shared" si="33"/>
        <v>0</v>
      </c>
      <c r="I282" s="6">
        <f>_xlfn.IFNA(IF(VLOOKUP($A282,'BU Raw Before'!A:H,1,FALSE)=$A282,VLOOKUP($A282,'BU Raw Before'!A:H,6,FALSE),0),0)</f>
        <v>0</v>
      </c>
      <c r="J282" s="6">
        <f>_xlfn.IFNA(IF(VLOOKUP($A282,'BU Raw After'!A:H,1,FALSE)=$A282,VLOOKUP($A282,'BU Raw After'!A:H,6,FALSE),0),0)</f>
        <v>0</v>
      </c>
      <c r="K282" s="6">
        <f t="shared" si="34"/>
        <v>0</v>
      </c>
      <c r="L282" s="7">
        <f t="shared" si="35"/>
        <v>0</v>
      </c>
      <c r="M282" s="6">
        <f>_xlfn.IFNA(IF(VLOOKUP($A282,'BU Raw Before'!A:H,1,FALSE)=$A282,VLOOKUP($A282,'BU Raw Before'!A:H,7,FALSE),0),0)</f>
        <v>0</v>
      </c>
      <c r="N282" s="6">
        <f>_xlfn.IFNA(IF(VLOOKUP($A282,'BU Raw After'!A:H,1,FALSE)=$A282,VLOOKUP($A282,'BU Raw After'!A:H,7,FALSE),0),0)</f>
        <v>0</v>
      </c>
      <c r="O282" s="6">
        <f t="shared" si="36"/>
        <v>0</v>
      </c>
      <c r="P282" s="7">
        <f t="shared" si="37"/>
        <v>0</v>
      </c>
      <c r="Q282" s="6">
        <f>_xlfn.IFNA(IF(VLOOKUP($A282,'BU Raw Before'!A:H,1,FALSE)=$A282,VLOOKUP($A282,'BU Raw Before'!A:H,8,FALSE),0),0)</f>
        <v>0</v>
      </c>
      <c r="R282" s="6">
        <f>_xlfn.IFNA(IF(VLOOKUP($A282,'BU Raw After'!A:H,1,FALSE)=$A282,VLOOKUP($A282,'BU Raw After'!A:H,8,FALSE),0),0)</f>
        <v>0</v>
      </c>
      <c r="S282" s="6">
        <f t="shared" si="38"/>
        <v>0</v>
      </c>
      <c r="T282" s="7">
        <f t="shared" si="39"/>
        <v>0</v>
      </c>
    </row>
    <row r="283" spans="1:20" ht="15" x14ac:dyDescent="0.25">
      <c r="A283" t="s">
        <v>367</v>
      </c>
      <c r="B283" t="s">
        <v>215</v>
      </c>
      <c r="C283" t="s">
        <v>286</v>
      </c>
      <c r="D283" t="s">
        <v>21</v>
      </c>
      <c r="E283" s="6">
        <f>_xlfn.IFNA(IF(VLOOKUP($A283,'BU Raw Before'!A:H,1,FALSE)=$A283,VLOOKUP($A283,'BU Raw Before'!A:H,5,FALSE),0),0)</f>
        <v>0</v>
      </c>
      <c r="F283" s="6">
        <f>_xlfn.IFNA(IF(VLOOKUP($A283,'BU Raw After'!A:H,1,FALSE)=$A283,VLOOKUP($A283,'BU Raw After'!A:H,5,FALSE),0),0)</f>
        <v>0</v>
      </c>
      <c r="G283" s="6">
        <f t="shared" si="32"/>
        <v>0</v>
      </c>
      <c r="H283" s="7">
        <f t="shared" si="33"/>
        <v>0</v>
      </c>
      <c r="I283" s="6">
        <f>_xlfn.IFNA(IF(VLOOKUP($A283,'BU Raw Before'!A:H,1,FALSE)=$A283,VLOOKUP($A283,'BU Raw Before'!A:H,6,FALSE),0),0)</f>
        <v>0</v>
      </c>
      <c r="J283" s="6">
        <f>_xlfn.IFNA(IF(VLOOKUP($A283,'BU Raw After'!A:H,1,FALSE)=$A283,VLOOKUP($A283,'BU Raw After'!A:H,6,FALSE),0),0)</f>
        <v>0</v>
      </c>
      <c r="K283" s="6">
        <f t="shared" si="34"/>
        <v>0</v>
      </c>
      <c r="L283" s="7">
        <f t="shared" si="35"/>
        <v>0</v>
      </c>
      <c r="M283" s="6">
        <f>_xlfn.IFNA(IF(VLOOKUP($A283,'BU Raw Before'!A:H,1,FALSE)=$A283,VLOOKUP($A283,'BU Raw Before'!A:H,7,FALSE),0),0)</f>
        <v>0</v>
      </c>
      <c r="N283" s="6">
        <f>_xlfn.IFNA(IF(VLOOKUP($A283,'BU Raw After'!A:H,1,FALSE)=$A283,VLOOKUP($A283,'BU Raw After'!A:H,7,FALSE),0),0)</f>
        <v>0</v>
      </c>
      <c r="O283" s="6">
        <f t="shared" si="36"/>
        <v>0</v>
      </c>
      <c r="P283" s="7">
        <f t="shared" si="37"/>
        <v>0</v>
      </c>
      <c r="Q283" s="6">
        <f>_xlfn.IFNA(IF(VLOOKUP($A283,'BU Raw Before'!A:H,1,FALSE)=$A283,VLOOKUP($A283,'BU Raw Before'!A:H,8,FALSE),0),0)</f>
        <v>0</v>
      </c>
      <c r="R283" s="6">
        <f>_xlfn.IFNA(IF(VLOOKUP($A283,'BU Raw After'!A:H,1,FALSE)=$A283,VLOOKUP($A283,'BU Raw After'!A:H,8,FALSE),0),0)</f>
        <v>0</v>
      </c>
      <c r="S283" s="6">
        <f t="shared" si="38"/>
        <v>0</v>
      </c>
      <c r="T283" s="7">
        <f t="shared" si="39"/>
        <v>0</v>
      </c>
    </row>
    <row r="284" spans="1:20" ht="15" x14ac:dyDescent="0.25">
      <c r="A284" t="s">
        <v>247</v>
      </c>
      <c r="B284" t="s">
        <v>248</v>
      </c>
      <c r="C284" t="s">
        <v>6</v>
      </c>
      <c r="D284" t="s">
        <v>7</v>
      </c>
      <c r="E284" s="6">
        <f>_xlfn.IFNA(IF(VLOOKUP($A284,'BU Raw Before'!A:H,1,FALSE)=$A284,VLOOKUP($A284,'BU Raw Before'!A:H,5,FALSE),0),0)</f>
        <v>0</v>
      </c>
      <c r="F284" s="6">
        <f>_xlfn.IFNA(IF(VLOOKUP($A284,'BU Raw After'!A:H,1,FALSE)=$A284,VLOOKUP($A284,'BU Raw After'!A:H,5,FALSE),0),0)</f>
        <v>0</v>
      </c>
      <c r="G284" s="6">
        <f t="shared" si="32"/>
        <v>0</v>
      </c>
      <c r="H284" s="7">
        <f t="shared" si="33"/>
        <v>0</v>
      </c>
      <c r="I284" s="6">
        <f>_xlfn.IFNA(IF(VLOOKUP($A284,'BU Raw Before'!A:H,1,FALSE)=$A284,VLOOKUP($A284,'BU Raw Before'!A:H,6,FALSE),0),0)</f>
        <v>0</v>
      </c>
      <c r="J284" s="6">
        <f>_xlfn.IFNA(IF(VLOOKUP($A284,'BU Raw After'!A:H,1,FALSE)=$A284,VLOOKUP($A284,'BU Raw After'!A:H,6,FALSE),0),0)</f>
        <v>0</v>
      </c>
      <c r="K284" s="6">
        <f t="shared" si="34"/>
        <v>0</v>
      </c>
      <c r="L284" s="7">
        <f t="shared" si="35"/>
        <v>0</v>
      </c>
      <c r="M284" s="6">
        <f>_xlfn.IFNA(IF(VLOOKUP($A284,'BU Raw Before'!A:H,1,FALSE)=$A284,VLOOKUP($A284,'BU Raw Before'!A:H,7,FALSE),0),0)</f>
        <v>0</v>
      </c>
      <c r="N284" s="6">
        <f>_xlfn.IFNA(IF(VLOOKUP($A284,'BU Raw After'!A:H,1,FALSE)=$A284,VLOOKUP($A284,'BU Raw After'!A:H,7,FALSE),0),0)</f>
        <v>0</v>
      </c>
      <c r="O284" s="6">
        <f t="shared" si="36"/>
        <v>0</v>
      </c>
      <c r="P284" s="7">
        <f t="shared" si="37"/>
        <v>0</v>
      </c>
      <c r="Q284" s="6">
        <f>_xlfn.IFNA(IF(VLOOKUP($A284,'BU Raw Before'!A:H,1,FALSE)=$A284,VLOOKUP($A284,'BU Raw Before'!A:H,8,FALSE),0),0)</f>
        <v>0</v>
      </c>
      <c r="R284" s="6">
        <f>_xlfn.IFNA(IF(VLOOKUP($A284,'BU Raw After'!A:H,1,FALSE)=$A284,VLOOKUP($A284,'BU Raw After'!A:H,8,FALSE),0),0)</f>
        <v>0</v>
      </c>
      <c r="S284" s="6">
        <f t="shared" si="38"/>
        <v>0</v>
      </c>
      <c r="T284" s="7">
        <f t="shared" si="39"/>
        <v>0</v>
      </c>
    </row>
    <row r="285" spans="1:20" ht="15" x14ac:dyDescent="0.25">
      <c r="A285" t="s">
        <v>249</v>
      </c>
      <c r="B285" t="s">
        <v>248</v>
      </c>
      <c r="C285" t="s">
        <v>6</v>
      </c>
      <c r="D285" t="s">
        <v>9</v>
      </c>
      <c r="E285" s="6">
        <f>_xlfn.IFNA(IF(VLOOKUP($A285,'BU Raw Before'!A:H,1,FALSE)=$A285,VLOOKUP($A285,'BU Raw Before'!A:H,5,FALSE),0),0)</f>
        <v>0</v>
      </c>
      <c r="F285" s="6">
        <f>_xlfn.IFNA(IF(VLOOKUP($A285,'BU Raw After'!A:H,1,FALSE)=$A285,VLOOKUP($A285,'BU Raw After'!A:H,5,FALSE),0),0)</f>
        <v>0</v>
      </c>
      <c r="G285" s="6">
        <f t="shared" si="32"/>
        <v>0</v>
      </c>
      <c r="H285" s="7">
        <f t="shared" si="33"/>
        <v>0</v>
      </c>
      <c r="I285" s="6">
        <f>_xlfn.IFNA(IF(VLOOKUP($A285,'BU Raw Before'!A:H,1,FALSE)=$A285,VLOOKUP($A285,'BU Raw Before'!A:H,6,FALSE),0),0)</f>
        <v>0</v>
      </c>
      <c r="J285" s="6">
        <f>_xlfn.IFNA(IF(VLOOKUP($A285,'BU Raw After'!A:H,1,FALSE)=$A285,VLOOKUP($A285,'BU Raw After'!A:H,6,FALSE),0),0)</f>
        <v>0</v>
      </c>
      <c r="K285" s="6">
        <f t="shared" si="34"/>
        <v>0</v>
      </c>
      <c r="L285" s="7">
        <f t="shared" si="35"/>
        <v>0</v>
      </c>
      <c r="M285" s="6">
        <f>_xlfn.IFNA(IF(VLOOKUP($A285,'BU Raw Before'!A:H,1,FALSE)=$A285,VLOOKUP($A285,'BU Raw Before'!A:H,7,FALSE),0),0)</f>
        <v>0</v>
      </c>
      <c r="N285" s="6">
        <f>_xlfn.IFNA(IF(VLOOKUP($A285,'BU Raw After'!A:H,1,FALSE)=$A285,VLOOKUP($A285,'BU Raw After'!A:H,7,FALSE),0),0)</f>
        <v>0</v>
      </c>
      <c r="O285" s="6">
        <f t="shared" si="36"/>
        <v>0</v>
      </c>
      <c r="P285" s="7">
        <f t="shared" si="37"/>
        <v>0</v>
      </c>
      <c r="Q285" s="6">
        <f>_xlfn.IFNA(IF(VLOOKUP($A285,'BU Raw Before'!A:H,1,FALSE)=$A285,VLOOKUP($A285,'BU Raw Before'!A:H,8,FALSE),0),0)</f>
        <v>0</v>
      </c>
      <c r="R285" s="6">
        <f>_xlfn.IFNA(IF(VLOOKUP($A285,'BU Raw After'!A:H,1,FALSE)=$A285,VLOOKUP($A285,'BU Raw After'!A:H,8,FALSE),0),0)</f>
        <v>0</v>
      </c>
      <c r="S285" s="6">
        <f t="shared" si="38"/>
        <v>0</v>
      </c>
      <c r="T285" s="7">
        <f t="shared" si="39"/>
        <v>0</v>
      </c>
    </row>
    <row r="286" spans="1:20" ht="15" x14ac:dyDescent="0.25">
      <c r="A286" t="s">
        <v>250</v>
      </c>
      <c r="B286" t="s">
        <v>248</v>
      </c>
      <c r="C286" t="s">
        <v>6</v>
      </c>
      <c r="D286" t="s">
        <v>11</v>
      </c>
      <c r="E286" s="6">
        <f>_xlfn.IFNA(IF(VLOOKUP($A286,'BU Raw Before'!A:H,1,FALSE)=$A286,VLOOKUP($A286,'BU Raw Before'!A:H,5,FALSE),0),0)</f>
        <v>0</v>
      </c>
      <c r="F286" s="6">
        <f>_xlfn.IFNA(IF(VLOOKUP($A286,'BU Raw After'!A:H,1,FALSE)=$A286,VLOOKUP($A286,'BU Raw After'!A:H,5,FALSE),0),0)</f>
        <v>0</v>
      </c>
      <c r="G286" s="6">
        <f t="shared" si="32"/>
        <v>0</v>
      </c>
      <c r="H286" s="7">
        <f t="shared" si="33"/>
        <v>0</v>
      </c>
      <c r="I286" s="6">
        <f>_xlfn.IFNA(IF(VLOOKUP($A286,'BU Raw Before'!A:H,1,FALSE)=$A286,VLOOKUP($A286,'BU Raw Before'!A:H,6,FALSE),0),0)</f>
        <v>0</v>
      </c>
      <c r="J286" s="6">
        <f>_xlfn.IFNA(IF(VLOOKUP($A286,'BU Raw After'!A:H,1,FALSE)=$A286,VLOOKUP($A286,'BU Raw After'!A:H,6,FALSE),0),0)</f>
        <v>0</v>
      </c>
      <c r="K286" s="6">
        <f t="shared" si="34"/>
        <v>0</v>
      </c>
      <c r="L286" s="7">
        <f t="shared" si="35"/>
        <v>0</v>
      </c>
      <c r="M286" s="6">
        <f>_xlfn.IFNA(IF(VLOOKUP($A286,'BU Raw Before'!A:H,1,FALSE)=$A286,VLOOKUP($A286,'BU Raw Before'!A:H,7,FALSE),0),0)</f>
        <v>0</v>
      </c>
      <c r="N286" s="6">
        <f>_xlfn.IFNA(IF(VLOOKUP($A286,'BU Raw After'!A:H,1,FALSE)=$A286,VLOOKUP($A286,'BU Raw After'!A:H,7,FALSE),0),0)</f>
        <v>0</v>
      </c>
      <c r="O286" s="6">
        <f t="shared" si="36"/>
        <v>0</v>
      </c>
      <c r="P286" s="7">
        <f t="shared" si="37"/>
        <v>0</v>
      </c>
      <c r="Q286" s="6">
        <f>_xlfn.IFNA(IF(VLOOKUP($A286,'BU Raw Before'!A:H,1,FALSE)=$A286,VLOOKUP($A286,'BU Raw Before'!A:H,8,FALSE),0),0)</f>
        <v>0</v>
      </c>
      <c r="R286" s="6">
        <f>_xlfn.IFNA(IF(VLOOKUP($A286,'BU Raw After'!A:H,1,FALSE)=$A286,VLOOKUP($A286,'BU Raw After'!A:H,8,FALSE),0),0)</f>
        <v>0</v>
      </c>
      <c r="S286" s="6">
        <f t="shared" si="38"/>
        <v>0</v>
      </c>
      <c r="T286" s="7">
        <f t="shared" si="39"/>
        <v>0</v>
      </c>
    </row>
    <row r="287" spans="1:20" ht="15" x14ac:dyDescent="0.25">
      <c r="A287" t="s">
        <v>251</v>
      </c>
      <c r="B287" t="s">
        <v>248</v>
      </c>
      <c r="C287" t="s">
        <v>6</v>
      </c>
      <c r="D287" t="s">
        <v>13</v>
      </c>
      <c r="E287" s="6">
        <f>_xlfn.IFNA(IF(VLOOKUP($A287,'BU Raw Before'!A:H,1,FALSE)=$A287,VLOOKUP($A287,'BU Raw Before'!A:H,5,FALSE),0),0)</f>
        <v>0</v>
      </c>
      <c r="F287" s="6">
        <f>_xlfn.IFNA(IF(VLOOKUP($A287,'BU Raw After'!A:H,1,FALSE)=$A287,VLOOKUP($A287,'BU Raw After'!A:H,5,FALSE),0),0)</f>
        <v>0</v>
      </c>
      <c r="G287" s="6">
        <f t="shared" si="32"/>
        <v>0</v>
      </c>
      <c r="H287" s="7">
        <f t="shared" si="33"/>
        <v>0</v>
      </c>
      <c r="I287" s="6">
        <f>_xlfn.IFNA(IF(VLOOKUP($A287,'BU Raw Before'!A:H,1,FALSE)=$A287,VLOOKUP($A287,'BU Raw Before'!A:H,6,FALSE),0),0)</f>
        <v>0</v>
      </c>
      <c r="J287" s="6">
        <f>_xlfn.IFNA(IF(VLOOKUP($A287,'BU Raw After'!A:H,1,FALSE)=$A287,VLOOKUP($A287,'BU Raw After'!A:H,6,FALSE),0),0)</f>
        <v>0</v>
      </c>
      <c r="K287" s="6">
        <f t="shared" si="34"/>
        <v>0</v>
      </c>
      <c r="L287" s="7">
        <f t="shared" si="35"/>
        <v>0</v>
      </c>
      <c r="M287" s="6">
        <f>_xlfn.IFNA(IF(VLOOKUP($A287,'BU Raw Before'!A:H,1,FALSE)=$A287,VLOOKUP($A287,'BU Raw Before'!A:H,7,FALSE),0),0)</f>
        <v>0</v>
      </c>
      <c r="N287" s="6">
        <f>_xlfn.IFNA(IF(VLOOKUP($A287,'BU Raw After'!A:H,1,FALSE)=$A287,VLOOKUP($A287,'BU Raw After'!A:H,7,FALSE),0),0)</f>
        <v>0</v>
      </c>
      <c r="O287" s="6">
        <f t="shared" si="36"/>
        <v>0</v>
      </c>
      <c r="P287" s="7">
        <f t="shared" si="37"/>
        <v>0</v>
      </c>
      <c r="Q287" s="6">
        <f>_xlfn.IFNA(IF(VLOOKUP($A287,'BU Raw Before'!A:H,1,FALSE)=$A287,VLOOKUP($A287,'BU Raw Before'!A:H,8,FALSE),0),0)</f>
        <v>0</v>
      </c>
      <c r="R287" s="6">
        <f>_xlfn.IFNA(IF(VLOOKUP($A287,'BU Raw After'!A:H,1,FALSE)=$A287,VLOOKUP($A287,'BU Raw After'!A:H,8,FALSE),0),0)</f>
        <v>0</v>
      </c>
      <c r="S287" s="6">
        <f t="shared" si="38"/>
        <v>0</v>
      </c>
      <c r="T287" s="7">
        <f t="shared" si="39"/>
        <v>0</v>
      </c>
    </row>
    <row r="288" spans="1:20" ht="15" x14ac:dyDescent="0.25">
      <c r="A288" t="s">
        <v>252</v>
      </c>
      <c r="B288" t="s">
        <v>248</v>
      </c>
      <c r="C288" t="s">
        <v>6</v>
      </c>
      <c r="D288" t="s">
        <v>15</v>
      </c>
      <c r="E288" s="6">
        <f>_xlfn.IFNA(IF(VLOOKUP($A288,'BU Raw Before'!A:H,1,FALSE)=$A288,VLOOKUP($A288,'BU Raw Before'!A:H,5,FALSE),0),0)</f>
        <v>0</v>
      </c>
      <c r="F288" s="6">
        <f>_xlfn.IFNA(IF(VLOOKUP($A288,'BU Raw After'!A:H,1,FALSE)=$A288,VLOOKUP($A288,'BU Raw After'!A:H,5,FALSE),0),0)</f>
        <v>0</v>
      </c>
      <c r="G288" s="6">
        <f t="shared" si="32"/>
        <v>0</v>
      </c>
      <c r="H288" s="7">
        <f t="shared" si="33"/>
        <v>0</v>
      </c>
      <c r="I288" s="6">
        <f>_xlfn.IFNA(IF(VLOOKUP($A288,'BU Raw Before'!A:H,1,FALSE)=$A288,VLOOKUP($A288,'BU Raw Before'!A:H,6,FALSE),0),0)</f>
        <v>0</v>
      </c>
      <c r="J288" s="6">
        <f>_xlfn.IFNA(IF(VLOOKUP($A288,'BU Raw After'!A:H,1,FALSE)=$A288,VLOOKUP($A288,'BU Raw After'!A:H,6,FALSE),0),0)</f>
        <v>0</v>
      </c>
      <c r="K288" s="6">
        <f t="shared" si="34"/>
        <v>0</v>
      </c>
      <c r="L288" s="7">
        <f t="shared" si="35"/>
        <v>0</v>
      </c>
      <c r="M288" s="6">
        <f>_xlfn.IFNA(IF(VLOOKUP($A288,'BU Raw Before'!A:H,1,FALSE)=$A288,VLOOKUP($A288,'BU Raw Before'!A:H,7,FALSE),0),0)</f>
        <v>0</v>
      </c>
      <c r="N288" s="6">
        <f>_xlfn.IFNA(IF(VLOOKUP($A288,'BU Raw After'!A:H,1,FALSE)=$A288,VLOOKUP($A288,'BU Raw After'!A:H,7,FALSE),0),0)</f>
        <v>0</v>
      </c>
      <c r="O288" s="6">
        <f t="shared" si="36"/>
        <v>0</v>
      </c>
      <c r="P288" s="7">
        <f t="shared" si="37"/>
        <v>0</v>
      </c>
      <c r="Q288" s="6">
        <f>_xlfn.IFNA(IF(VLOOKUP($A288,'BU Raw Before'!A:H,1,FALSE)=$A288,VLOOKUP($A288,'BU Raw Before'!A:H,8,FALSE),0),0)</f>
        <v>0</v>
      </c>
      <c r="R288" s="6">
        <f>_xlfn.IFNA(IF(VLOOKUP($A288,'BU Raw After'!A:H,1,FALSE)=$A288,VLOOKUP($A288,'BU Raw After'!A:H,8,FALSE),0),0)</f>
        <v>0</v>
      </c>
      <c r="S288" s="6">
        <f t="shared" si="38"/>
        <v>0</v>
      </c>
      <c r="T288" s="7">
        <f t="shared" si="39"/>
        <v>0</v>
      </c>
    </row>
    <row r="289" spans="1:20" ht="15" x14ac:dyDescent="0.25">
      <c r="A289" t="s">
        <v>253</v>
      </c>
      <c r="B289" t="s">
        <v>248</v>
      </c>
      <c r="C289" t="s">
        <v>6</v>
      </c>
      <c r="D289" t="s">
        <v>17</v>
      </c>
      <c r="E289" s="6">
        <f>_xlfn.IFNA(IF(VLOOKUP($A289,'BU Raw Before'!A:H,1,FALSE)=$A289,VLOOKUP($A289,'BU Raw Before'!A:H,5,FALSE),0),0)</f>
        <v>0</v>
      </c>
      <c r="F289" s="6">
        <f>_xlfn.IFNA(IF(VLOOKUP($A289,'BU Raw After'!A:H,1,FALSE)=$A289,VLOOKUP($A289,'BU Raw After'!A:H,5,FALSE),0),0)</f>
        <v>0</v>
      </c>
      <c r="G289" s="6">
        <f t="shared" si="32"/>
        <v>0</v>
      </c>
      <c r="H289" s="7">
        <f t="shared" si="33"/>
        <v>0</v>
      </c>
      <c r="I289" s="6">
        <f>_xlfn.IFNA(IF(VLOOKUP($A289,'BU Raw Before'!A:H,1,FALSE)=$A289,VLOOKUP($A289,'BU Raw Before'!A:H,6,FALSE),0),0)</f>
        <v>0</v>
      </c>
      <c r="J289" s="6">
        <f>_xlfn.IFNA(IF(VLOOKUP($A289,'BU Raw After'!A:H,1,FALSE)=$A289,VLOOKUP($A289,'BU Raw After'!A:H,6,FALSE),0),0)</f>
        <v>0</v>
      </c>
      <c r="K289" s="6">
        <f t="shared" si="34"/>
        <v>0</v>
      </c>
      <c r="L289" s="7">
        <f t="shared" si="35"/>
        <v>0</v>
      </c>
      <c r="M289" s="6">
        <f>_xlfn.IFNA(IF(VLOOKUP($A289,'BU Raw Before'!A:H,1,FALSE)=$A289,VLOOKUP($A289,'BU Raw Before'!A:H,7,FALSE),0),0)</f>
        <v>0</v>
      </c>
      <c r="N289" s="6">
        <f>_xlfn.IFNA(IF(VLOOKUP($A289,'BU Raw After'!A:H,1,FALSE)=$A289,VLOOKUP($A289,'BU Raw After'!A:H,7,FALSE),0),0)</f>
        <v>0</v>
      </c>
      <c r="O289" s="6">
        <f t="shared" si="36"/>
        <v>0</v>
      </c>
      <c r="P289" s="7">
        <f t="shared" si="37"/>
        <v>0</v>
      </c>
      <c r="Q289" s="6">
        <f>_xlfn.IFNA(IF(VLOOKUP($A289,'BU Raw Before'!A:H,1,FALSE)=$A289,VLOOKUP($A289,'BU Raw Before'!A:H,8,FALSE),0),0)</f>
        <v>0</v>
      </c>
      <c r="R289" s="6">
        <f>_xlfn.IFNA(IF(VLOOKUP($A289,'BU Raw After'!A:H,1,FALSE)=$A289,VLOOKUP($A289,'BU Raw After'!A:H,8,FALSE),0),0)</f>
        <v>0</v>
      </c>
      <c r="S289" s="6">
        <f t="shared" si="38"/>
        <v>0</v>
      </c>
      <c r="T289" s="7">
        <f t="shared" si="39"/>
        <v>0</v>
      </c>
    </row>
    <row r="290" spans="1:20" ht="15" x14ac:dyDescent="0.25">
      <c r="A290" t="s">
        <v>254</v>
      </c>
      <c r="B290" t="s">
        <v>248</v>
      </c>
      <c r="C290" t="s">
        <v>6</v>
      </c>
      <c r="D290" t="s">
        <v>19</v>
      </c>
      <c r="E290" s="6">
        <f>_xlfn.IFNA(IF(VLOOKUP($A290,'BU Raw Before'!A:H,1,FALSE)=$A290,VLOOKUP($A290,'BU Raw Before'!A:H,5,FALSE),0),0)</f>
        <v>0</v>
      </c>
      <c r="F290" s="6">
        <f>_xlfn.IFNA(IF(VLOOKUP($A290,'BU Raw After'!A:H,1,FALSE)=$A290,VLOOKUP($A290,'BU Raw After'!A:H,5,FALSE),0),0)</f>
        <v>0</v>
      </c>
      <c r="G290" s="6">
        <f t="shared" si="32"/>
        <v>0</v>
      </c>
      <c r="H290" s="7">
        <f t="shared" si="33"/>
        <v>0</v>
      </c>
      <c r="I290" s="6">
        <f>_xlfn.IFNA(IF(VLOOKUP($A290,'BU Raw Before'!A:H,1,FALSE)=$A290,VLOOKUP($A290,'BU Raw Before'!A:H,6,FALSE),0),0)</f>
        <v>0</v>
      </c>
      <c r="J290" s="6">
        <f>_xlfn.IFNA(IF(VLOOKUP($A290,'BU Raw After'!A:H,1,FALSE)=$A290,VLOOKUP($A290,'BU Raw After'!A:H,6,FALSE),0),0)</f>
        <v>0</v>
      </c>
      <c r="K290" s="6">
        <f t="shared" si="34"/>
        <v>0</v>
      </c>
      <c r="L290" s="7">
        <f t="shared" si="35"/>
        <v>0</v>
      </c>
      <c r="M290" s="6">
        <f>_xlfn.IFNA(IF(VLOOKUP($A290,'BU Raw Before'!A:H,1,FALSE)=$A290,VLOOKUP($A290,'BU Raw Before'!A:H,7,FALSE),0),0)</f>
        <v>0</v>
      </c>
      <c r="N290" s="6">
        <f>_xlfn.IFNA(IF(VLOOKUP($A290,'BU Raw After'!A:H,1,FALSE)=$A290,VLOOKUP($A290,'BU Raw After'!A:H,7,FALSE),0),0)</f>
        <v>0</v>
      </c>
      <c r="O290" s="6">
        <f t="shared" si="36"/>
        <v>0</v>
      </c>
      <c r="P290" s="7">
        <f t="shared" si="37"/>
        <v>0</v>
      </c>
      <c r="Q290" s="6">
        <f>_xlfn.IFNA(IF(VLOOKUP($A290,'BU Raw Before'!A:H,1,FALSE)=$A290,VLOOKUP($A290,'BU Raw Before'!A:H,8,FALSE),0),0)</f>
        <v>0</v>
      </c>
      <c r="R290" s="6">
        <f>_xlfn.IFNA(IF(VLOOKUP($A290,'BU Raw After'!A:H,1,FALSE)=$A290,VLOOKUP($A290,'BU Raw After'!A:H,8,FALSE),0),0)</f>
        <v>0</v>
      </c>
      <c r="S290" s="6">
        <f t="shared" si="38"/>
        <v>0</v>
      </c>
      <c r="T290" s="7">
        <f t="shared" si="39"/>
        <v>0</v>
      </c>
    </row>
    <row r="291" spans="1:20" ht="15" x14ac:dyDescent="0.25">
      <c r="A291" t="s">
        <v>255</v>
      </c>
      <c r="B291" t="s">
        <v>248</v>
      </c>
      <c r="C291" t="s">
        <v>6</v>
      </c>
      <c r="D291" t="s">
        <v>21</v>
      </c>
      <c r="E291" s="6">
        <f>_xlfn.IFNA(IF(VLOOKUP($A291,'BU Raw Before'!A:H,1,FALSE)=$A291,VLOOKUP($A291,'BU Raw Before'!A:H,5,FALSE),0),0)</f>
        <v>0</v>
      </c>
      <c r="F291" s="6">
        <f>_xlfn.IFNA(IF(VLOOKUP($A291,'BU Raw After'!A:H,1,FALSE)=$A291,VLOOKUP($A291,'BU Raw After'!A:H,5,FALSE),0),0)</f>
        <v>0</v>
      </c>
      <c r="G291" s="6">
        <f t="shared" si="32"/>
        <v>0</v>
      </c>
      <c r="H291" s="7">
        <f t="shared" si="33"/>
        <v>0</v>
      </c>
      <c r="I291" s="6">
        <f>_xlfn.IFNA(IF(VLOOKUP($A291,'BU Raw Before'!A:H,1,FALSE)=$A291,VLOOKUP($A291,'BU Raw Before'!A:H,6,FALSE),0),0)</f>
        <v>0</v>
      </c>
      <c r="J291" s="6">
        <f>_xlfn.IFNA(IF(VLOOKUP($A291,'BU Raw After'!A:H,1,FALSE)=$A291,VLOOKUP($A291,'BU Raw After'!A:H,6,FALSE),0),0)</f>
        <v>0</v>
      </c>
      <c r="K291" s="6">
        <f t="shared" si="34"/>
        <v>0</v>
      </c>
      <c r="L291" s="7">
        <f t="shared" si="35"/>
        <v>0</v>
      </c>
      <c r="M291" s="6">
        <f>_xlfn.IFNA(IF(VLOOKUP($A291,'BU Raw Before'!A:H,1,FALSE)=$A291,VLOOKUP($A291,'BU Raw Before'!A:H,7,FALSE),0),0)</f>
        <v>0</v>
      </c>
      <c r="N291" s="6">
        <f>_xlfn.IFNA(IF(VLOOKUP($A291,'BU Raw After'!A:H,1,FALSE)=$A291,VLOOKUP($A291,'BU Raw After'!A:H,7,FALSE),0),0)</f>
        <v>0</v>
      </c>
      <c r="O291" s="6">
        <f t="shared" si="36"/>
        <v>0</v>
      </c>
      <c r="P291" s="7">
        <f t="shared" si="37"/>
        <v>0</v>
      </c>
      <c r="Q291" s="6">
        <f>_xlfn.IFNA(IF(VLOOKUP($A291,'BU Raw Before'!A:H,1,FALSE)=$A291,VLOOKUP($A291,'BU Raw Before'!A:H,8,FALSE),0),0)</f>
        <v>0</v>
      </c>
      <c r="R291" s="6">
        <f>_xlfn.IFNA(IF(VLOOKUP($A291,'BU Raw After'!A:H,1,FALSE)=$A291,VLOOKUP($A291,'BU Raw After'!A:H,8,FALSE),0),0)</f>
        <v>0</v>
      </c>
      <c r="S291" s="6">
        <f t="shared" si="38"/>
        <v>0</v>
      </c>
      <c r="T291" s="7">
        <f t="shared" si="39"/>
        <v>0</v>
      </c>
    </row>
    <row r="292" spans="1:20" ht="15" x14ac:dyDescent="0.25">
      <c r="A292" t="s">
        <v>256</v>
      </c>
      <c r="B292" t="s">
        <v>248</v>
      </c>
      <c r="C292" t="s">
        <v>23</v>
      </c>
      <c r="D292" t="s">
        <v>7</v>
      </c>
      <c r="E292" s="6">
        <f>_xlfn.IFNA(IF(VLOOKUP($A292,'BU Raw Before'!A:H,1,FALSE)=$A292,VLOOKUP($A292,'BU Raw Before'!A:H,5,FALSE),0),0)</f>
        <v>0</v>
      </c>
      <c r="F292" s="6">
        <f>_xlfn.IFNA(IF(VLOOKUP($A292,'BU Raw After'!A:H,1,FALSE)=$A292,VLOOKUP($A292,'BU Raw After'!A:H,5,FALSE),0),0)</f>
        <v>0</v>
      </c>
      <c r="G292" s="6">
        <f t="shared" ref="G292:G323" si="40">F292-E292</f>
        <v>0</v>
      </c>
      <c r="H292" s="7">
        <f t="shared" ref="H292:H323" si="41">IFERROR(G292/F292,0)</f>
        <v>0</v>
      </c>
      <c r="I292" s="6">
        <f>_xlfn.IFNA(IF(VLOOKUP($A292,'BU Raw Before'!A:H,1,FALSE)=$A292,VLOOKUP($A292,'BU Raw Before'!A:H,6,FALSE),0),0)</f>
        <v>0</v>
      </c>
      <c r="J292" s="6">
        <f>_xlfn.IFNA(IF(VLOOKUP($A292,'BU Raw After'!A:H,1,FALSE)=$A292,VLOOKUP($A292,'BU Raw After'!A:H,6,FALSE),0),0)</f>
        <v>0</v>
      </c>
      <c r="K292" s="6">
        <f t="shared" ref="K292:K323" si="42">J292-I292</f>
        <v>0</v>
      </c>
      <c r="L292" s="7">
        <f t="shared" ref="L292:L323" si="43">IFERROR(K292/J292,0)</f>
        <v>0</v>
      </c>
      <c r="M292" s="6">
        <f>_xlfn.IFNA(IF(VLOOKUP($A292,'BU Raw Before'!A:H,1,FALSE)=$A292,VLOOKUP($A292,'BU Raw Before'!A:H,7,FALSE),0),0)</f>
        <v>0</v>
      </c>
      <c r="N292" s="6">
        <f>_xlfn.IFNA(IF(VLOOKUP($A292,'BU Raw After'!A:H,1,FALSE)=$A292,VLOOKUP($A292,'BU Raw After'!A:H,7,FALSE),0),0)</f>
        <v>0</v>
      </c>
      <c r="O292" s="6">
        <f t="shared" ref="O292:O323" si="44">N292-M292</f>
        <v>0</v>
      </c>
      <c r="P292" s="7">
        <f t="shared" ref="P292:P323" si="45">IFERROR(O292/N292,0)</f>
        <v>0</v>
      </c>
      <c r="Q292" s="6">
        <f>_xlfn.IFNA(IF(VLOOKUP($A292,'BU Raw Before'!A:H,1,FALSE)=$A292,VLOOKUP($A292,'BU Raw Before'!A:H,8,FALSE),0),0)</f>
        <v>0</v>
      </c>
      <c r="R292" s="6">
        <f>_xlfn.IFNA(IF(VLOOKUP($A292,'BU Raw After'!A:H,1,FALSE)=$A292,VLOOKUP($A292,'BU Raw After'!A:H,8,FALSE),0),0)</f>
        <v>0</v>
      </c>
      <c r="S292" s="6">
        <f t="shared" ref="S292:S323" si="46">R292-Q292</f>
        <v>0</v>
      </c>
      <c r="T292" s="7">
        <f t="shared" ref="T292:T323" si="47">IFERROR(S292/R292,0)</f>
        <v>0</v>
      </c>
    </row>
    <row r="293" spans="1:20" ht="15" x14ac:dyDescent="0.25">
      <c r="A293" t="s">
        <v>257</v>
      </c>
      <c r="B293" t="s">
        <v>248</v>
      </c>
      <c r="C293" t="s">
        <v>23</v>
      </c>
      <c r="D293" t="s">
        <v>9</v>
      </c>
      <c r="E293" s="6">
        <f>_xlfn.IFNA(IF(VLOOKUP($A293,'BU Raw Before'!A:H,1,FALSE)=$A293,VLOOKUP($A293,'BU Raw Before'!A:H,5,FALSE),0),0)</f>
        <v>0</v>
      </c>
      <c r="F293" s="6">
        <f>_xlfn.IFNA(IF(VLOOKUP($A293,'BU Raw After'!A:H,1,FALSE)=$A293,VLOOKUP($A293,'BU Raw After'!A:H,5,FALSE),0),0)</f>
        <v>0</v>
      </c>
      <c r="G293" s="6">
        <f t="shared" si="40"/>
        <v>0</v>
      </c>
      <c r="H293" s="7">
        <f t="shared" si="41"/>
        <v>0</v>
      </c>
      <c r="I293" s="6">
        <f>_xlfn.IFNA(IF(VLOOKUP($A293,'BU Raw Before'!A:H,1,FALSE)=$A293,VLOOKUP($A293,'BU Raw Before'!A:H,6,FALSE),0),0)</f>
        <v>0</v>
      </c>
      <c r="J293" s="6">
        <f>_xlfn.IFNA(IF(VLOOKUP($A293,'BU Raw After'!A:H,1,FALSE)=$A293,VLOOKUP($A293,'BU Raw After'!A:H,6,FALSE),0),0)</f>
        <v>0</v>
      </c>
      <c r="K293" s="6">
        <f t="shared" si="42"/>
        <v>0</v>
      </c>
      <c r="L293" s="7">
        <f t="shared" si="43"/>
        <v>0</v>
      </c>
      <c r="M293" s="6">
        <f>_xlfn.IFNA(IF(VLOOKUP($A293,'BU Raw Before'!A:H,1,FALSE)=$A293,VLOOKUP($A293,'BU Raw Before'!A:H,7,FALSE),0),0)</f>
        <v>0</v>
      </c>
      <c r="N293" s="6">
        <f>_xlfn.IFNA(IF(VLOOKUP($A293,'BU Raw After'!A:H,1,FALSE)=$A293,VLOOKUP($A293,'BU Raw After'!A:H,7,FALSE),0),0)</f>
        <v>0</v>
      </c>
      <c r="O293" s="6">
        <f t="shared" si="44"/>
        <v>0</v>
      </c>
      <c r="P293" s="7">
        <f t="shared" si="45"/>
        <v>0</v>
      </c>
      <c r="Q293" s="6">
        <f>_xlfn.IFNA(IF(VLOOKUP($A293,'BU Raw Before'!A:H,1,FALSE)=$A293,VLOOKUP($A293,'BU Raw Before'!A:H,8,FALSE),0),0)</f>
        <v>0</v>
      </c>
      <c r="R293" s="6">
        <f>_xlfn.IFNA(IF(VLOOKUP($A293,'BU Raw After'!A:H,1,FALSE)=$A293,VLOOKUP($A293,'BU Raw After'!A:H,8,FALSE),0),0)</f>
        <v>0</v>
      </c>
      <c r="S293" s="6">
        <f t="shared" si="46"/>
        <v>0</v>
      </c>
      <c r="T293" s="7">
        <f t="shared" si="47"/>
        <v>0</v>
      </c>
    </row>
    <row r="294" spans="1:20" ht="15" x14ac:dyDescent="0.25">
      <c r="A294" t="s">
        <v>258</v>
      </c>
      <c r="B294" t="s">
        <v>248</v>
      </c>
      <c r="C294" t="s">
        <v>23</v>
      </c>
      <c r="D294" t="s">
        <v>11</v>
      </c>
      <c r="E294" s="6">
        <f>_xlfn.IFNA(IF(VLOOKUP($A294,'BU Raw Before'!A:H,1,FALSE)=$A294,VLOOKUP($A294,'BU Raw Before'!A:H,5,FALSE),0),0)</f>
        <v>0</v>
      </c>
      <c r="F294" s="6">
        <f>_xlfn.IFNA(IF(VLOOKUP($A294,'BU Raw After'!A:H,1,FALSE)=$A294,VLOOKUP($A294,'BU Raw After'!A:H,5,FALSE),0),0)</f>
        <v>0</v>
      </c>
      <c r="G294" s="6">
        <f t="shared" si="40"/>
        <v>0</v>
      </c>
      <c r="H294" s="7">
        <f t="shared" si="41"/>
        <v>0</v>
      </c>
      <c r="I294" s="6">
        <f>_xlfn.IFNA(IF(VLOOKUP($A294,'BU Raw Before'!A:H,1,FALSE)=$A294,VLOOKUP($A294,'BU Raw Before'!A:H,6,FALSE),0),0)</f>
        <v>0</v>
      </c>
      <c r="J294" s="6">
        <f>_xlfn.IFNA(IF(VLOOKUP($A294,'BU Raw After'!A:H,1,FALSE)=$A294,VLOOKUP($A294,'BU Raw After'!A:H,6,FALSE),0),0)</f>
        <v>0</v>
      </c>
      <c r="K294" s="6">
        <f t="shared" si="42"/>
        <v>0</v>
      </c>
      <c r="L294" s="7">
        <f t="shared" si="43"/>
        <v>0</v>
      </c>
      <c r="M294" s="6">
        <f>_xlfn.IFNA(IF(VLOOKUP($A294,'BU Raw Before'!A:H,1,FALSE)=$A294,VLOOKUP($A294,'BU Raw Before'!A:H,7,FALSE),0),0)</f>
        <v>0</v>
      </c>
      <c r="N294" s="6">
        <f>_xlfn.IFNA(IF(VLOOKUP($A294,'BU Raw After'!A:H,1,FALSE)=$A294,VLOOKUP($A294,'BU Raw After'!A:H,7,FALSE),0),0)</f>
        <v>0</v>
      </c>
      <c r="O294" s="6">
        <f t="shared" si="44"/>
        <v>0</v>
      </c>
      <c r="P294" s="7">
        <f t="shared" si="45"/>
        <v>0</v>
      </c>
      <c r="Q294" s="6">
        <f>_xlfn.IFNA(IF(VLOOKUP($A294,'BU Raw Before'!A:H,1,FALSE)=$A294,VLOOKUP($A294,'BU Raw Before'!A:H,8,FALSE),0),0)</f>
        <v>0</v>
      </c>
      <c r="R294" s="6">
        <f>_xlfn.IFNA(IF(VLOOKUP($A294,'BU Raw After'!A:H,1,FALSE)=$A294,VLOOKUP($A294,'BU Raw After'!A:H,8,FALSE),0),0)</f>
        <v>0</v>
      </c>
      <c r="S294" s="6">
        <f t="shared" si="46"/>
        <v>0</v>
      </c>
      <c r="T294" s="7">
        <f t="shared" si="47"/>
        <v>0</v>
      </c>
    </row>
    <row r="295" spans="1:20" ht="15" x14ac:dyDescent="0.25">
      <c r="A295" t="s">
        <v>259</v>
      </c>
      <c r="B295" t="s">
        <v>248</v>
      </c>
      <c r="C295" t="s">
        <v>23</v>
      </c>
      <c r="D295" t="s">
        <v>13</v>
      </c>
      <c r="E295" s="6">
        <f>_xlfn.IFNA(IF(VLOOKUP($A295,'BU Raw Before'!A:H,1,FALSE)=$A295,VLOOKUP($A295,'BU Raw Before'!A:H,5,FALSE),0),0)</f>
        <v>0</v>
      </c>
      <c r="F295" s="6">
        <f>_xlfn.IFNA(IF(VLOOKUP($A295,'BU Raw After'!A:H,1,FALSE)=$A295,VLOOKUP($A295,'BU Raw After'!A:H,5,FALSE),0),0)</f>
        <v>0</v>
      </c>
      <c r="G295" s="6">
        <f t="shared" si="40"/>
        <v>0</v>
      </c>
      <c r="H295" s="7">
        <f t="shared" si="41"/>
        <v>0</v>
      </c>
      <c r="I295" s="6">
        <f>_xlfn.IFNA(IF(VLOOKUP($A295,'BU Raw Before'!A:H,1,FALSE)=$A295,VLOOKUP($A295,'BU Raw Before'!A:H,6,FALSE),0),0)</f>
        <v>0</v>
      </c>
      <c r="J295" s="6">
        <f>_xlfn.IFNA(IF(VLOOKUP($A295,'BU Raw After'!A:H,1,FALSE)=$A295,VLOOKUP($A295,'BU Raw After'!A:H,6,FALSE),0),0)</f>
        <v>0</v>
      </c>
      <c r="K295" s="6">
        <f t="shared" si="42"/>
        <v>0</v>
      </c>
      <c r="L295" s="7">
        <f t="shared" si="43"/>
        <v>0</v>
      </c>
      <c r="M295" s="6">
        <f>_xlfn.IFNA(IF(VLOOKUP($A295,'BU Raw Before'!A:H,1,FALSE)=$A295,VLOOKUP($A295,'BU Raw Before'!A:H,7,FALSE),0),0)</f>
        <v>0</v>
      </c>
      <c r="N295" s="6">
        <f>_xlfn.IFNA(IF(VLOOKUP($A295,'BU Raw After'!A:H,1,FALSE)=$A295,VLOOKUP($A295,'BU Raw After'!A:H,7,FALSE),0),0)</f>
        <v>0</v>
      </c>
      <c r="O295" s="6">
        <f t="shared" si="44"/>
        <v>0</v>
      </c>
      <c r="P295" s="7">
        <f t="shared" si="45"/>
        <v>0</v>
      </c>
      <c r="Q295" s="6">
        <f>_xlfn.IFNA(IF(VLOOKUP($A295,'BU Raw Before'!A:H,1,FALSE)=$A295,VLOOKUP($A295,'BU Raw Before'!A:H,8,FALSE),0),0)</f>
        <v>0</v>
      </c>
      <c r="R295" s="6">
        <f>_xlfn.IFNA(IF(VLOOKUP($A295,'BU Raw After'!A:H,1,FALSE)=$A295,VLOOKUP($A295,'BU Raw After'!A:H,8,FALSE),0),0)</f>
        <v>0</v>
      </c>
      <c r="S295" s="6">
        <f t="shared" si="46"/>
        <v>0</v>
      </c>
      <c r="T295" s="7">
        <f t="shared" si="47"/>
        <v>0</v>
      </c>
    </row>
    <row r="296" spans="1:20" ht="15" x14ac:dyDescent="0.25">
      <c r="A296" t="s">
        <v>260</v>
      </c>
      <c r="B296" t="s">
        <v>248</v>
      </c>
      <c r="C296" t="s">
        <v>23</v>
      </c>
      <c r="D296" t="s">
        <v>15</v>
      </c>
      <c r="E296" s="6">
        <f>_xlfn.IFNA(IF(VLOOKUP($A296,'BU Raw Before'!A:H,1,FALSE)=$A296,VLOOKUP($A296,'BU Raw Before'!A:H,5,FALSE),0),0)</f>
        <v>0</v>
      </c>
      <c r="F296" s="6">
        <f>_xlfn.IFNA(IF(VLOOKUP($A296,'BU Raw After'!A:H,1,FALSE)=$A296,VLOOKUP($A296,'BU Raw After'!A:H,5,FALSE),0),0)</f>
        <v>0</v>
      </c>
      <c r="G296" s="6">
        <f t="shared" si="40"/>
        <v>0</v>
      </c>
      <c r="H296" s="7">
        <f t="shared" si="41"/>
        <v>0</v>
      </c>
      <c r="I296" s="6">
        <f>_xlfn.IFNA(IF(VLOOKUP($A296,'BU Raw Before'!A:H,1,FALSE)=$A296,VLOOKUP($A296,'BU Raw Before'!A:H,6,FALSE),0),0)</f>
        <v>0</v>
      </c>
      <c r="J296" s="6">
        <f>_xlfn.IFNA(IF(VLOOKUP($A296,'BU Raw After'!A:H,1,FALSE)=$A296,VLOOKUP($A296,'BU Raw After'!A:H,6,FALSE),0),0)</f>
        <v>0</v>
      </c>
      <c r="K296" s="6">
        <f t="shared" si="42"/>
        <v>0</v>
      </c>
      <c r="L296" s="7">
        <f t="shared" si="43"/>
        <v>0</v>
      </c>
      <c r="M296" s="6">
        <f>_xlfn.IFNA(IF(VLOOKUP($A296,'BU Raw Before'!A:H,1,FALSE)=$A296,VLOOKUP($A296,'BU Raw Before'!A:H,7,FALSE),0),0)</f>
        <v>0</v>
      </c>
      <c r="N296" s="6">
        <f>_xlfn.IFNA(IF(VLOOKUP($A296,'BU Raw After'!A:H,1,FALSE)=$A296,VLOOKUP($A296,'BU Raw After'!A:H,7,FALSE),0),0)</f>
        <v>0</v>
      </c>
      <c r="O296" s="6">
        <f t="shared" si="44"/>
        <v>0</v>
      </c>
      <c r="P296" s="7">
        <f t="shared" si="45"/>
        <v>0</v>
      </c>
      <c r="Q296" s="6">
        <f>_xlfn.IFNA(IF(VLOOKUP($A296,'BU Raw Before'!A:H,1,FALSE)=$A296,VLOOKUP($A296,'BU Raw Before'!A:H,8,FALSE),0),0)</f>
        <v>0</v>
      </c>
      <c r="R296" s="6">
        <f>_xlfn.IFNA(IF(VLOOKUP($A296,'BU Raw After'!A:H,1,FALSE)=$A296,VLOOKUP($A296,'BU Raw After'!A:H,8,FALSE),0),0)</f>
        <v>0</v>
      </c>
      <c r="S296" s="6">
        <f t="shared" si="46"/>
        <v>0</v>
      </c>
      <c r="T296" s="7">
        <f t="shared" si="47"/>
        <v>0</v>
      </c>
    </row>
    <row r="297" spans="1:20" ht="15" x14ac:dyDescent="0.25">
      <c r="A297" t="s">
        <v>261</v>
      </c>
      <c r="B297" t="s">
        <v>248</v>
      </c>
      <c r="C297" t="s">
        <v>23</v>
      </c>
      <c r="D297" t="s">
        <v>17</v>
      </c>
      <c r="E297" s="6">
        <f>_xlfn.IFNA(IF(VLOOKUP($A297,'BU Raw Before'!A:H,1,FALSE)=$A297,VLOOKUP($A297,'BU Raw Before'!A:H,5,FALSE),0),0)</f>
        <v>0</v>
      </c>
      <c r="F297" s="6">
        <f>_xlfn.IFNA(IF(VLOOKUP($A297,'BU Raw After'!A:H,1,FALSE)=$A297,VLOOKUP($A297,'BU Raw After'!A:H,5,FALSE),0),0)</f>
        <v>0</v>
      </c>
      <c r="G297" s="6">
        <f t="shared" si="40"/>
        <v>0</v>
      </c>
      <c r="H297" s="7">
        <f t="shared" si="41"/>
        <v>0</v>
      </c>
      <c r="I297" s="6">
        <f>_xlfn.IFNA(IF(VLOOKUP($A297,'BU Raw Before'!A:H,1,FALSE)=$A297,VLOOKUP($A297,'BU Raw Before'!A:H,6,FALSE),0),0)</f>
        <v>0</v>
      </c>
      <c r="J297" s="6">
        <f>_xlfn.IFNA(IF(VLOOKUP($A297,'BU Raw After'!A:H,1,FALSE)=$A297,VLOOKUP($A297,'BU Raw After'!A:H,6,FALSE),0),0)</f>
        <v>0</v>
      </c>
      <c r="K297" s="6">
        <f t="shared" si="42"/>
        <v>0</v>
      </c>
      <c r="L297" s="7">
        <f t="shared" si="43"/>
        <v>0</v>
      </c>
      <c r="M297" s="6">
        <f>_xlfn.IFNA(IF(VLOOKUP($A297,'BU Raw Before'!A:H,1,FALSE)=$A297,VLOOKUP($A297,'BU Raw Before'!A:H,7,FALSE),0),0)</f>
        <v>0</v>
      </c>
      <c r="N297" s="6">
        <f>_xlfn.IFNA(IF(VLOOKUP($A297,'BU Raw After'!A:H,1,FALSE)=$A297,VLOOKUP($A297,'BU Raw After'!A:H,7,FALSE),0),0)</f>
        <v>0</v>
      </c>
      <c r="O297" s="6">
        <f t="shared" si="44"/>
        <v>0</v>
      </c>
      <c r="P297" s="7">
        <f t="shared" si="45"/>
        <v>0</v>
      </c>
      <c r="Q297" s="6">
        <f>_xlfn.IFNA(IF(VLOOKUP($A297,'BU Raw Before'!A:H,1,FALSE)=$A297,VLOOKUP($A297,'BU Raw Before'!A:H,8,FALSE),0),0)</f>
        <v>0</v>
      </c>
      <c r="R297" s="6">
        <f>_xlfn.IFNA(IF(VLOOKUP($A297,'BU Raw After'!A:H,1,FALSE)=$A297,VLOOKUP($A297,'BU Raw After'!A:H,8,FALSE),0),0)</f>
        <v>0</v>
      </c>
      <c r="S297" s="6">
        <f t="shared" si="46"/>
        <v>0</v>
      </c>
      <c r="T297" s="7">
        <f t="shared" si="47"/>
        <v>0</v>
      </c>
    </row>
    <row r="298" spans="1:20" ht="15" x14ac:dyDescent="0.25">
      <c r="A298" t="s">
        <v>262</v>
      </c>
      <c r="B298" t="s">
        <v>248</v>
      </c>
      <c r="C298" t="s">
        <v>23</v>
      </c>
      <c r="D298" t="s">
        <v>19</v>
      </c>
      <c r="E298" s="6">
        <f>_xlfn.IFNA(IF(VLOOKUP($A298,'BU Raw Before'!A:H,1,FALSE)=$A298,VLOOKUP($A298,'BU Raw Before'!A:H,5,FALSE),0),0)</f>
        <v>0</v>
      </c>
      <c r="F298" s="6">
        <f>_xlfn.IFNA(IF(VLOOKUP($A298,'BU Raw After'!A:H,1,FALSE)=$A298,VLOOKUP($A298,'BU Raw After'!A:H,5,FALSE),0),0)</f>
        <v>0</v>
      </c>
      <c r="G298" s="6">
        <f t="shared" si="40"/>
        <v>0</v>
      </c>
      <c r="H298" s="7">
        <f t="shared" si="41"/>
        <v>0</v>
      </c>
      <c r="I298" s="6">
        <f>_xlfn.IFNA(IF(VLOOKUP($A298,'BU Raw Before'!A:H,1,FALSE)=$A298,VLOOKUP($A298,'BU Raw Before'!A:H,6,FALSE),0),0)</f>
        <v>0</v>
      </c>
      <c r="J298" s="6">
        <f>_xlfn.IFNA(IF(VLOOKUP($A298,'BU Raw After'!A:H,1,FALSE)=$A298,VLOOKUP($A298,'BU Raw After'!A:H,6,FALSE),0),0)</f>
        <v>0</v>
      </c>
      <c r="K298" s="6">
        <f t="shared" si="42"/>
        <v>0</v>
      </c>
      <c r="L298" s="7">
        <f t="shared" si="43"/>
        <v>0</v>
      </c>
      <c r="M298" s="6">
        <f>_xlfn.IFNA(IF(VLOOKUP($A298,'BU Raw Before'!A:H,1,FALSE)=$A298,VLOOKUP($A298,'BU Raw Before'!A:H,7,FALSE),0),0)</f>
        <v>0</v>
      </c>
      <c r="N298" s="6">
        <f>_xlfn.IFNA(IF(VLOOKUP($A298,'BU Raw After'!A:H,1,FALSE)=$A298,VLOOKUP($A298,'BU Raw After'!A:H,7,FALSE),0),0)</f>
        <v>0</v>
      </c>
      <c r="O298" s="6">
        <f t="shared" si="44"/>
        <v>0</v>
      </c>
      <c r="P298" s="7">
        <f t="shared" si="45"/>
        <v>0</v>
      </c>
      <c r="Q298" s="6">
        <f>_xlfn.IFNA(IF(VLOOKUP($A298,'BU Raw Before'!A:H,1,FALSE)=$A298,VLOOKUP($A298,'BU Raw Before'!A:H,8,FALSE),0),0)</f>
        <v>0</v>
      </c>
      <c r="R298" s="6">
        <f>_xlfn.IFNA(IF(VLOOKUP($A298,'BU Raw After'!A:H,1,FALSE)=$A298,VLOOKUP($A298,'BU Raw After'!A:H,8,FALSE),0),0)</f>
        <v>0</v>
      </c>
      <c r="S298" s="6">
        <f t="shared" si="46"/>
        <v>0</v>
      </c>
      <c r="T298" s="7">
        <f t="shared" si="47"/>
        <v>0</v>
      </c>
    </row>
    <row r="299" spans="1:20" ht="15" x14ac:dyDescent="0.25">
      <c r="A299" t="s">
        <v>263</v>
      </c>
      <c r="B299" t="s">
        <v>248</v>
      </c>
      <c r="C299" t="s">
        <v>23</v>
      </c>
      <c r="D299" t="s">
        <v>21</v>
      </c>
      <c r="E299" s="6">
        <f>_xlfn.IFNA(IF(VLOOKUP($A299,'BU Raw Before'!A:H,1,FALSE)=$A299,VLOOKUP($A299,'BU Raw Before'!A:H,5,FALSE),0),0)</f>
        <v>0</v>
      </c>
      <c r="F299" s="6">
        <f>_xlfn.IFNA(IF(VLOOKUP($A299,'BU Raw After'!A:H,1,FALSE)=$A299,VLOOKUP($A299,'BU Raw After'!A:H,5,FALSE),0),0)</f>
        <v>0</v>
      </c>
      <c r="G299" s="6">
        <f t="shared" si="40"/>
        <v>0</v>
      </c>
      <c r="H299" s="7">
        <f t="shared" si="41"/>
        <v>0</v>
      </c>
      <c r="I299" s="6">
        <f>_xlfn.IFNA(IF(VLOOKUP($A299,'BU Raw Before'!A:H,1,FALSE)=$A299,VLOOKUP($A299,'BU Raw Before'!A:H,6,FALSE),0),0)</f>
        <v>0</v>
      </c>
      <c r="J299" s="6">
        <f>_xlfn.IFNA(IF(VLOOKUP($A299,'BU Raw After'!A:H,1,FALSE)=$A299,VLOOKUP($A299,'BU Raw After'!A:H,6,FALSE),0),0)</f>
        <v>0</v>
      </c>
      <c r="K299" s="6">
        <f t="shared" si="42"/>
        <v>0</v>
      </c>
      <c r="L299" s="7">
        <f t="shared" si="43"/>
        <v>0</v>
      </c>
      <c r="M299" s="6">
        <f>_xlfn.IFNA(IF(VLOOKUP($A299,'BU Raw Before'!A:H,1,FALSE)=$A299,VLOOKUP($A299,'BU Raw Before'!A:H,7,FALSE),0),0)</f>
        <v>0</v>
      </c>
      <c r="N299" s="6">
        <f>_xlfn.IFNA(IF(VLOOKUP($A299,'BU Raw After'!A:H,1,FALSE)=$A299,VLOOKUP($A299,'BU Raw After'!A:H,7,FALSE),0),0)</f>
        <v>0</v>
      </c>
      <c r="O299" s="6">
        <f t="shared" si="44"/>
        <v>0</v>
      </c>
      <c r="P299" s="7">
        <f t="shared" si="45"/>
        <v>0</v>
      </c>
      <c r="Q299" s="6">
        <f>_xlfn.IFNA(IF(VLOOKUP($A299,'BU Raw Before'!A:H,1,FALSE)=$A299,VLOOKUP($A299,'BU Raw Before'!A:H,8,FALSE),0),0)</f>
        <v>0</v>
      </c>
      <c r="R299" s="6">
        <f>_xlfn.IFNA(IF(VLOOKUP($A299,'BU Raw After'!A:H,1,FALSE)=$A299,VLOOKUP($A299,'BU Raw After'!A:H,8,FALSE),0),0)</f>
        <v>0</v>
      </c>
      <c r="S299" s="6">
        <f t="shared" si="46"/>
        <v>0</v>
      </c>
      <c r="T299" s="7">
        <f t="shared" si="47"/>
        <v>0</v>
      </c>
    </row>
    <row r="300" spans="1:20" ht="15" x14ac:dyDescent="0.25">
      <c r="A300" t="s">
        <v>264</v>
      </c>
      <c r="B300" t="s">
        <v>248</v>
      </c>
      <c r="C300" t="s">
        <v>32</v>
      </c>
      <c r="D300" t="s">
        <v>7</v>
      </c>
      <c r="E300" s="6">
        <f>_xlfn.IFNA(IF(VLOOKUP($A300,'BU Raw Before'!A:H,1,FALSE)=$A300,VLOOKUP($A300,'BU Raw Before'!A:H,5,FALSE),0),0)</f>
        <v>0</v>
      </c>
      <c r="F300" s="6">
        <f>_xlfn.IFNA(IF(VLOOKUP($A300,'BU Raw After'!A:H,1,FALSE)=$A300,VLOOKUP($A300,'BU Raw After'!A:H,5,FALSE),0),0)</f>
        <v>0</v>
      </c>
      <c r="G300" s="6">
        <f t="shared" si="40"/>
        <v>0</v>
      </c>
      <c r="H300" s="7">
        <f t="shared" si="41"/>
        <v>0</v>
      </c>
      <c r="I300" s="6">
        <f>_xlfn.IFNA(IF(VLOOKUP($A300,'BU Raw Before'!A:H,1,FALSE)=$A300,VLOOKUP($A300,'BU Raw Before'!A:H,6,FALSE),0),0)</f>
        <v>0</v>
      </c>
      <c r="J300" s="6">
        <f>_xlfn.IFNA(IF(VLOOKUP($A300,'BU Raw After'!A:H,1,FALSE)=$A300,VLOOKUP($A300,'BU Raw After'!A:H,6,FALSE),0),0)</f>
        <v>0</v>
      </c>
      <c r="K300" s="6">
        <f t="shared" si="42"/>
        <v>0</v>
      </c>
      <c r="L300" s="7">
        <f t="shared" si="43"/>
        <v>0</v>
      </c>
      <c r="M300" s="6">
        <f>_xlfn.IFNA(IF(VLOOKUP($A300,'BU Raw Before'!A:H,1,FALSE)=$A300,VLOOKUP($A300,'BU Raw Before'!A:H,7,FALSE),0),0)</f>
        <v>0</v>
      </c>
      <c r="N300" s="6">
        <f>_xlfn.IFNA(IF(VLOOKUP($A300,'BU Raw After'!A:H,1,FALSE)=$A300,VLOOKUP($A300,'BU Raw After'!A:H,7,FALSE),0),0)</f>
        <v>0</v>
      </c>
      <c r="O300" s="6">
        <f t="shared" si="44"/>
        <v>0</v>
      </c>
      <c r="P300" s="7">
        <f t="shared" si="45"/>
        <v>0</v>
      </c>
      <c r="Q300" s="6">
        <f>_xlfn.IFNA(IF(VLOOKUP($A300,'BU Raw Before'!A:H,1,FALSE)=$A300,VLOOKUP($A300,'BU Raw Before'!A:H,8,FALSE),0),0)</f>
        <v>0</v>
      </c>
      <c r="R300" s="6">
        <f>_xlfn.IFNA(IF(VLOOKUP($A300,'BU Raw After'!A:H,1,FALSE)=$A300,VLOOKUP($A300,'BU Raw After'!A:H,8,FALSE),0),0)</f>
        <v>0</v>
      </c>
      <c r="S300" s="6">
        <f t="shared" si="46"/>
        <v>0</v>
      </c>
      <c r="T300" s="7">
        <f t="shared" si="47"/>
        <v>0</v>
      </c>
    </row>
    <row r="301" spans="1:20" ht="15" x14ac:dyDescent="0.25">
      <c r="A301" t="s">
        <v>265</v>
      </c>
      <c r="B301" t="s">
        <v>248</v>
      </c>
      <c r="C301" t="s">
        <v>32</v>
      </c>
      <c r="D301" t="s">
        <v>9</v>
      </c>
      <c r="E301" s="6">
        <f>_xlfn.IFNA(IF(VLOOKUP($A301,'BU Raw Before'!A:H,1,FALSE)=$A301,VLOOKUP($A301,'BU Raw Before'!A:H,5,FALSE),0),0)</f>
        <v>0</v>
      </c>
      <c r="F301" s="6">
        <f>_xlfn.IFNA(IF(VLOOKUP($A301,'BU Raw After'!A:H,1,FALSE)=$A301,VLOOKUP($A301,'BU Raw After'!A:H,5,FALSE),0),0)</f>
        <v>0</v>
      </c>
      <c r="G301" s="6">
        <f t="shared" si="40"/>
        <v>0</v>
      </c>
      <c r="H301" s="7">
        <f t="shared" si="41"/>
        <v>0</v>
      </c>
      <c r="I301" s="6">
        <f>_xlfn.IFNA(IF(VLOOKUP($A301,'BU Raw Before'!A:H,1,FALSE)=$A301,VLOOKUP($A301,'BU Raw Before'!A:H,6,FALSE),0),0)</f>
        <v>0</v>
      </c>
      <c r="J301" s="6">
        <f>_xlfn.IFNA(IF(VLOOKUP($A301,'BU Raw After'!A:H,1,FALSE)=$A301,VLOOKUP($A301,'BU Raw After'!A:H,6,FALSE),0),0)</f>
        <v>0</v>
      </c>
      <c r="K301" s="6">
        <f t="shared" si="42"/>
        <v>0</v>
      </c>
      <c r="L301" s="7">
        <f t="shared" si="43"/>
        <v>0</v>
      </c>
      <c r="M301" s="6">
        <f>_xlfn.IFNA(IF(VLOOKUP($A301,'BU Raw Before'!A:H,1,FALSE)=$A301,VLOOKUP($A301,'BU Raw Before'!A:H,7,FALSE),0),0)</f>
        <v>0</v>
      </c>
      <c r="N301" s="6">
        <f>_xlfn.IFNA(IF(VLOOKUP($A301,'BU Raw After'!A:H,1,FALSE)=$A301,VLOOKUP($A301,'BU Raw After'!A:H,7,FALSE),0),0)</f>
        <v>0</v>
      </c>
      <c r="O301" s="6">
        <f t="shared" si="44"/>
        <v>0</v>
      </c>
      <c r="P301" s="7">
        <f t="shared" si="45"/>
        <v>0</v>
      </c>
      <c r="Q301" s="6">
        <f>_xlfn.IFNA(IF(VLOOKUP($A301,'BU Raw Before'!A:H,1,FALSE)=$A301,VLOOKUP($A301,'BU Raw Before'!A:H,8,FALSE),0),0)</f>
        <v>0</v>
      </c>
      <c r="R301" s="6">
        <f>_xlfn.IFNA(IF(VLOOKUP($A301,'BU Raw After'!A:H,1,FALSE)=$A301,VLOOKUP($A301,'BU Raw After'!A:H,8,FALSE),0),0)</f>
        <v>0</v>
      </c>
      <c r="S301" s="6">
        <f t="shared" si="46"/>
        <v>0</v>
      </c>
      <c r="T301" s="7">
        <f t="shared" si="47"/>
        <v>0</v>
      </c>
    </row>
    <row r="302" spans="1:20" ht="15" x14ac:dyDescent="0.25">
      <c r="A302" t="s">
        <v>266</v>
      </c>
      <c r="B302" t="s">
        <v>248</v>
      </c>
      <c r="C302" t="s">
        <v>32</v>
      </c>
      <c r="D302" t="s">
        <v>11</v>
      </c>
      <c r="E302" s="6">
        <f>_xlfn.IFNA(IF(VLOOKUP($A302,'BU Raw Before'!A:H,1,FALSE)=$A302,VLOOKUP($A302,'BU Raw Before'!A:H,5,FALSE),0),0)</f>
        <v>0</v>
      </c>
      <c r="F302" s="6">
        <f>_xlfn.IFNA(IF(VLOOKUP($A302,'BU Raw After'!A:H,1,FALSE)=$A302,VLOOKUP($A302,'BU Raw After'!A:H,5,FALSE),0),0)</f>
        <v>0</v>
      </c>
      <c r="G302" s="6">
        <f t="shared" si="40"/>
        <v>0</v>
      </c>
      <c r="H302" s="7">
        <f t="shared" si="41"/>
        <v>0</v>
      </c>
      <c r="I302" s="6">
        <f>_xlfn.IFNA(IF(VLOOKUP($A302,'BU Raw Before'!A:H,1,FALSE)=$A302,VLOOKUP($A302,'BU Raw Before'!A:H,6,FALSE),0),0)</f>
        <v>0</v>
      </c>
      <c r="J302" s="6">
        <f>_xlfn.IFNA(IF(VLOOKUP($A302,'BU Raw After'!A:H,1,FALSE)=$A302,VLOOKUP($A302,'BU Raw After'!A:H,6,FALSE),0),0)</f>
        <v>0</v>
      </c>
      <c r="K302" s="6">
        <f t="shared" si="42"/>
        <v>0</v>
      </c>
      <c r="L302" s="7">
        <f t="shared" si="43"/>
        <v>0</v>
      </c>
      <c r="M302" s="6">
        <f>_xlfn.IFNA(IF(VLOOKUP($A302,'BU Raw Before'!A:H,1,FALSE)=$A302,VLOOKUP($A302,'BU Raw Before'!A:H,7,FALSE),0),0)</f>
        <v>0</v>
      </c>
      <c r="N302" s="6">
        <f>_xlfn.IFNA(IF(VLOOKUP($A302,'BU Raw After'!A:H,1,FALSE)=$A302,VLOOKUP($A302,'BU Raw After'!A:H,7,FALSE),0),0)</f>
        <v>0</v>
      </c>
      <c r="O302" s="6">
        <f t="shared" si="44"/>
        <v>0</v>
      </c>
      <c r="P302" s="7">
        <f t="shared" si="45"/>
        <v>0</v>
      </c>
      <c r="Q302" s="6">
        <f>_xlfn.IFNA(IF(VLOOKUP($A302,'BU Raw Before'!A:H,1,FALSE)=$A302,VLOOKUP($A302,'BU Raw Before'!A:H,8,FALSE),0),0)</f>
        <v>0</v>
      </c>
      <c r="R302" s="6">
        <f>_xlfn.IFNA(IF(VLOOKUP($A302,'BU Raw After'!A:H,1,FALSE)=$A302,VLOOKUP($A302,'BU Raw After'!A:H,8,FALSE),0),0)</f>
        <v>0</v>
      </c>
      <c r="S302" s="6">
        <f t="shared" si="46"/>
        <v>0</v>
      </c>
      <c r="T302" s="7">
        <f t="shared" si="47"/>
        <v>0</v>
      </c>
    </row>
    <row r="303" spans="1:20" ht="15" x14ac:dyDescent="0.25">
      <c r="A303" t="s">
        <v>267</v>
      </c>
      <c r="B303" t="s">
        <v>248</v>
      </c>
      <c r="C303" t="s">
        <v>32</v>
      </c>
      <c r="D303" t="s">
        <v>13</v>
      </c>
      <c r="E303" s="6">
        <f>_xlfn.IFNA(IF(VLOOKUP($A303,'BU Raw Before'!A:H,1,FALSE)=$A303,VLOOKUP($A303,'BU Raw Before'!A:H,5,FALSE),0),0)</f>
        <v>0</v>
      </c>
      <c r="F303" s="6">
        <f>_xlfn.IFNA(IF(VLOOKUP($A303,'BU Raw After'!A:H,1,FALSE)=$A303,VLOOKUP($A303,'BU Raw After'!A:H,5,FALSE),0),0)</f>
        <v>0</v>
      </c>
      <c r="G303" s="6">
        <f t="shared" si="40"/>
        <v>0</v>
      </c>
      <c r="H303" s="7">
        <f t="shared" si="41"/>
        <v>0</v>
      </c>
      <c r="I303" s="6">
        <f>_xlfn.IFNA(IF(VLOOKUP($A303,'BU Raw Before'!A:H,1,FALSE)=$A303,VLOOKUP($A303,'BU Raw Before'!A:H,6,FALSE),0),0)</f>
        <v>0</v>
      </c>
      <c r="J303" s="6">
        <f>_xlfn.IFNA(IF(VLOOKUP($A303,'BU Raw After'!A:H,1,FALSE)=$A303,VLOOKUP($A303,'BU Raw After'!A:H,6,FALSE),0),0)</f>
        <v>0</v>
      </c>
      <c r="K303" s="6">
        <f t="shared" si="42"/>
        <v>0</v>
      </c>
      <c r="L303" s="7">
        <f t="shared" si="43"/>
        <v>0</v>
      </c>
      <c r="M303" s="6">
        <f>_xlfn.IFNA(IF(VLOOKUP($A303,'BU Raw Before'!A:H,1,FALSE)=$A303,VLOOKUP($A303,'BU Raw Before'!A:H,7,FALSE),0),0)</f>
        <v>0</v>
      </c>
      <c r="N303" s="6">
        <f>_xlfn.IFNA(IF(VLOOKUP($A303,'BU Raw After'!A:H,1,FALSE)=$A303,VLOOKUP($A303,'BU Raw After'!A:H,7,FALSE),0),0)</f>
        <v>0</v>
      </c>
      <c r="O303" s="6">
        <f t="shared" si="44"/>
        <v>0</v>
      </c>
      <c r="P303" s="7">
        <f t="shared" si="45"/>
        <v>0</v>
      </c>
      <c r="Q303" s="6">
        <f>_xlfn.IFNA(IF(VLOOKUP($A303,'BU Raw Before'!A:H,1,FALSE)=$A303,VLOOKUP($A303,'BU Raw Before'!A:H,8,FALSE),0),0)</f>
        <v>0</v>
      </c>
      <c r="R303" s="6">
        <f>_xlfn.IFNA(IF(VLOOKUP($A303,'BU Raw After'!A:H,1,FALSE)=$A303,VLOOKUP($A303,'BU Raw After'!A:H,8,FALSE),0),0)</f>
        <v>0</v>
      </c>
      <c r="S303" s="6">
        <f t="shared" si="46"/>
        <v>0</v>
      </c>
      <c r="T303" s="7">
        <f t="shared" si="47"/>
        <v>0</v>
      </c>
    </row>
    <row r="304" spans="1:20" ht="15" x14ac:dyDescent="0.25">
      <c r="A304" t="s">
        <v>268</v>
      </c>
      <c r="B304" t="s">
        <v>248</v>
      </c>
      <c r="C304" t="s">
        <v>32</v>
      </c>
      <c r="D304" t="s">
        <v>15</v>
      </c>
      <c r="E304" s="6">
        <f>_xlfn.IFNA(IF(VLOOKUP($A304,'BU Raw Before'!A:H,1,FALSE)=$A304,VLOOKUP($A304,'BU Raw Before'!A:H,5,FALSE),0),0)</f>
        <v>0</v>
      </c>
      <c r="F304" s="6">
        <f>_xlfn.IFNA(IF(VLOOKUP($A304,'BU Raw After'!A:H,1,FALSE)=$A304,VLOOKUP($A304,'BU Raw After'!A:H,5,FALSE),0),0)</f>
        <v>0</v>
      </c>
      <c r="G304" s="6">
        <f t="shared" si="40"/>
        <v>0</v>
      </c>
      <c r="H304" s="7">
        <f t="shared" si="41"/>
        <v>0</v>
      </c>
      <c r="I304" s="6">
        <f>_xlfn.IFNA(IF(VLOOKUP($A304,'BU Raw Before'!A:H,1,FALSE)=$A304,VLOOKUP($A304,'BU Raw Before'!A:H,6,FALSE),0),0)</f>
        <v>0</v>
      </c>
      <c r="J304" s="6">
        <f>_xlfn.IFNA(IF(VLOOKUP($A304,'BU Raw After'!A:H,1,FALSE)=$A304,VLOOKUP($A304,'BU Raw After'!A:H,6,FALSE),0),0)</f>
        <v>0</v>
      </c>
      <c r="K304" s="6">
        <f t="shared" si="42"/>
        <v>0</v>
      </c>
      <c r="L304" s="7">
        <f t="shared" si="43"/>
        <v>0</v>
      </c>
      <c r="M304" s="6">
        <f>_xlfn.IFNA(IF(VLOOKUP($A304,'BU Raw Before'!A:H,1,FALSE)=$A304,VLOOKUP($A304,'BU Raw Before'!A:H,7,FALSE),0),0)</f>
        <v>0</v>
      </c>
      <c r="N304" s="6">
        <f>_xlfn.IFNA(IF(VLOOKUP($A304,'BU Raw After'!A:H,1,FALSE)=$A304,VLOOKUP($A304,'BU Raw After'!A:H,7,FALSE),0),0)</f>
        <v>0</v>
      </c>
      <c r="O304" s="6">
        <f t="shared" si="44"/>
        <v>0</v>
      </c>
      <c r="P304" s="7">
        <f t="shared" si="45"/>
        <v>0</v>
      </c>
      <c r="Q304" s="6">
        <f>_xlfn.IFNA(IF(VLOOKUP($A304,'BU Raw Before'!A:H,1,FALSE)=$A304,VLOOKUP($A304,'BU Raw Before'!A:H,8,FALSE),0),0)</f>
        <v>0</v>
      </c>
      <c r="R304" s="6">
        <f>_xlfn.IFNA(IF(VLOOKUP($A304,'BU Raw After'!A:H,1,FALSE)=$A304,VLOOKUP($A304,'BU Raw After'!A:H,8,FALSE),0),0)</f>
        <v>0</v>
      </c>
      <c r="S304" s="6">
        <f t="shared" si="46"/>
        <v>0</v>
      </c>
      <c r="T304" s="7">
        <f t="shared" si="47"/>
        <v>0</v>
      </c>
    </row>
    <row r="305" spans="1:20" ht="15" x14ac:dyDescent="0.25">
      <c r="A305" t="s">
        <v>269</v>
      </c>
      <c r="B305" t="s">
        <v>248</v>
      </c>
      <c r="C305" t="s">
        <v>32</v>
      </c>
      <c r="D305" t="s">
        <v>17</v>
      </c>
      <c r="E305" s="6">
        <f>_xlfn.IFNA(IF(VLOOKUP($A305,'BU Raw Before'!A:H,1,FALSE)=$A305,VLOOKUP($A305,'BU Raw Before'!A:H,5,FALSE),0),0)</f>
        <v>0</v>
      </c>
      <c r="F305" s="6">
        <f>_xlfn.IFNA(IF(VLOOKUP($A305,'BU Raw After'!A:H,1,FALSE)=$A305,VLOOKUP($A305,'BU Raw After'!A:H,5,FALSE),0),0)</f>
        <v>0</v>
      </c>
      <c r="G305" s="6">
        <f t="shared" si="40"/>
        <v>0</v>
      </c>
      <c r="H305" s="7">
        <f t="shared" si="41"/>
        <v>0</v>
      </c>
      <c r="I305" s="6">
        <f>_xlfn.IFNA(IF(VLOOKUP($A305,'BU Raw Before'!A:H,1,FALSE)=$A305,VLOOKUP($A305,'BU Raw Before'!A:H,6,FALSE),0),0)</f>
        <v>0</v>
      </c>
      <c r="J305" s="6">
        <f>_xlfn.IFNA(IF(VLOOKUP($A305,'BU Raw After'!A:H,1,FALSE)=$A305,VLOOKUP($A305,'BU Raw After'!A:H,6,FALSE),0),0)</f>
        <v>0</v>
      </c>
      <c r="K305" s="6">
        <f t="shared" si="42"/>
        <v>0</v>
      </c>
      <c r="L305" s="7">
        <f t="shared" si="43"/>
        <v>0</v>
      </c>
      <c r="M305" s="6">
        <f>_xlfn.IFNA(IF(VLOOKUP($A305,'BU Raw Before'!A:H,1,FALSE)=$A305,VLOOKUP($A305,'BU Raw Before'!A:H,7,FALSE),0),0)</f>
        <v>0</v>
      </c>
      <c r="N305" s="6">
        <f>_xlfn.IFNA(IF(VLOOKUP($A305,'BU Raw After'!A:H,1,FALSE)=$A305,VLOOKUP($A305,'BU Raw After'!A:H,7,FALSE),0),0)</f>
        <v>0</v>
      </c>
      <c r="O305" s="6">
        <f t="shared" si="44"/>
        <v>0</v>
      </c>
      <c r="P305" s="7">
        <f t="shared" si="45"/>
        <v>0</v>
      </c>
      <c r="Q305" s="6">
        <f>_xlfn.IFNA(IF(VLOOKUP($A305,'BU Raw Before'!A:H,1,FALSE)=$A305,VLOOKUP($A305,'BU Raw Before'!A:H,8,FALSE),0),0)</f>
        <v>0</v>
      </c>
      <c r="R305" s="6">
        <f>_xlfn.IFNA(IF(VLOOKUP($A305,'BU Raw After'!A:H,1,FALSE)=$A305,VLOOKUP($A305,'BU Raw After'!A:H,8,FALSE),0),0)</f>
        <v>0</v>
      </c>
      <c r="S305" s="6">
        <f t="shared" si="46"/>
        <v>0</v>
      </c>
      <c r="T305" s="7">
        <f t="shared" si="47"/>
        <v>0</v>
      </c>
    </row>
    <row r="306" spans="1:20" ht="15" x14ac:dyDescent="0.25">
      <c r="A306" t="s">
        <v>270</v>
      </c>
      <c r="B306" t="s">
        <v>248</v>
      </c>
      <c r="C306" t="s">
        <v>32</v>
      </c>
      <c r="D306" t="s">
        <v>19</v>
      </c>
      <c r="E306" s="6">
        <f>_xlfn.IFNA(IF(VLOOKUP($A306,'BU Raw Before'!A:H,1,FALSE)=$A306,VLOOKUP($A306,'BU Raw Before'!A:H,5,FALSE),0),0)</f>
        <v>0</v>
      </c>
      <c r="F306" s="6">
        <f>_xlfn.IFNA(IF(VLOOKUP($A306,'BU Raw After'!A:H,1,FALSE)=$A306,VLOOKUP($A306,'BU Raw After'!A:H,5,FALSE),0),0)</f>
        <v>0</v>
      </c>
      <c r="G306" s="6">
        <f t="shared" si="40"/>
        <v>0</v>
      </c>
      <c r="H306" s="7">
        <f t="shared" si="41"/>
        <v>0</v>
      </c>
      <c r="I306" s="6">
        <f>_xlfn.IFNA(IF(VLOOKUP($A306,'BU Raw Before'!A:H,1,FALSE)=$A306,VLOOKUP($A306,'BU Raw Before'!A:H,6,FALSE),0),0)</f>
        <v>0</v>
      </c>
      <c r="J306" s="6">
        <f>_xlfn.IFNA(IF(VLOOKUP($A306,'BU Raw After'!A:H,1,FALSE)=$A306,VLOOKUP($A306,'BU Raw After'!A:H,6,FALSE),0),0)</f>
        <v>0</v>
      </c>
      <c r="K306" s="6">
        <f t="shared" si="42"/>
        <v>0</v>
      </c>
      <c r="L306" s="7">
        <f t="shared" si="43"/>
        <v>0</v>
      </c>
      <c r="M306" s="6">
        <f>_xlfn.IFNA(IF(VLOOKUP($A306,'BU Raw Before'!A:H,1,FALSE)=$A306,VLOOKUP($A306,'BU Raw Before'!A:H,7,FALSE),0),0)</f>
        <v>0</v>
      </c>
      <c r="N306" s="6">
        <f>_xlfn.IFNA(IF(VLOOKUP($A306,'BU Raw After'!A:H,1,FALSE)=$A306,VLOOKUP($A306,'BU Raw After'!A:H,7,FALSE),0),0)</f>
        <v>0</v>
      </c>
      <c r="O306" s="6">
        <f t="shared" si="44"/>
        <v>0</v>
      </c>
      <c r="P306" s="7">
        <f t="shared" si="45"/>
        <v>0</v>
      </c>
      <c r="Q306" s="6">
        <f>_xlfn.IFNA(IF(VLOOKUP($A306,'BU Raw Before'!A:H,1,FALSE)=$A306,VLOOKUP($A306,'BU Raw Before'!A:H,8,FALSE),0),0)</f>
        <v>0</v>
      </c>
      <c r="R306" s="6">
        <f>_xlfn.IFNA(IF(VLOOKUP($A306,'BU Raw After'!A:H,1,FALSE)=$A306,VLOOKUP($A306,'BU Raw After'!A:H,8,FALSE),0),0)</f>
        <v>0</v>
      </c>
      <c r="S306" s="6">
        <f t="shared" si="46"/>
        <v>0</v>
      </c>
      <c r="T306" s="7">
        <f t="shared" si="47"/>
        <v>0</v>
      </c>
    </row>
    <row r="307" spans="1:20" ht="15" x14ac:dyDescent="0.25">
      <c r="A307" t="s">
        <v>271</v>
      </c>
      <c r="B307" t="s">
        <v>248</v>
      </c>
      <c r="C307" t="s">
        <v>32</v>
      </c>
      <c r="D307" t="s">
        <v>21</v>
      </c>
      <c r="E307" s="6">
        <f>_xlfn.IFNA(IF(VLOOKUP($A307,'BU Raw Before'!A:H,1,FALSE)=$A307,VLOOKUP($A307,'BU Raw Before'!A:H,5,FALSE),0),0)</f>
        <v>0</v>
      </c>
      <c r="F307" s="6">
        <f>_xlfn.IFNA(IF(VLOOKUP($A307,'BU Raw After'!A:H,1,FALSE)=$A307,VLOOKUP($A307,'BU Raw After'!A:H,5,FALSE),0),0)</f>
        <v>0</v>
      </c>
      <c r="G307" s="6">
        <f t="shared" si="40"/>
        <v>0</v>
      </c>
      <c r="H307" s="7">
        <f t="shared" si="41"/>
        <v>0</v>
      </c>
      <c r="I307" s="6">
        <f>_xlfn.IFNA(IF(VLOOKUP($A307,'BU Raw Before'!A:H,1,FALSE)=$A307,VLOOKUP($A307,'BU Raw Before'!A:H,6,FALSE),0),0)</f>
        <v>0</v>
      </c>
      <c r="J307" s="6">
        <f>_xlfn.IFNA(IF(VLOOKUP($A307,'BU Raw After'!A:H,1,FALSE)=$A307,VLOOKUP($A307,'BU Raw After'!A:H,6,FALSE),0),0)</f>
        <v>0</v>
      </c>
      <c r="K307" s="6">
        <f t="shared" si="42"/>
        <v>0</v>
      </c>
      <c r="L307" s="7">
        <f t="shared" si="43"/>
        <v>0</v>
      </c>
      <c r="M307" s="6">
        <f>_xlfn.IFNA(IF(VLOOKUP($A307,'BU Raw Before'!A:H,1,FALSE)=$A307,VLOOKUP($A307,'BU Raw Before'!A:H,7,FALSE),0),0)</f>
        <v>0</v>
      </c>
      <c r="N307" s="6">
        <f>_xlfn.IFNA(IF(VLOOKUP($A307,'BU Raw After'!A:H,1,FALSE)=$A307,VLOOKUP($A307,'BU Raw After'!A:H,7,FALSE),0),0)</f>
        <v>0</v>
      </c>
      <c r="O307" s="6">
        <f t="shared" si="44"/>
        <v>0</v>
      </c>
      <c r="P307" s="7">
        <f t="shared" si="45"/>
        <v>0</v>
      </c>
      <c r="Q307" s="6">
        <f>_xlfn.IFNA(IF(VLOOKUP($A307,'BU Raw Before'!A:H,1,FALSE)=$A307,VLOOKUP($A307,'BU Raw Before'!A:H,8,FALSE),0),0)</f>
        <v>0</v>
      </c>
      <c r="R307" s="6">
        <f>_xlfn.IFNA(IF(VLOOKUP($A307,'BU Raw After'!A:H,1,FALSE)=$A307,VLOOKUP($A307,'BU Raw After'!A:H,8,FALSE),0),0)</f>
        <v>0</v>
      </c>
      <c r="S307" s="6">
        <f t="shared" si="46"/>
        <v>0</v>
      </c>
      <c r="T307" s="7">
        <f t="shared" si="47"/>
        <v>0</v>
      </c>
    </row>
    <row r="308" spans="1:20" ht="15" x14ac:dyDescent="0.25">
      <c r="A308" t="s">
        <v>272</v>
      </c>
      <c r="B308" t="s">
        <v>248</v>
      </c>
      <c r="C308" t="s">
        <v>41</v>
      </c>
      <c r="D308" t="s">
        <v>7</v>
      </c>
      <c r="E308" s="6">
        <f>_xlfn.IFNA(IF(VLOOKUP($A308,'BU Raw Before'!A:H,1,FALSE)=$A308,VLOOKUP($A308,'BU Raw Before'!A:H,5,FALSE),0),0)</f>
        <v>0</v>
      </c>
      <c r="F308" s="6">
        <f>_xlfn.IFNA(IF(VLOOKUP($A308,'BU Raw After'!A:H,1,FALSE)=$A308,VLOOKUP($A308,'BU Raw After'!A:H,5,FALSE),0),0)</f>
        <v>0</v>
      </c>
      <c r="G308" s="6">
        <f t="shared" si="40"/>
        <v>0</v>
      </c>
      <c r="H308" s="7">
        <f t="shared" si="41"/>
        <v>0</v>
      </c>
      <c r="I308" s="6">
        <f>_xlfn.IFNA(IF(VLOOKUP($A308,'BU Raw Before'!A:H,1,FALSE)=$A308,VLOOKUP($A308,'BU Raw Before'!A:H,6,FALSE),0),0)</f>
        <v>0</v>
      </c>
      <c r="J308" s="6">
        <f>_xlfn.IFNA(IF(VLOOKUP($A308,'BU Raw After'!A:H,1,FALSE)=$A308,VLOOKUP($A308,'BU Raw After'!A:H,6,FALSE),0),0)</f>
        <v>0</v>
      </c>
      <c r="K308" s="6">
        <f t="shared" si="42"/>
        <v>0</v>
      </c>
      <c r="L308" s="7">
        <f t="shared" si="43"/>
        <v>0</v>
      </c>
      <c r="M308" s="6">
        <f>_xlfn.IFNA(IF(VLOOKUP($A308,'BU Raw Before'!A:H,1,FALSE)=$A308,VLOOKUP($A308,'BU Raw Before'!A:H,7,FALSE),0),0)</f>
        <v>0</v>
      </c>
      <c r="N308" s="6">
        <f>_xlfn.IFNA(IF(VLOOKUP($A308,'BU Raw After'!A:H,1,FALSE)=$A308,VLOOKUP($A308,'BU Raw After'!A:H,7,FALSE),0),0)</f>
        <v>0</v>
      </c>
      <c r="O308" s="6">
        <f t="shared" si="44"/>
        <v>0</v>
      </c>
      <c r="P308" s="7">
        <f t="shared" si="45"/>
        <v>0</v>
      </c>
      <c r="Q308" s="6">
        <f>_xlfn.IFNA(IF(VLOOKUP($A308,'BU Raw Before'!A:H,1,FALSE)=$A308,VLOOKUP($A308,'BU Raw Before'!A:H,8,FALSE),0),0)</f>
        <v>0</v>
      </c>
      <c r="R308" s="6">
        <f>_xlfn.IFNA(IF(VLOOKUP($A308,'BU Raw After'!A:H,1,FALSE)=$A308,VLOOKUP($A308,'BU Raw After'!A:H,8,FALSE),0),0)</f>
        <v>0</v>
      </c>
      <c r="S308" s="6">
        <f t="shared" si="46"/>
        <v>0</v>
      </c>
      <c r="T308" s="7">
        <f t="shared" si="47"/>
        <v>0</v>
      </c>
    </row>
    <row r="309" spans="1:20" ht="15" x14ac:dyDescent="0.25">
      <c r="A309" t="s">
        <v>273</v>
      </c>
      <c r="B309" t="s">
        <v>248</v>
      </c>
      <c r="C309" t="s">
        <v>41</v>
      </c>
      <c r="D309" t="s">
        <v>9</v>
      </c>
      <c r="E309" s="6">
        <f>_xlfn.IFNA(IF(VLOOKUP($A309,'BU Raw Before'!A:H,1,FALSE)=$A309,VLOOKUP($A309,'BU Raw Before'!A:H,5,FALSE),0),0)</f>
        <v>0</v>
      </c>
      <c r="F309" s="6">
        <f>_xlfn.IFNA(IF(VLOOKUP($A309,'BU Raw After'!A:H,1,FALSE)=$A309,VLOOKUP($A309,'BU Raw After'!A:H,5,FALSE),0),0)</f>
        <v>0</v>
      </c>
      <c r="G309" s="6">
        <f t="shared" si="40"/>
        <v>0</v>
      </c>
      <c r="H309" s="7">
        <f t="shared" si="41"/>
        <v>0</v>
      </c>
      <c r="I309" s="6">
        <f>_xlfn.IFNA(IF(VLOOKUP($A309,'BU Raw Before'!A:H,1,FALSE)=$A309,VLOOKUP($A309,'BU Raw Before'!A:H,6,FALSE),0),0)</f>
        <v>0</v>
      </c>
      <c r="J309" s="6">
        <f>_xlfn.IFNA(IF(VLOOKUP($A309,'BU Raw After'!A:H,1,FALSE)=$A309,VLOOKUP($A309,'BU Raw After'!A:H,6,FALSE),0),0)</f>
        <v>0</v>
      </c>
      <c r="K309" s="6">
        <f t="shared" si="42"/>
        <v>0</v>
      </c>
      <c r="L309" s="7">
        <f t="shared" si="43"/>
        <v>0</v>
      </c>
      <c r="M309" s="6">
        <f>_xlfn.IFNA(IF(VLOOKUP($A309,'BU Raw Before'!A:H,1,FALSE)=$A309,VLOOKUP($A309,'BU Raw Before'!A:H,7,FALSE),0),0)</f>
        <v>0</v>
      </c>
      <c r="N309" s="6">
        <f>_xlfn.IFNA(IF(VLOOKUP($A309,'BU Raw After'!A:H,1,FALSE)=$A309,VLOOKUP($A309,'BU Raw After'!A:H,7,FALSE),0),0)</f>
        <v>0</v>
      </c>
      <c r="O309" s="6">
        <f t="shared" si="44"/>
        <v>0</v>
      </c>
      <c r="P309" s="7">
        <f t="shared" si="45"/>
        <v>0</v>
      </c>
      <c r="Q309" s="6">
        <f>_xlfn.IFNA(IF(VLOOKUP($A309,'BU Raw Before'!A:H,1,FALSE)=$A309,VLOOKUP($A309,'BU Raw Before'!A:H,8,FALSE),0),0)</f>
        <v>0</v>
      </c>
      <c r="R309" s="6">
        <f>_xlfn.IFNA(IF(VLOOKUP($A309,'BU Raw After'!A:H,1,FALSE)=$A309,VLOOKUP($A309,'BU Raw After'!A:H,8,FALSE),0),0)</f>
        <v>0</v>
      </c>
      <c r="S309" s="6">
        <f t="shared" si="46"/>
        <v>0</v>
      </c>
      <c r="T309" s="7">
        <f t="shared" si="47"/>
        <v>0</v>
      </c>
    </row>
    <row r="310" spans="1:20" ht="15" x14ac:dyDescent="0.25">
      <c r="A310" t="s">
        <v>274</v>
      </c>
      <c r="B310" t="s">
        <v>248</v>
      </c>
      <c r="C310" t="s">
        <v>41</v>
      </c>
      <c r="D310" t="s">
        <v>11</v>
      </c>
      <c r="E310" s="6">
        <f>_xlfn.IFNA(IF(VLOOKUP($A310,'BU Raw Before'!A:H,1,FALSE)=$A310,VLOOKUP($A310,'BU Raw Before'!A:H,5,FALSE),0),0)</f>
        <v>0</v>
      </c>
      <c r="F310" s="6">
        <f>_xlfn.IFNA(IF(VLOOKUP($A310,'BU Raw After'!A:H,1,FALSE)=$A310,VLOOKUP($A310,'BU Raw After'!A:H,5,FALSE),0),0)</f>
        <v>0</v>
      </c>
      <c r="G310" s="6">
        <f t="shared" si="40"/>
        <v>0</v>
      </c>
      <c r="H310" s="7">
        <f t="shared" si="41"/>
        <v>0</v>
      </c>
      <c r="I310" s="6">
        <f>_xlfn.IFNA(IF(VLOOKUP($A310,'BU Raw Before'!A:H,1,FALSE)=$A310,VLOOKUP($A310,'BU Raw Before'!A:H,6,FALSE),0),0)</f>
        <v>0</v>
      </c>
      <c r="J310" s="6">
        <f>_xlfn.IFNA(IF(VLOOKUP($A310,'BU Raw After'!A:H,1,FALSE)=$A310,VLOOKUP($A310,'BU Raw After'!A:H,6,FALSE),0),0)</f>
        <v>0</v>
      </c>
      <c r="K310" s="6">
        <f t="shared" si="42"/>
        <v>0</v>
      </c>
      <c r="L310" s="7">
        <f t="shared" si="43"/>
        <v>0</v>
      </c>
      <c r="M310" s="6">
        <f>_xlfn.IFNA(IF(VLOOKUP($A310,'BU Raw Before'!A:H,1,FALSE)=$A310,VLOOKUP($A310,'BU Raw Before'!A:H,7,FALSE),0),0)</f>
        <v>0</v>
      </c>
      <c r="N310" s="6">
        <f>_xlfn.IFNA(IF(VLOOKUP($A310,'BU Raw After'!A:H,1,FALSE)=$A310,VLOOKUP($A310,'BU Raw After'!A:H,7,FALSE),0),0)</f>
        <v>0</v>
      </c>
      <c r="O310" s="6">
        <f t="shared" si="44"/>
        <v>0</v>
      </c>
      <c r="P310" s="7">
        <f t="shared" si="45"/>
        <v>0</v>
      </c>
      <c r="Q310" s="6">
        <f>_xlfn.IFNA(IF(VLOOKUP($A310,'BU Raw Before'!A:H,1,FALSE)=$A310,VLOOKUP($A310,'BU Raw Before'!A:H,8,FALSE),0),0)</f>
        <v>0</v>
      </c>
      <c r="R310" s="6">
        <f>_xlfn.IFNA(IF(VLOOKUP($A310,'BU Raw After'!A:H,1,FALSE)=$A310,VLOOKUP($A310,'BU Raw After'!A:H,8,FALSE),0),0)</f>
        <v>0</v>
      </c>
      <c r="S310" s="6">
        <f t="shared" si="46"/>
        <v>0</v>
      </c>
      <c r="T310" s="7">
        <f t="shared" si="47"/>
        <v>0</v>
      </c>
    </row>
    <row r="311" spans="1:20" ht="15" x14ac:dyDescent="0.25">
      <c r="A311" t="s">
        <v>275</v>
      </c>
      <c r="B311" t="s">
        <v>248</v>
      </c>
      <c r="C311" t="s">
        <v>41</v>
      </c>
      <c r="D311" t="s">
        <v>13</v>
      </c>
      <c r="E311" s="6">
        <f>_xlfn.IFNA(IF(VLOOKUP($A311,'BU Raw Before'!A:H,1,FALSE)=$A311,VLOOKUP($A311,'BU Raw Before'!A:H,5,FALSE),0),0)</f>
        <v>0</v>
      </c>
      <c r="F311" s="6">
        <f>_xlfn.IFNA(IF(VLOOKUP($A311,'BU Raw After'!A:H,1,FALSE)=$A311,VLOOKUP($A311,'BU Raw After'!A:H,5,FALSE),0),0)</f>
        <v>0</v>
      </c>
      <c r="G311" s="6">
        <f t="shared" si="40"/>
        <v>0</v>
      </c>
      <c r="H311" s="7">
        <f t="shared" si="41"/>
        <v>0</v>
      </c>
      <c r="I311" s="6">
        <f>_xlfn.IFNA(IF(VLOOKUP($A311,'BU Raw Before'!A:H,1,FALSE)=$A311,VLOOKUP($A311,'BU Raw Before'!A:H,6,FALSE),0),0)</f>
        <v>0</v>
      </c>
      <c r="J311" s="6">
        <f>_xlfn.IFNA(IF(VLOOKUP($A311,'BU Raw After'!A:H,1,FALSE)=$A311,VLOOKUP($A311,'BU Raw After'!A:H,6,FALSE),0),0)</f>
        <v>0</v>
      </c>
      <c r="K311" s="6">
        <f t="shared" si="42"/>
        <v>0</v>
      </c>
      <c r="L311" s="7">
        <f t="shared" si="43"/>
        <v>0</v>
      </c>
      <c r="M311" s="6">
        <f>_xlfn.IFNA(IF(VLOOKUP($A311,'BU Raw Before'!A:H,1,FALSE)=$A311,VLOOKUP($A311,'BU Raw Before'!A:H,7,FALSE),0),0)</f>
        <v>0</v>
      </c>
      <c r="N311" s="6">
        <f>_xlfn.IFNA(IF(VLOOKUP($A311,'BU Raw After'!A:H,1,FALSE)=$A311,VLOOKUP($A311,'BU Raw After'!A:H,7,FALSE),0),0)</f>
        <v>0</v>
      </c>
      <c r="O311" s="6">
        <f t="shared" si="44"/>
        <v>0</v>
      </c>
      <c r="P311" s="7">
        <f t="shared" si="45"/>
        <v>0</v>
      </c>
      <c r="Q311" s="6">
        <f>_xlfn.IFNA(IF(VLOOKUP($A311,'BU Raw Before'!A:H,1,FALSE)=$A311,VLOOKUP($A311,'BU Raw Before'!A:H,8,FALSE),0),0)</f>
        <v>0</v>
      </c>
      <c r="R311" s="6">
        <f>_xlfn.IFNA(IF(VLOOKUP($A311,'BU Raw After'!A:H,1,FALSE)=$A311,VLOOKUP($A311,'BU Raw After'!A:H,8,FALSE),0),0)</f>
        <v>0</v>
      </c>
      <c r="S311" s="6">
        <f t="shared" si="46"/>
        <v>0</v>
      </c>
      <c r="T311" s="7">
        <f t="shared" si="47"/>
        <v>0</v>
      </c>
    </row>
    <row r="312" spans="1:20" ht="15" x14ac:dyDescent="0.25">
      <c r="A312" t="s">
        <v>276</v>
      </c>
      <c r="B312" t="s">
        <v>248</v>
      </c>
      <c r="C312" t="s">
        <v>41</v>
      </c>
      <c r="D312" t="s">
        <v>15</v>
      </c>
      <c r="E312" s="6">
        <f>_xlfn.IFNA(IF(VLOOKUP($A312,'BU Raw Before'!A:H,1,FALSE)=$A312,VLOOKUP($A312,'BU Raw Before'!A:H,5,FALSE),0),0)</f>
        <v>0</v>
      </c>
      <c r="F312" s="6">
        <f>_xlfn.IFNA(IF(VLOOKUP($A312,'BU Raw After'!A:H,1,FALSE)=$A312,VLOOKUP($A312,'BU Raw After'!A:H,5,FALSE),0),0)</f>
        <v>0</v>
      </c>
      <c r="G312" s="6">
        <f t="shared" si="40"/>
        <v>0</v>
      </c>
      <c r="H312" s="7">
        <f t="shared" si="41"/>
        <v>0</v>
      </c>
      <c r="I312" s="6">
        <f>_xlfn.IFNA(IF(VLOOKUP($A312,'BU Raw Before'!A:H,1,FALSE)=$A312,VLOOKUP($A312,'BU Raw Before'!A:H,6,FALSE),0),0)</f>
        <v>0</v>
      </c>
      <c r="J312" s="6">
        <f>_xlfn.IFNA(IF(VLOOKUP($A312,'BU Raw After'!A:H,1,FALSE)=$A312,VLOOKUP($A312,'BU Raw After'!A:H,6,FALSE),0),0)</f>
        <v>0</v>
      </c>
      <c r="K312" s="6">
        <f t="shared" si="42"/>
        <v>0</v>
      </c>
      <c r="L312" s="7">
        <f t="shared" si="43"/>
        <v>0</v>
      </c>
      <c r="M312" s="6">
        <f>_xlfn.IFNA(IF(VLOOKUP($A312,'BU Raw Before'!A:H,1,FALSE)=$A312,VLOOKUP($A312,'BU Raw Before'!A:H,7,FALSE),0),0)</f>
        <v>0</v>
      </c>
      <c r="N312" s="6">
        <f>_xlfn.IFNA(IF(VLOOKUP($A312,'BU Raw After'!A:H,1,FALSE)=$A312,VLOOKUP($A312,'BU Raw After'!A:H,7,FALSE),0),0)</f>
        <v>0</v>
      </c>
      <c r="O312" s="6">
        <f t="shared" si="44"/>
        <v>0</v>
      </c>
      <c r="P312" s="7">
        <f t="shared" si="45"/>
        <v>0</v>
      </c>
      <c r="Q312" s="6">
        <f>_xlfn.IFNA(IF(VLOOKUP($A312,'BU Raw Before'!A:H,1,FALSE)=$A312,VLOOKUP($A312,'BU Raw Before'!A:H,8,FALSE),0),0)</f>
        <v>0</v>
      </c>
      <c r="R312" s="6">
        <f>_xlfn.IFNA(IF(VLOOKUP($A312,'BU Raw After'!A:H,1,FALSE)=$A312,VLOOKUP($A312,'BU Raw After'!A:H,8,FALSE),0),0)</f>
        <v>0</v>
      </c>
      <c r="S312" s="6">
        <f t="shared" si="46"/>
        <v>0</v>
      </c>
      <c r="T312" s="7">
        <f t="shared" si="47"/>
        <v>0</v>
      </c>
    </row>
    <row r="313" spans="1:20" ht="15" x14ac:dyDescent="0.25">
      <c r="A313" t="s">
        <v>277</v>
      </c>
      <c r="B313" t="s">
        <v>248</v>
      </c>
      <c r="C313" t="s">
        <v>41</v>
      </c>
      <c r="D313" t="s">
        <v>17</v>
      </c>
      <c r="E313" s="6">
        <f>_xlfn.IFNA(IF(VLOOKUP($A313,'BU Raw Before'!A:H,1,FALSE)=$A313,VLOOKUP($A313,'BU Raw Before'!A:H,5,FALSE),0),0)</f>
        <v>0</v>
      </c>
      <c r="F313" s="6">
        <f>_xlfn.IFNA(IF(VLOOKUP($A313,'BU Raw After'!A:H,1,FALSE)=$A313,VLOOKUP($A313,'BU Raw After'!A:H,5,FALSE),0),0)</f>
        <v>0</v>
      </c>
      <c r="G313" s="6">
        <f t="shared" si="40"/>
        <v>0</v>
      </c>
      <c r="H313" s="7">
        <f t="shared" si="41"/>
        <v>0</v>
      </c>
      <c r="I313" s="6">
        <f>_xlfn.IFNA(IF(VLOOKUP($A313,'BU Raw Before'!A:H,1,FALSE)=$A313,VLOOKUP($A313,'BU Raw Before'!A:H,6,FALSE),0),0)</f>
        <v>0</v>
      </c>
      <c r="J313" s="6">
        <f>_xlfn.IFNA(IF(VLOOKUP($A313,'BU Raw After'!A:H,1,FALSE)=$A313,VLOOKUP($A313,'BU Raw After'!A:H,6,FALSE),0),0)</f>
        <v>0</v>
      </c>
      <c r="K313" s="6">
        <f t="shared" si="42"/>
        <v>0</v>
      </c>
      <c r="L313" s="7">
        <f t="shared" si="43"/>
        <v>0</v>
      </c>
      <c r="M313" s="6">
        <f>_xlfn.IFNA(IF(VLOOKUP($A313,'BU Raw Before'!A:H,1,FALSE)=$A313,VLOOKUP($A313,'BU Raw Before'!A:H,7,FALSE),0),0)</f>
        <v>0</v>
      </c>
      <c r="N313" s="6">
        <f>_xlfn.IFNA(IF(VLOOKUP($A313,'BU Raw After'!A:H,1,FALSE)=$A313,VLOOKUP($A313,'BU Raw After'!A:H,7,FALSE),0),0)</f>
        <v>0</v>
      </c>
      <c r="O313" s="6">
        <f t="shared" si="44"/>
        <v>0</v>
      </c>
      <c r="P313" s="7">
        <f t="shared" si="45"/>
        <v>0</v>
      </c>
      <c r="Q313" s="6">
        <f>_xlfn.IFNA(IF(VLOOKUP($A313,'BU Raw Before'!A:H,1,FALSE)=$A313,VLOOKUP($A313,'BU Raw Before'!A:H,8,FALSE),0),0)</f>
        <v>0</v>
      </c>
      <c r="R313" s="6">
        <f>_xlfn.IFNA(IF(VLOOKUP($A313,'BU Raw After'!A:H,1,FALSE)=$A313,VLOOKUP($A313,'BU Raw After'!A:H,8,FALSE),0),0)</f>
        <v>0</v>
      </c>
      <c r="S313" s="6">
        <f t="shared" si="46"/>
        <v>0</v>
      </c>
      <c r="T313" s="7">
        <f t="shared" si="47"/>
        <v>0</v>
      </c>
    </row>
    <row r="314" spans="1:20" ht="15" x14ac:dyDescent="0.25">
      <c r="A314" t="s">
        <v>278</v>
      </c>
      <c r="B314" t="s">
        <v>248</v>
      </c>
      <c r="C314" t="s">
        <v>41</v>
      </c>
      <c r="D314" t="s">
        <v>19</v>
      </c>
      <c r="E314" s="6">
        <f>_xlfn.IFNA(IF(VLOOKUP($A314,'BU Raw Before'!A:H,1,FALSE)=$A314,VLOOKUP($A314,'BU Raw Before'!A:H,5,FALSE),0),0)</f>
        <v>0</v>
      </c>
      <c r="F314" s="6">
        <f>_xlfn.IFNA(IF(VLOOKUP($A314,'BU Raw After'!A:H,1,FALSE)=$A314,VLOOKUP($A314,'BU Raw After'!A:H,5,FALSE),0),0)</f>
        <v>0</v>
      </c>
      <c r="G314" s="6">
        <f t="shared" si="40"/>
        <v>0</v>
      </c>
      <c r="H314" s="7">
        <f t="shared" si="41"/>
        <v>0</v>
      </c>
      <c r="I314" s="6">
        <f>_xlfn.IFNA(IF(VLOOKUP($A314,'BU Raw Before'!A:H,1,FALSE)=$A314,VLOOKUP($A314,'BU Raw Before'!A:H,6,FALSE),0),0)</f>
        <v>0</v>
      </c>
      <c r="J314" s="6">
        <f>_xlfn.IFNA(IF(VLOOKUP($A314,'BU Raw After'!A:H,1,FALSE)=$A314,VLOOKUP($A314,'BU Raw After'!A:H,6,FALSE),0),0)</f>
        <v>0</v>
      </c>
      <c r="K314" s="6">
        <f t="shared" si="42"/>
        <v>0</v>
      </c>
      <c r="L314" s="7">
        <f t="shared" si="43"/>
        <v>0</v>
      </c>
      <c r="M314" s="6">
        <f>_xlfn.IFNA(IF(VLOOKUP($A314,'BU Raw Before'!A:H,1,FALSE)=$A314,VLOOKUP($A314,'BU Raw Before'!A:H,7,FALSE),0),0)</f>
        <v>0</v>
      </c>
      <c r="N314" s="6">
        <f>_xlfn.IFNA(IF(VLOOKUP($A314,'BU Raw After'!A:H,1,FALSE)=$A314,VLOOKUP($A314,'BU Raw After'!A:H,7,FALSE),0),0)</f>
        <v>0</v>
      </c>
      <c r="O314" s="6">
        <f t="shared" si="44"/>
        <v>0</v>
      </c>
      <c r="P314" s="7">
        <f t="shared" si="45"/>
        <v>0</v>
      </c>
      <c r="Q314" s="6">
        <f>_xlfn.IFNA(IF(VLOOKUP($A314,'BU Raw Before'!A:H,1,FALSE)=$A314,VLOOKUP($A314,'BU Raw Before'!A:H,8,FALSE),0),0)</f>
        <v>0</v>
      </c>
      <c r="R314" s="6">
        <f>_xlfn.IFNA(IF(VLOOKUP($A314,'BU Raw After'!A:H,1,FALSE)=$A314,VLOOKUP($A314,'BU Raw After'!A:H,8,FALSE),0),0)</f>
        <v>0</v>
      </c>
      <c r="S314" s="6">
        <f t="shared" si="46"/>
        <v>0</v>
      </c>
      <c r="T314" s="7">
        <f t="shared" si="47"/>
        <v>0</v>
      </c>
    </row>
    <row r="315" spans="1:20" ht="15" x14ac:dyDescent="0.25">
      <c r="A315" t="s">
        <v>279</v>
      </c>
      <c r="B315" t="s">
        <v>248</v>
      </c>
      <c r="C315" t="s">
        <v>41</v>
      </c>
      <c r="D315" t="s">
        <v>21</v>
      </c>
      <c r="E315" s="6">
        <f>_xlfn.IFNA(IF(VLOOKUP($A315,'BU Raw Before'!A:H,1,FALSE)=$A315,VLOOKUP($A315,'BU Raw Before'!A:H,5,FALSE),0),0)</f>
        <v>0</v>
      </c>
      <c r="F315" s="6">
        <f>_xlfn.IFNA(IF(VLOOKUP($A315,'BU Raw After'!A:H,1,FALSE)=$A315,VLOOKUP($A315,'BU Raw After'!A:H,5,FALSE),0),0)</f>
        <v>0</v>
      </c>
      <c r="G315" s="6">
        <f t="shared" si="40"/>
        <v>0</v>
      </c>
      <c r="H315" s="7">
        <f t="shared" si="41"/>
        <v>0</v>
      </c>
      <c r="I315" s="6">
        <f>_xlfn.IFNA(IF(VLOOKUP($A315,'BU Raw Before'!A:H,1,FALSE)=$A315,VLOOKUP($A315,'BU Raw Before'!A:H,6,FALSE),0),0)</f>
        <v>0</v>
      </c>
      <c r="J315" s="6">
        <f>_xlfn.IFNA(IF(VLOOKUP($A315,'BU Raw After'!A:H,1,FALSE)=$A315,VLOOKUP($A315,'BU Raw After'!A:H,6,FALSE),0),0)</f>
        <v>0</v>
      </c>
      <c r="K315" s="6">
        <f t="shared" si="42"/>
        <v>0</v>
      </c>
      <c r="L315" s="7">
        <f t="shared" si="43"/>
        <v>0</v>
      </c>
      <c r="M315" s="6">
        <f>_xlfn.IFNA(IF(VLOOKUP($A315,'BU Raw Before'!A:H,1,FALSE)=$A315,VLOOKUP($A315,'BU Raw Before'!A:H,7,FALSE),0),0)</f>
        <v>0</v>
      </c>
      <c r="N315" s="6">
        <f>_xlfn.IFNA(IF(VLOOKUP($A315,'BU Raw After'!A:H,1,FALSE)=$A315,VLOOKUP($A315,'BU Raw After'!A:H,7,FALSE),0),0)</f>
        <v>0</v>
      </c>
      <c r="O315" s="6">
        <f t="shared" si="44"/>
        <v>0</v>
      </c>
      <c r="P315" s="7">
        <f t="shared" si="45"/>
        <v>0</v>
      </c>
      <c r="Q315" s="6">
        <f>_xlfn.IFNA(IF(VLOOKUP($A315,'BU Raw Before'!A:H,1,FALSE)=$A315,VLOOKUP($A315,'BU Raw Before'!A:H,8,FALSE),0),0)</f>
        <v>0</v>
      </c>
      <c r="R315" s="6">
        <f>_xlfn.IFNA(IF(VLOOKUP($A315,'BU Raw After'!A:H,1,FALSE)=$A315,VLOOKUP($A315,'BU Raw After'!A:H,8,FALSE),0),0)</f>
        <v>0</v>
      </c>
      <c r="S315" s="6">
        <f t="shared" si="46"/>
        <v>0</v>
      </c>
      <c r="T315" s="7">
        <f t="shared" si="47"/>
        <v>0</v>
      </c>
    </row>
    <row r="316" spans="1:20" ht="15" x14ac:dyDescent="0.25">
      <c r="A316" t="s">
        <v>368</v>
      </c>
      <c r="B316" t="s">
        <v>248</v>
      </c>
      <c r="C316" t="s">
        <v>286</v>
      </c>
      <c r="D316" t="s">
        <v>7</v>
      </c>
      <c r="E316" s="6">
        <f>_xlfn.IFNA(IF(VLOOKUP($A316,'BU Raw Before'!A:H,1,FALSE)=$A316,VLOOKUP($A316,'BU Raw Before'!A:H,5,FALSE),0),0)</f>
        <v>0</v>
      </c>
      <c r="F316" s="6">
        <f>_xlfn.IFNA(IF(VLOOKUP($A316,'BU Raw After'!A:H,1,FALSE)=$A316,VLOOKUP($A316,'BU Raw After'!A:H,5,FALSE),0),0)</f>
        <v>0</v>
      </c>
      <c r="G316" s="6">
        <f t="shared" si="40"/>
        <v>0</v>
      </c>
      <c r="H316" s="7">
        <f t="shared" si="41"/>
        <v>0</v>
      </c>
      <c r="I316" s="6">
        <f>_xlfn.IFNA(IF(VLOOKUP($A316,'BU Raw Before'!A:H,1,FALSE)=$A316,VLOOKUP($A316,'BU Raw Before'!A:H,6,FALSE),0),0)</f>
        <v>0</v>
      </c>
      <c r="J316" s="6">
        <f>_xlfn.IFNA(IF(VLOOKUP($A316,'BU Raw After'!A:H,1,FALSE)=$A316,VLOOKUP($A316,'BU Raw After'!A:H,6,FALSE),0),0)</f>
        <v>0</v>
      </c>
      <c r="K316" s="6">
        <f t="shared" si="42"/>
        <v>0</v>
      </c>
      <c r="L316" s="7">
        <f t="shared" si="43"/>
        <v>0</v>
      </c>
      <c r="M316" s="6">
        <f>_xlfn.IFNA(IF(VLOOKUP($A316,'BU Raw Before'!A:H,1,FALSE)=$A316,VLOOKUP($A316,'BU Raw Before'!A:H,7,FALSE),0),0)</f>
        <v>0</v>
      </c>
      <c r="N316" s="6">
        <f>_xlfn.IFNA(IF(VLOOKUP($A316,'BU Raw After'!A:H,1,FALSE)=$A316,VLOOKUP($A316,'BU Raw After'!A:H,7,FALSE),0),0)</f>
        <v>0</v>
      </c>
      <c r="O316" s="6">
        <f t="shared" si="44"/>
        <v>0</v>
      </c>
      <c r="P316" s="7">
        <f t="shared" si="45"/>
        <v>0</v>
      </c>
      <c r="Q316" s="6">
        <f>_xlfn.IFNA(IF(VLOOKUP($A316,'BU Raw Before'!A:H,1,FALSE)=$A316,VLOOKUP($A316,'BU Raw Before'!A:H,8,FALSE),0),0)</f>
        <v>0</v>
      </c>
      <c r="R316" s="6">
        <f>_xlfn.IFNA(IF(VLOOKUP($A316,'BU Raw After'!A:H,1,FALSE)=$A316,VLOOKUP($A316,'BU Raw After'!A:H,8,FALSE),0),0)</f>
        <v>0</v>
      </c>
      <c r="S316" s="6">
        <f t="shared" si="46"/>
        <v>0</v>
      </c>
      <c r="T316" s="7">
        <f t="shared" si="47"/>
        <v>0</v>
      </c>
    </row>
    <row r="317" spans="1:20" ht="15" x14ac:dyDescent="0.25">
      <c r="A317" t="s">
        <v>369</v>
      </c>
      <c r="B317" t="s">
        <v>248</v>
      </c>
      <c r="C317" t="s">
        <v>286</v>
      </c>
      <c r="D317" t="s">
        <v>9</v>
      </c>
      <c r="E317" s="6">
        <f>_xlfn.IFNA(IF(VLOOKUP($A317,'BU Raw Before'!A:H,1,FALSE)=$A317,VLOOKUP($A317,'BU Raw Before'!A:H,5,FALSE),0),0)</f>
        <v>0</v>
      </c>
      <c r="F317" s="6">
        <f>_xlfn.IFNA(IF(VLOOKUP($A317,'BU Raw After'!A:H,1,FALSE)=$A317,VLOOKUP($A317,'BU Raw After'!A:H,5,FALSE),0),0)</f>
        <v>0</v>
      </c>
      <c r="G317" s="6">
        <f t="shared" si="40"/>
        <v>0</v>
      </c>
      <c r="H317" s="7">
        <f t="shared" si="41"/>
        <v>0</v>
      </c>
      <c r="I317" s="6">
        <f>_xlfn.IFNA(IF(VLOOKUP($A317,'BU Raw Before'!A:H,1,FALSE)=$A317,VLOOKUP($A317,'BU Raw Before'!A:H,6,FALSE),0),0)</f>
        <v>0</v>
      </c>
      <c r="J317" s="6">
        <f>_xlfn.IFNA(IF(VLOOKUP($A317,'BU Raw After'!A:H,1,FALSE)=$A317,VLOOKUP($A317,'BU Raw After'!A:H,6,FALSE),0),0)</f>
        <v>0</v>
      </c>
      <c r="K317" s="6">
        <f t="shared" si="42"/>
        <v>0</v>
      </c>
      <c r="L317" s="7">
        <f t="shared" si="43"/>
        <v>0</v>
      </c>
      <c r="M317" s="6">
        <f>_xlfn.IFNA(IF(VLOOKUP($A317,'BU Raw Before'!A:H,1,FALSE)=$A317,VLOOKUP($A317,'BU Raw Before'!A:H,7,FALSE),0),0)</f>
        <v>0</v>
      </c>
      <c r="N317" s="6">
        <f>_xlfn.IFNA(IF(VLOOKUP($A317,'BU Raw After'!A:H,1,FALSE)=$A317,VLOOKUP($A317,'BU Raw After'!A:H,7,FALSE),0),0)</f>
        <v>0</v>
      </c>
      <c r="O317" s="6">
        <f t="shared" si="44"/>
        <v>0</v>
      </c>
      <c r="P317" s="7">
        <f t="shared" si="45"/>
        <v>0</v>
      </c>
      <c r="Q317" s="6">
        <f>_xlfn.IFNA(IF(VLOOKUP($A317,'BU Raw Before'!A:H,1,FALSE)=$A317,VLOOKUP($A317,'BU Raw Before'!A:H,8,FALSE),0),0)</f>
        <v>0</v>
      </c>
      <c r="R317" s="6">
        <f>_xlfn.IFNA(IF(VLOOKUP($A317,'BU Raw After'!A:H,1,FALSE)=$A317,VLOOKUP($A317,'BU Raw After'!A:H,8,FALSE),0),0)</f>
        <v>0</v>
      </c>
      <c r="S317" s="6">
        <f t="shared" si="46"/>
        <v>0</v>
      </c>
      <c r="T317" s="7">
        <f t="shared" si="47"/>
        <v>0</v>
      </c>
    </row>
    <row r="318" spans="1:20" ht="15" x14ac:dyDescent="0.25">
      <c r="A318" t="s">
        <v>370</v>
      </c>
      <c r="B318" t="s">
        <v>248</v>
      </c>
      <c r="C318" t="s">
        <v>286</v>
      </c>
      <c r="D318" t="s">
        <v>11</v>
      </c>
      <c r="E318" s="6">
        <f>_xlfn.IFNA(IF(VLOOKUP($A318,'BU Raw Before'!A:H,1,FALSE)=$A318,VLOOKUP($A318,'BU Raw Before'!A:H,5,FALSE),0),0)</f>
        <v>0</v>
      </c>
      <c r="F318" s="6">
        <f>_xlfn.IFNA(IF(VLOOKUP($A318,'BU Raw After'!A:H,1,FALSE)=$A318,VLOOKUP($A318,'BU Raw After'!A:H,5,FALSE),0),0)</f>
        <v>0</v>
      </c>
      <c r="G318" s="6">
        <f t="shared" si="40"/>
        <v>0</v>
      </c>
      <c r="H318" s="7">
        <f t="shared" si="41"/>
        <v>0</v>
      </c>
      <c r="I318" s="6">
        <f>_xlfn.IFNA(IF(VLOOKUP($A318,'BU Raw Before'!A:H,1,FALSE)=$A318,VLOOKUP($A318,'BU Raw Before'!A:H,6,FALSE),0),0)</f>
        <v>0</v>
      </c>
      <c r="J318" s="6">
        <f>_xlfn.IFNA(IF(VLOOKUP($A318,'BU Raw After'!A:H,1,FALSE)=$A318,VLOOKUP($A318,'BU Raw After'!A:H,6,FALSE),0),0)</f>
        <v>0</v>
      </c>
      <c r="K318" s="6">
        <f t="shared" si="42"/>
        <v>0</v>
      </c>
      <c r="L318" s="7">
        <f t="shared" si="43"/>
        <v>0</v>
      </c>
      <c r="M318" s="6">
        <f>_xlfn.IFNA(IF(VLOOKUP($A318,'BU Raw Before'!A:H,1,FALSE)=$A318,VLOOKUP($A318,'BU Raw Before'!A:H,7,FALSE),0),0)</f>
        <v>0</v>
      </c>
      <c r="N318" s="6">
        <f>_xlfn.IFNA(IF(VLOOKUP($A318,'BU Raw After'!A:H,1,FALSE)=$A318,VLOOKUP($A318,'BU Raw After'!A:H,7,FALSE),0),0)</f>
        <v>0</v>
      </c>
      <c r="O318" s="6">
        <f t="shared" si="44"/>
        <v>0</v>
      </c>
      <c r="P318" s="7">
        <f t="shared" si="45"/>
        <v>0</v>
      </c>
      <c r="Q318" s="6">
        <f>_xlfn.IFNA(IF(VLOOKUP($A318,'BU Raw Before'!A:H,1,FALSE)=$A318,VLOOKUP($A318,'BU Raw Before'!A:H,8,FALSE),0),0)</f>
        <v>0</v>
      </c>
      <c r="R318" s="6">
        <f>_xlfn.IFNA(IF(VLOOKUP($A318,'BU Raw After'!A:H,1,FALSE)=$A318,VLOOKUP($A318,'BU Raw After'!A:H,8,FALSE),0),0)</f>
        <v>0</v>
      </c>
      <c r="S318" s="6">
        <f t="shared" si="46"/>
        <v>0</v>
      </c>
      <c r="T318" s="7">
        <f t="shared" si="47"/>
        <v>0</v>
      </c>
    </row>
    <row r="319" spans="1:20" ht="15" x14ac:dyDescent="0.25">
      <c r="A319" t="s">
        <v>371</v>
      </c>
      <c r="B319" t="s">
        <v>248</v>
      </c>
      <c r="C319" t="s">
        <v>286</v>
      </c>
      <c r="D319" t="s">
        <v>13</v>
      </c>
      <c r="E319" s="6">
        <f>_xlfn.IFNA(IF(VLOOKUP($A319,'BU Raw Before'!A:H,1,FALSE)=$A319,VLOOKUP($A319,'BU Raw Before'!A:H,5,FALSE),0),0)</f>
        <v>0</v>
      </c>
      <c r="F319" s="6">
        <f>_xlfn.IFNA(IF(VLOOKUP($A319,'BU Raw After'!A:H,1,FALSE)=$A319,VLOOKUP($A319,'BU Raw After'!A:H,5,FALSE),0),0)</f>
        <v>0</v>
      </c>
      <c r="G319" s="6">
        <f t="shared" si="40"/>
        <v>0</v>
      </c>
      <c r="H319" s="7">
        <f t="shared" si="41"/>
        <v>0</v>
      </c>
      <c r="I319" s="6">
        <f>_xlfn.IFNA(IF(VLOOKUP($A319,'BU Raw Before'!A:H,1,FALSE)=$A319,VLOOKUP($A319,'BU Raw Before'!A:H,6,FALSE),0),0)</f>
        <v>0</v>
      </c>
      <c r="J319" s="6">
        <f>_xlfn.IFNA(IF(VLOOKUP($A319,'BU Raw After'!A:H,1,FALSE)=$A319,VLOOKUP($A319,'BU Raw After'!A:H,6,FALSE),0),0)</f>
        <v>0</v>
      </c>
      <c r="K319" s="6">
        <f t="shared" si="42"/>
        <v>0</v>
      </c>
      <c r="L319" s="7">
        <f t="shared" si="43"/>
        <v>0</v>
      </c>
      <c r="M319" s="6">
        <f>_xlfn.IFNA(IF(VLOOKUP($A319,'BU Raw Before'!A:H,1,FALSE)=$A319,VLOOKUP($A319,'BU Raw Before'!A:H,7,FALSE),0),0)</f>
        <v>0</v>
      </c>
      <c r="N319" s="6">
        <f>_xlfn.IFNA(IF(VLOOKUP($A319,'BU Raw After'!A:H,1,FALSE)=$A319,VLOOKUP($A319,'BU Raw After'!A:H,7,FALSE),0),0)</f>
        <v>0</v>
      </c>
      <c r="O319" s="6">
        <f t="shared" si="44"/>
        <v>0</v>
      </c>
      <c r="P319" s="7">
        <f t="shared" si="45"/>
        <v>0</v>
      </c>
      <c r="Q319" s="6">
        <f>_xlfn.IFNA(IF(VLOOKUP($A319,'BU Raw Before'!A:H,1,FALSE)=$A319,VLOOKUP($A319,'BU Raw Before'!A:H,8,FALSE),0),0)</f>
        <v>0</v>
      </c>
      <c r="R319" s="6">
        <f>_xlfn.IFNA(IF(VLOOKUP($A319,'BU Raw After'!A:H,1,FALSE)=$A319,VLOOKUP($A319,'BU Raw After'!A:H,8,FALSE),0),0)</f>
        <v>0</v>
      </c>
      <c r="S319" s="6">
        <f t="shared" si="46"/>
        <v>0</v>
      </c>
      <c r="T319" s="7">
        <f t="shared" si="47"/>
        <v>0</v>
      </c>
    </row>
    <row r="320" spans="1:20" ht="15" x14ac:dyDescent="0.25">
      <c r="A320" t="s">
        <v>372</v>
      </c>
      <c r="B320" t="s">
        <v>248</v>
      </c>
      <c r="C320" t="s">
        <v>286</v>
      </c>
      <c r="D320" t="s">
        <v>15</v>
      </c>
      <c r="E320" s="6">
        <f>_xlfn.IFNA(IF(VLOOKUP($A320,'BU Raw Before'!A:H,1,FALSE)=$A320,VLOOKUP($A320,'BU Raw Before'!A:H,5,FALSE),0),0)</f>
        <v>0</v>
      </c>
      <c r="F320" s="6">
        <f>_xlfn.IFNA(IF(VLOOKUP($A320,'BU Raw After'!A:H,1,FALSE)=$A320,VLOOKUP($A320,'BU Raw After'!A:H,5,FALSE),0),0)</f>
        <v>0</v>
      </c>
      <c r="G320" s="6">
        <f t="shared" si="40"/>
        <v>0</v>
      </c>
      <c r="H320" s="7">
        <f t="shared" si="41"/>
        <v>0</v>
      </c>
      <c r="I320" s="6">
        <f>_xlfn.IFNA(IF(VLOOKUP($A320,'BU Raw Before'!A:H,1,FALSE)=$A320,VLOOKUP($A320,'BU Raw Before'!A:H,6,FALSE),0),0)</f>
        <v>0</v>
      </c>
      <c r="J320" s="6">
        <f>_xlfn.IFNA(IF(VLOOKUP($A320,'BU Raw After'!A:H,1,FALSE)=$A320,VLOOKUP($A320,'BU Raw After'!A:H,6,FALSE),0),0)</f>
        <v>0</v>
      </c>
      <c r="K320" s="6">
        <f t="shared" si="42"/>
        <v>0</v>
      </c>
      <c r="L320" s="7">
        <f t="shared" si="43"/>
        <v>0</v>
      </c>
      <c r="M320" s="6">
        <f>_xlfn.IFNA(IF(VLOOKUP($A320,'BU Raw Before'!A:H,1,FALSE)=$A320,VLOOKUP($A320,'BU Raw Before'!A:H,7,FALSE),0),0)</f>
        <v>0</v>
      </c>
      <c r="N320" s="6">
        <f>_xlfn.IFNA(IF(VLOOKUP($A320,'BU Raw After'!A:H,1,FALSE)=$A320,VLOOKUP($A320,'BU Raw After'!A:H,7,FALSE),0),0)</f>
        <v>0</v>
      </c>
      <c r="O320" s="6">
        <f t="shared" si="44"/>
        <v>0</v>
      </c>
      <c r="P320" s="7">
        <f t="shared" si="45"/>
        <v>0</v>
      </c>
      <c r="Q320" s="6">
        <f>_xlfn.IFNA(IF(VLOOKUP($A320,'BU Raw Before'!A:H,1,FALSE)=$A320,VLOOKUP($A320,'BU Raw Before'!A:H,8,FALSE),0),0)</f>
        <v>0</v>
      </c>
      <c r="R320" s="6">
        <f>_xlfn.IFNA(IF(VLOOKUP($A320,'BU Raw After'!A:H,1,FALSE)=$A320,VLOOKUP($A320,'BU Raw After'!A:H,8,FALSE),0),0)</f>
        <v>0</v>
      </c>
      <c r="S320" s="6">
        <f t="shared" si="46"/>
        <v>0</v>
      </c>
      <c r="T320" s="7">
        <f t="shared" si="47"/>
        <v>0</v>
      </c>
    </row>
    <row r="321" spans="1:20" ht="15" x14ac:dyDescent="0.25">
      <c r="A321" t="s">
        <v>373</v>
      </c>
      <c r="B321" t="s">
        <v>248</v>
      </c>
      <c r="C321" t="s">
        <v>286</v>
      </c>
      <c r="D321" t="s">
        <v>17</v>
      </c>
      <c r="E321" s="6">
        <f>_xlfn.IFNA(IF(VLOOKUP($A321,'BU Raw Before'!A:H,1,FALSE)=$A321,VLOOKUP($A321,'BU Raw Before'!A:H,5,FALSE),0),0)</f>
        <v>0</v>
      </c>
      <c r="F321" s="6">
        <f>_xlfn.IFNA(IF(VLOOKUP($A321,'BU Raw After'!A:H,1,FALSE)=$A321,VLOOKUP($A321,'BU Raw After'!A:H,5,FALSE),0),0)</f>
        <v>0</v>
      </c>
      <c r="G321" s="6">
        <f t="shared" si="40"/>
        <v>0</v>
      </c>
      <c r="H321" s="7">
        <f t="shared" si="41"/>
        <v>0</v>
      </c>
      <c r="I321" s="6">
        <f>_xlfn.IFNA(IF(VLOOKUP($A321,'BU Raw Before'!A:H,1,FALSE)=$A321,VLOOKUP($A321,'BU Raw Before'!A:H,6,FALSE),0),0)</f>
        <v>0</v>
      </c>
      <c r="J321" s="6">
        <f>_xlfn.IFNA(IF(VLOOKUP($A321,'BU Raw After'!A:H,1,FALSE)=$A321,VLOOKUP($A321,'BU Raw After'!A:H,6,FALSE),0),0)</f>
        <v>0</v>
      </c>
      <c r="K321" s="6">
        <f t="shared" si="42"/>
        <v>0</v>
      </c>
      <c r="L321" s="7">
        <f t="shared" si="43"/>
        <v>0</v>
      </c>
      <c r="M321" s="6">
        <f>_xlfn.IFNA(IF(VLOOKUP($A321,'BU Raw Before'!A:H,1,FALSE)=$A321,VLOOKUP($A321,'BU Raw Before'!A:H,7,FALSE),0),0)</f>
        <v>0</v>
      </c>
      <c r="N321" s="6">
        <f>_xlfn.IFNA(IF(VLOOKUP($A321,'BU Raw After'!A:H,1,FALSE)=$A321,VLOOKUP($A321,'BU Raw After'!A:H,7,FALSE),0),0)</f>
        <v>0</v>
      </c>
      <c r="O321" s="6">
        <f t="shared" si="44"/>
        <v>0</v>
      </c>
      <c r="P321" s="7">
        <f t="shared" si="45"/>
        <v>0</v>
      </c>
      <c r="Q321" s="6">
        <f>_xlfn.IFNA(IF(VLOOKUP($A321,'BU Raw Before'!A:H,1,FALSE)=$A321,VLOOKUP($A321,'BU Raw Before'!A:H,8,FALSE),0),0)</f>
        <v>0</v>
      </c>
      <c r="R321" s="6">
        <f>_xlfn.IFNA(IF(VLOOKUP($A321,'BU Raw After'!A:H,1,FALSE)=$A321,VLOOKUP($A321,'BU Raw After'!A:H,8,FALSE),0),0)</f>
        <v>0</v>
      </c>
      <c r="S321" s="6">
        <f t="shared" si="46"/>
        <v>0</v>
      </c>
      <c r="T321" s="7">
        <f t="shared" si="47"/>
        <v>0</v>
      </c>
    </row>
    <row r="322" spans="1:20" ht="15" x14ac:dyDescent="0.25">
      <c r="A322" t="s">
        <v>374</v>
      </c>
      <c r="B322" t="s">
        <v>248</v>
      </c>
      <c r="C322" t="s">
        <v>286</v>
      </c>
      <c r="D322" t="s">
        <v>19</v>
      </c>
      <c r="E322" s="6">
        <f>_xlfn.IFNA(IF(VLOOKUP($A322,'BU Raw Before'!A:H,1,FALSE)=$A322,VLOOKUP($A322,'BU Raw Before'!A:H,5,FALSE),0),0)</f>
        <v>0</v>
      </c>
      <c r="F322" s="6">
        <f>_xlfn.IFNA(IF(VLOOKUP($A322,'BU Raw After'!A:H,1,FALSE)=$A322,VLOOKUP($A322,'BU Raw After'!A:H,5,FALSE),0),0)</f>
        <v>0</v>
      </c>
      <c r="G322" s="6">
        <f t="shared" si="40"/>
        <v>0</v>
      </c>
      <c r="H322" s="7">
        <f t="shared" si="41"/>
        <v>0</v>
      </c>
      <c r="I322" s="6">
        <f>_xlfn.IFNA(IF(VLOOKUP($A322,'BU Raw Before'!A:H,1,FALSE)=$A322,VLOOKUP($A322,'BU Raw Before'!A:H,6,FALSE),0),0)</f>
        <v>0</v>
      </c>
      <c r="J322" s="6">
        <f>_xlfn.IFNA(IF(VLOOKUP($A322,'BU Raw After'!A:H,1,FALSE)=$A322,VLOOKUP($A322,'BU Raw After'!A:H,6,FALSE),0),0)</f>
        <v>0</v>
      </c>
      <c r="K322" s="6">
        <f t="shared" si="42"/>
        <v>0</v>
      </c>
      <c r="L322" s="7">
        <f t="shared" si="43"/>
        <v>0</v>
      </c>
      <c r="M322" s="6">
        <f>_xlfn.IFNA(IF(VLOOKUP($A322,'BU Raw Before'!A:H,1,FALSE)=$A322,VLOOKUP($A322,'BU Raw Before'!A:H,7,FALSE),0),0)</f>
        <v>0</v>
      </c>
      <c r="N322" s="6">
        <f>_xlfn.IFNA(IF(VLOOKUP($A322,'BU Raw After'!A:H,1,FALSE)=$A322,VLOOKUP($A322,'BU Raw After'!A:H,7,FALSE),0),0)</f>
        <v>0</v>
      </c>
      <c r="O322" s="6">
        <f t="shared" si="44"/>
        <v>0</v>
      </c>
      <c r="P322" s="7">
        <f t="shared" si="45"/>
        <v>0</v>
      </c>
      <c r="Q322" s="6">
        <f>_xlfn.IFNA(IF(VLOOKUP($A322,'BU Raw Before'!A:H,1,FALSE)=$A322,VLOOKUP($A322,'BU Raw Before'!A:H,8,FALSE),0),0)</f>
        <v>0</v>
      </c>
      <c r="R322" s="6">
        <f>_xlfn.IFNA(IF(VLOOKUP($A322,'BU Raw After'!A:H,1,FALSE)=$A322,VLOOKUP($A322,'BU Raw After'!A:H,8,FALSE),0),0)</f>
        <v>0</v>
      </c>
      <c r="S322" s="6">
        <f t="shared" si="46"/>
        <v>0</v>
      </c>
      <c r="T322" s="7">
        <f t="shared" si="47"/>
        <v>0</v>
      </c>
    </row>
    <row r="323" spans="1:20" ht="15" x14ac:dyDescent="0.25">
      <c r="A323" t="s">
        <v>375</v>
      </c>
      <c r="B323" t="s">
        <v>248</v>
      </c>
      <c r="C323" t="s">
        <v>286</v>
      </c>
      <c r="D323" t="s">
        <v>21</v>
      </c>
      <c r="E323" s="6">
        <f>_xlfn.IFNA(IF(VLOOKUP($A323,'BU Raw Before'!A:H,1,FALSE)=$A323,VLOOKUP($A323,'BU Raw Before'!A:H,5,FALSE),0),0)</f>
        <v>0</v>
      </c>
      <c r="F323" s="6">
        <f>_xlfn.IFNA(IF(VLOOKUP($A323,'BU Raw After'!A:H,1,FALSE)=$A323,VLOOKUP($A323,'BU Raw After'!A:H,5,FALSE),0),0)</f>
        <v>0</v>
      </c>
      <c r="G323" s="6">
        <f t="shared" si="40"/>
        <v>0</v>
      </c>
      <c r="H323" s="7">
        <f t="shared" si="41"/>
        <v>0</v>
      </c>
      <c r="I323" s="6">
        <f>_xlfn.IFNA(IF(VLOOKUP($A323,'BU Raw Before'!A:H,1,FALSE)=$A323,VLOOKUP($A323,'BU Raw Before'!A:H,6,FALSE),0),0)</f>
        <v>0</v>
      </c>
      <c r="J323" s="6">
        <f>_xlfn.IFNA(IF(VLOOKUP($A323,'BU Raw After'!A:H,1,FALSE)=$A323,VLOOKUP($A323,'BU Raw After'!A:H,6,FALSE),0),0)</f>
        <v>0</v>
      </c>
      <c r="K323" s="6">
        <f t="shared" si="42"/>
        <v>0</v>
      </c>
      <c r="L323" s="7">
        <f t="shared" si="43"/>
        <v>0</v>
      </c>
      <c r="M323" s="6">
        <f>_xlfn.IFNA(IF(VLOOKUP($A323,'BU Raw Before'!A:H,1,FALSE)=$A323,VLOOKUP($A323,'BU Raw Before'!A:H,7,FALSE),0),0)</f>
        <v>0</v>
      </c>
      <c r="N323" s="6">
        <f>_xlfn.IFNA(IF(VLOOKUP($A323,'BU Raw After'!A:H,1,FALSE)=$A323,VLOOKUP($A323,'BU Raw After'!A:H,7,FALSE),0),0)</f>
        <v>0</v>
      </c>
      <c r="O323" s="6">
        <f t="shared" si="44"/>
        <v>0</v>
      </c>
      <c r="P323" s="7">
        <f t="shared" si="45"/>
        <v>0</v>
      </c>
      <c r="Q323" s="6">
        <f>_xlfn.IFNA(IF(VLOOKUP($A323,'BU Raw Before'!A:H,1,FALSE)=$A323,VLOOKUP($A323,'BU Raw Before'!A:H,8,FALSE),0),0)</f>
        <v>0</v>
      </c>
      <c r="R323" s="6">
        <f>_xlfn.IFNA(IF(VLOOKUP($A323,'BU Raw After'!A:H,1,FALSE)=$A323,VLOOKUP($A323,'BU Raw After'!A:H,8,FALSE),0),0)</f>
        <v>0</v>
      </c>
      <c r="S323" s="6">
        <f t="shared" si="46"/>
        <v>0</v>
      </c>
      <c r="T323" s="7">
        <f t="shared" si="47"/>
        <v>0</v>
      </c>
    </row>
  </sheetData>
  <autoFilter ref="A3:T259">
    <sortState ref="A4:T259">
      <sortCondition ref="B4:B259"/>
      <sortCondition ref="C4:C259"/>
      <sortCondition ref="D4:D259"/>
    </sortState>
  </autoFilter>
  <mergeCells count="8">
    <mergeCell ref="E1:H1"/>
    <mergeCell ref="I1:L1"/>
    <mergeCell ref="M1:P1"/>
    <mergeCell ref="Q1:T1"/>
    <mergeCell ref="A1:A2"/>
    <mergeCell ref="B1:B2"/>
    <mergeCell ref="C1:C2"/>
    <mergeCell ref="D1:D2"/>
  </mergeCells>
  <conditionalFormatting sqref="H4:H2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2:H3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:L3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2:T3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3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3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5" zoomScaleNormal="85" workbookViewId="0">
      <selection activeCell="F20" sqref="F20"/>
    </sheetView>
  </sheetViews>
  <sheetFormatPr defaultRowHeight="14.25" x14ac:dyDescent="0.25"/>
  <cols>
    <col min="1" max="1" width="19.85546875" style="1" bestFit="1" customWidth="1"/>
    <col min="2" max="2" width="15.42578125" style="1" customWidth="1"/>
    <col min="3" max="3" width="18.5703125" style="2" bestFit="1" customWidth="1"/>
    <col min="4" max="4" width="20.7109375" style="2" bestFit="1" customWidth="1"/>
    <col min="5" max="5" width="8.42578125" style="1" bestFit="1" customWidth="1"/>
    <col min="6" max="7" width="5.7109375" style="1" customWidth="1"/>
    <col min="8" max="8" width="12.28515625" style="1" bestFit="1" customWidth="1"/>
    <col min="9" max="9" width="15.42578125" style="1" bestFit="1" customWidth="1"/>
    <col min="10" max="10" width="17.5703125" style="1" bestFit="1" customWidth="1"/>
    <col min="11" max="11" width="20.7109375" style="1" bestFit="1" customWidth="1"/>
    <col min="12" max="12" width="8.42578125" style="1" bestFit="1" customWidth="1"/>
    <col min="13" max="16384" width="9.140625" style="1"/>
  </cols>
  <sheetData>
    <row r="1" spans="1:5" x14ac:dyDescent="0.25">
      <c r="A1" s="9" t="s">
        <v>381</v>
      </c>
    </row>
    <row r="3" spans="1:5" x14ac:dyDescent="0.25">
      <c r="C3" s="16" t="s">
        <v>379</v>
      </c>
      <c r="D3" s="16" t="s">
        <v>378</v>
      </c>
      <c r="E3" s="9" t="s">
        <v>382</v>
      </c>
    </row>
    <row r="4" spans="1:5" x14ac:dyDescent="0.25">
      <c r="A4" s="9" t="s">
        <v>310</v>
      </c>
      <c r="B4" s="9" t="s">
        <v>292</v>
      </c>
      <c r="C4" s="2">
        <f>'BU Raw Before'!E3</f>
        <v>301355592390.49005</v>
      </c>
      <c r="D4" s="2">
        <f>'BU Breakdown'!E2</f>
        <v>301355592390.48999</v>
      </c>
      <c r="E4" s="1" t="str">
        <f>IF(ROUND(C4,0)=ROUND(D4,0),"OK", "NOT OK")</f>
        <v>OK</v>
      </c>
    </row>
    <row r="5" spans="1:5" x14ac:dyDescent="0.25">
      <c r="B5" s="9" t="s">
        <v>291</v>
      </c>
      <c r="C5" s="2">
        <f>'BU Raw Before'!F3</f>
        <v>1645789</v>
      </c>
      <c r="D5" s="2">
        <f>'BU Breakdown'!I2</f>
        <v>1645789</v>
      </c>
      <c r="E5" s="1" t="str">
        <f t="shared" ref="E5:E11" si="0">IF(ROUND(C5,0)=ROUND(D5,0),"OK", "NOT OK")</f>
        <v>OK</v>
      </c>
    </row>
    <row r="6" spans="1:5" x14ac:dyDescent="0.25">
      <c r="B6" s="9" t="s">
        <v>290</v>
      </c>
      <c r="C6" s="2">
        <f>'BU Raw Before'!G3</f>
        <v>2181138</v>
      </c>
      <c r="D6" s="2">
        <f>'BU Breakdown'!M2</f>
        <v>2181138</v>
      </c>
      <c r="E6" s="1" t="str">
        <f t="shared" si="0"/>
        <v>OK</v>
      </c>
    </row>
    <row r="7" spans="1:5" x14ac:dyDescent="0.25">
      <c r="B7" s="9" t="s">
        <v>289</v>
      </c>
      <c r="C7" s="2">
        <f>'BU Raw Before'!H3</f>
        <v>-15193899970.7854</v>
      </c>
      <c r="D7" s="2">
        <f>'BU Breakdown'!Q2</f>
        <v>-15193899970.7854</v>
      </c>
      <c r="E7" s="1" t="str">
        <f t="shared" si="0"/>
        <v>OK</v>
      </c>
    </row>
    <row r="8" spans="1:5" x14ac:dyDescent="0.25">
      <c r="A8" s="9" t="s">
        <v>311</v>
      </c>
      <c r="B8" s="9" t="s">
        <v>292</v>
      </c>
      <c r="C8" s="2">
        <f>'BU Raw After'!E3</f>
        <v>311860157746.80994</v>
      </c>
      <c r="D8" s="2">
        <f>'BU Breakdown'!F2</f>
        <v>311860157746.80994</v>
      </c>
      <c r="E8" s="1" t="str">
        <f t="shared" si="0"/>
        <v>OK</v>
      </c>
    </row>
    <row r="9" spans="1:5" x14ac:dyDescent="0.25">
      <c r="B9" s="9" t="s">
        <v>291</v>
      </c>
      <c r="C9" s="2">
        <f>'BU Raw After'!F3</f>
        <v>1521515</v>
      </c>
      <c r="D9" s="2">
        <f>'BU Breakdown'!J2</f>
        <v>1521515</v>
      </c>
      <c r="E9" s="1" t="str">
        <f t="shared" si="0"/>
        <v>OK</v>
      </c>
    </row>
    <row r="10" spans="1:5" x14ac:dyDescent="0.25">
      <c r="B10" s="9" t="s">
        <v>290</v>
      </c>
      <c r="C10" s="2">
        <f>'BU Raw After'!G3</f>
        <v>2013915</v>
      </c>
      <c r="D10" s="2">
        <f>'BU Breakdown'!N2</f>
        <v>2013915</v>
      </c>
      <c r="E10" s="1" t="str">
        <f t="shared" si="0"/>
        <v>OK</v>
      </c>
    </row>
    <row r="11" spans="1:5" x14ac:dyDescent="0.25">
      <c r="B11" s="9" t="s">
        <v>289</v>
      </c>
      <c r="C11" s="2">
        <f>'BU Raw After'!H3</f>
        <v>-12176088613.051296</v>
      </c>
      <c r="D11" s="2">
        <f>'BU Breakdown'!R2</f>
        <v>-12176088613.051298</v>
      </c>
      <c r="E11" s="1" t="str">
        <f t="shared" si="0"/>
        <v>OK</v>
      </c>
    </row>
    <row r="12" spans="1:5" x14ac:dyDescent="0.25">
      <c r="B12" s="9"/>
    </row>
    <row r="14" spans="1:5" x14ac:dyDescent="0.25">
      <c r="A14" s="9" t="s">
        <v>380</v>
      </c>
    </row>
    <row r="16" spans="1:5" x14ac:dyDescent="0.25">
      <c r="C16" s="16" t="s">
        <v>379</v>
      </c>
      <c r="D16" s="16" t="s">
        <v>383</v>
      </c>
      <c r="E16" s="9" t="s">
        <v>382</v>
      </c>
    </row>
    <row r="17" spans="1:12" x14ac:dyDescent="0.25">
      <c r="A17" s="9" t="s">
        <v>310</v>
      </c>
      <c r="B17" s="9" t="s">
        <v>292</v>
      </c>
      <c r="C17" s="2">
        <f>'BU Raw Before'!E3</f>
        <v>301355592390.49005</v>
      </c>
      <c r="D17" s="2">
        <f>'BU Summary'!B7</f>
        <v>301355592390.48999</v>
      </c>
      <c r="E17" s="1" t="str">
        <f>IF(ROUND(C17,0)=ROUND(D17,0),"OK", "NOT OK")</f>
        <v>OK</v>
      </c>
    </row>
    <row r="18" spans="1:12" x14ac:dyDescent="0.25">
      <c r="A18" s="9"/>
      <c r="B18" s="9" t="s">
        <v>291</v>
      </c>
      <c r="C18" s="2">
        <f>'BU Raw Before'!F3</f>
        <v>1645789</v>
      </c>
      <c r="D18" s="2">
        <f>'BU Summary'!F7</f>
        <v>1645789</v>
      </c>
      <c r="E18" s="1" t="str">
        <f t="shared" ref="E18:E24" si="1">IF(ROUND(C18,0)=ROUND(D18,0),"OK", "NOT OK")</f>
        <v>OK</v>
      </c>
    </row>
    <row r="19" spans="1:12" x14ac:dyDescent="0.25">
      <c r="A19" s="9"/>
      <c r="B19" s="9" t="s">
        <v>290</v>
      </c>
      <c r="C19" s="2">
        <f>'BU Raw Before'!G3</f>
        <v>2181138</v>
      </c>
      <c r="D19" s="2">
        <f>'BU Summary'!J7</f>
        <v>2181138</v>
      </c>
      <c r="E19" s="1" t="str">
        <f t="shared" si="1"/>
        <v>OK</v>
      </c>
    </row>
    <row r="20" spans="1:12" x14ac:dyDescent="0.25">
      <c r="A20" s="9"/>
      <c r="B20" s="9" t="s">
        <v>289</v>
      </c>
      <c r="C20" s="2">
        <f>'BU Raw Before'!H3</f>
        <v>-15193899970.7854</v>
      </c>
      <c r="D20" s="2">
        <f>'BU Summary'!N7</f>
        <v>-15193899970.7854</v>
      </c>
      <c r="E20" s="1" t="str">
        <f t="shared" si="1"/>
        <v>OK</v>
      </c>
    </row>
    <row r="21" spans="1:12" x14ac:dyDescent="0.25">
      <c r="A21" s="9" t="s">
        <v>311</v>
      </c>
      <c r="B21" s="9" t="s">
        <v>292</v>
      </c>
      <c r="C21" s="2">
        <f>'BU Raw After'!E3</f>
        <v>311860157746.80994</v>
      </c>
      <c r="D21" s="2">
        <f>'BU Summary'!C7</f>
        <v>311860157746.81006</v>
      </c>
      <c r="E21" s="1" t="str">
        <f t="shared" si="1"/>
        <v>OK</v>
      </c>
    </row>
    <row r="22" spans="1:12" x14ac:dyDescent="0.25">
      <c r="A22" s="9"/>
      <c r="B22" s="9" t="s">
        <v>291</v>
      </c>
      <c r="C22" s="2">
        <f>'BU Raw After'!F3</f>
        <v>1521515</v>
      </c>
      <c r="D22" s="2">
        <f>'BU Summary'!G7</f>
        <v>1521515</v>
      </c>
      <c r="E22" s="1" t="str">
        <f t="shared" si="1"/>
        <v>OK</v>
      </c>
    </row>
    <row r="23" spans="1:12" x14ac:dyDescent="0.25">
      <c r="A23" s="9"/>
      <c r="B23" s="9" t="s">
        <v>290</v>
      </c>
      <c r="C23" s="2">
        <f>'BU Raw After'!G3</f>
        <v>2013915</v>
      </c>
      <c r="D23" s="2">
        <f>'BU Summary'!K7</f>
        <v>2013915</v>
      </c>
      <c r="E23" s="1" t="str">
        <f t="shared" si="1"/>
        <v>OK</v>
      </c>
    </row>
    <row r="24" spans="1:12" x14ac:dyDescent="0.25">
      <c r="A24" s="9"/>
      <c r="B24" s="9" t="s">
        <v>289</v>
      </c>
      <c r="C24" s="2">
        <f>'BU Raw After'!H3</f>
        <v>-12176088613.051296</v>
      </c>
      <c r="D24" s="2">
        <f>'BU Summary'!O7</f>
        <v>-12176088613.0513</v>
      </c>
      <c r="E24" s="1" t="str">
        <f t="shared" si="1"/>
        <v>OK</v>
      </c>
    </row>
    <row r="27" spans="1:12" s="9" customFormat="1" x14ac:dyDescent="0.25">
      <c r="A27" s="9" t="s">
        <v>50</v>
      </c>
      <c r="C27" s="16"/>
      <c r="D27" s="16"/>
      <c r="H27" s="9" t="s">
        <v>149</v>
      </c>
      <c r="J27" s="16"/>
      <c r="K27" s="16"/>
    </row>
    <row r="28" spans="1:12" s="9" customFormat="1" x14ac:dyDescent="0.25">
      <c r="C28" s="16" t="s">
        <v>383</v>
      </c>
      <c r="D28" s="16" t="s">
        <v>384</v>
      </c>
      <c r="E28" s="9" t="s">
        <v>382</v>
      </c>
      <c r="J28" s="16" t="s">
        <v>383</v>
      </c>
      <c r="K28" s="16" t="s">
        <v>384</v>
      </c>
      <c r="L28" s="9" t="s">
        <v>382</v>
      </c>
    </row>
    <row r="29" spans="1:12" x14ac:dyDescent="0.25">
      <c r="A29" s="9" t="s">
        <v>310</v>
      </c>
      <c r="B29" s="9" t="s">
        <v>292</v>
      </c>
      <c r="C29" s="2">
        <f>'BU Summary'!B9</f>
        <v>69260070405.660004</v>
      </c>
      <c r="D29" s="2">
        <f>'BU Summary'!B16</f>
        <v>69260070405.659988</v>
      </c>
      <c r="E29" s="1" t="str">
        <f>IF(ROUND(C29,0)=ROUND(D29,0),"OK", "NOT OK")</f>
        <v>OK</v>
      </c>
      <c r="H29" s="9" t="s">
        <v>310</v>
      </c>
      <c r="I29" s="9" t="s">
        <v>292</v>
      </c>
      <c r="J29" s="2">
        <f>'BU Summary'!B10</f>
        <v>22099814562.449997</v>
      </c>
      <c r="K29" s="2">
        <f>'BU Summary'!B29</f>
        <v>22099814562.450001</v>
      </c>
      <c r="L29" s="1" t="str">
        <f>IF(ROUND(J29,0)=ROUND(K29,0),"OK", "NOT OK")</f>
        <v>OK</v>
      </c>
    </row>
    <row r="30" spans="1:12" x14ac:dyDescent="0.25">
      <c r="A30" s="9"/>
      <c r="B30" s="9" t="s">
        <v>291</v>
      </c>
      <c r="C30" s="2">
        <f>'BU Summary'!F9</f>
        <v>233471</v>
      </c>
      <c r="D30" s="2">
        <f>'BU Summary'!F16</f>
        <v>233471</v>
      </c>
      <c r="E30" s="1" t="str">
        <f t="shared" ref="E30:E36" si="2">IF(ROUND(C30,0)=ROUND(D30,0),"OK", "NOT OK")</f>
        <v>OK</v>
      </c>
      <c r="H30" s="9"/>
      <c r="I30" s="9" t="s">
        <v>291</v>
      </c>
      <c r="J30" s="2">
        <f>'BU Summary'!F10</f>
        <v>216077</v>
      </c>
      <c r="K30" s="2">
        <f>'BU Summary'!F29</f>
        <v>216077</v>
      </c>
      <c r="L30" s="1" t="str">
        <f t="shared" ref="L30:L36" si="3">IF(ROUND(J30,0)=ROUND(K30,0),"OK", "NOT OK")</f>
        <v>OK</v>
      </c>
    </row>
    <row r="31" spans="1:12" x14ac:dyDescent="0.25">
      <c r="A31" s="9"/>
      <c r="B31" s="9" t="s">
        <v>290</v>
      </c>
      <c r="C31" s="2">
        <f>'BU Summary'!J9</f>
        <v>301017</v>
      </c>
      <c r="D31" s="2">
        <f>'BU Summary'!J16</f>
        <v>301017</v>
      </c>
      <c r="E31" s="1" t="str">
        <f t="shared" si="2"/>
        <v>OK</v>
      </c>
      <c r="H31" s="9"/>
      <c r="I31" s="9" t="s">
        <v>290</v>
      </c>
      <c r="J31" s="2">
        <f>'BU Summary'!J10</f>
        <v>274166</v>
      </c>
      <c r="K31" s="2">
        <f>'BU Summary'!J29</f>
        <v>274166</v>
      </c>
      <c r="L31" s="1" t="str">
        <f t="shared" si="3"/>
        <v>OK</v>
      </c>
    </row>
    <row r="32" spans="1:12" x14ac:dyDescent="0.25">
      <c r="A32" s="9"/>
      <c r="B32" s="9" t="s">
        <v>289</v>
      </c>
      <c r="C32" s="2">
        <f>'BU Summary'!N9</f>
        <v>-2312416326.2999997</v>
      </c>
      <c r="D32" s="2">
        <f>'BU Summary'!N16</f>
        <v>-2312416326.2999997</v>
      </c>
      <c r="E32" s="1" t="str">
        <f t="shared" si="2"/>
        <v>OK</v>
      </c>
      <c r="H32" s="9"/>
      <c r="I32" s="9" t="s">
        <v>289</v>
      </c>
      <c r="J32" s="2">
        <f>'BU Summary'!N10</f>
        <v>-1427967125.1599996</v>
      </c>
      <c r="K32" s="2">
        <f>'BU Summary'!N29</f>
        <v>-1427967125.1599998</v>
      </c>
      <c r="L32" s="1" t="str">
        <f t="shared" si="3"/>
        <v>OK</v>
      </c>
    </row>
    <row r="33" spans="1:12" x14ac:dyDescent="0.25">
      <c r="A33" s="9" t="s">
        <v>311</v>
      </c>
      <c r="B33" s="9" t="s">
        <v>292</v>
      </c>
      <c r="C33" s="2">
        <f>'BU Summary'!C9</f>
        <v>66339922067.26001</v>
      </c>
      <c r="D33" s="2">
        <f>'BU Summary'!C16</f>
        <v>66339922067.259995</v>
      </c>
      <c r="E33" s="1" t="str">
        <f t="shared" si="2"/>
        <v>OK</v>
      </c>
      <c r="H33" s="9" t="s">
        <v>311</v>
      </c>
      <c r="I33" s="9" t="s">
        <v>292</v>
      </c>
      <c r="J33" s="2">
        <f>'BU Summary'!C10</f>
        <v>26727882078.32</v>
      </c>
      <c r="K33" s="2">
        <f>'BU Summary'!C29</f>
        <v>26727882078.319996</v>
      </c>
      <c r="L33" s="1" t="str">
        <f t="shared" si="3"/>
        <v>OK</v>
      </c>
    </row>
    <row r="34" spans="1:12" x14ac:dyDescent="0.25">
      <c r="A34" s="9"/>
      <c r="B34" s="9" t="s">
        <v>291</v>
      </c>
      <c r="C34" s="2">
        <f>'BU Summary'!G9</f>
        <v>211548</v>
      </c>
      <c r="D34" s="2">
        <f>'BU Summary'!G16</f>
        <v>211548</v>
      </c>
      <c r="E34" s="1" t="str">
        <f t="shared" si="2"/>
        <v>OK</v>
      </c>
      <c r="H34" s="9"/>
      <c r="I34" s="9" t="s">
        <v>291</v>
      </c>
      <c r="J34" s="2">
        <f>'BU Summary'!G10</f>
        <v>266724</v>
      </c>
      <c r="K34" s="2">
        <f>'BU Summary'!G29</f>
        <v>266724</v>
      </c>
      <c r="L34" s="1" t="str">
        <f t="shared" si="3"/>
        <v>OK</v>
      </c>
    </row>
    <row r="35" spans="1:12" x14ac:dyDescent="0.25">
      <c r="A35" s="9"/>
      <c r="B35" s="9" t="s">
        <v>290</v>
      </c>
      <c r="C35" s="2">
        <f>'BU Summary'!K9</f>
        <v>279683</v>
      </c>
      <c r="D35" s="2">
        <f>'BU Summary'!K16</f>
        <v>279683</v>
      </c>
      <c r="E35" s="1" t="str">
        <f t="shared" si="2"/>
        <v>OK</v>
      </c>
      <c r="H35" s="9"/>
      <c r="I35" s="9" t="s">
        <v>290</v>
      </c>
      <c r="J35" s="2">
        <f>'BU Summary'!K10</f>
        <v>336562</v>
      </c>
      <c r="K35" s="2">
        <f>'BU Summary'!K29</f>
        <v>336562</v>
      </c>
      <c r="L35" s="1" t="str">
        <f t="shared" si="3"/>
        <v>OK</v>
      </c>
    </row>
    <row r="36" spans="1:12" x14ac:dyDescent="0.25">
      <c r="A36" s="9"/>
      <c r="B36" s="9" t="s">
        <v>289</v>
      </c>
      <c r="C36" s="2">
        <f>'BU Summary'!O9</f>
        <v>-2447790112.21</v>
      </c>
      <c r="D36" s="2">
        <f>'BU Summary'!O16</f>
        <v>-2447790112.21</v>
      </c>
      <c r="E36" s="1" t="str">
        <f t="shared" si="2"/>
        <v>OK</v>
      </c>
      <c r="H36" s="9"/>
      <c r="I36" s="9" t="s">
        <v>289</v>
      </c>
      <c r="J36" s="2">
        <f>'BU Summary'!O10</f>
        <v>-1419898621.8200002</v>
      </c>
      <c r="K36" s="2">
        <f>'BU Summary'!O29</f>
        <v>-1419898621.8199999</v>
      </c>
      <c r="L36" s="1" t="str">
        <f t="shared" si="3"/>
        <v>OK</v>
      </c>
    </row>
    <row r="39" spans="1:12" s="9" customFormat="1" x14ac:dyDescent="0.25">
      <c r="A39" s="9" t="s">
        <v>83</v>
      </c>
      <c r="C39" s="16"/>
      <c r="D39" s="16"/>
      <c r="H39" s="9" t="s">
        <v>116</v>
      </c>
      <c r="J39" s="16"/>
      <c r="K39" s="16"/>
    </row>
    <row r="40" spans="1:12" s="9" customFormat="1" x14ac:dyDescent="0.25">
      <c r="C40" s="16" t="s">
        <v>383</v>
      </c>
      <c r="D40" s="16" t="s">
        <v>384</v>
      </c>
      <c r="E40" s="9" t="s">
        <v>382</v>
      </c>
      <c r="J40" s="16" t="s">
        <v>383</v>
      </c>
      <c r="K40" s="16" t="s">
        <v>384</v>
      </c>
      <c r="L40" s="9" t="s">
        <v>382</v>
      </c>
    </row>
    <row r="41" spans="1:12" x14ac:dyDescent="0.25">
      <c r="A41" s="9" t="s">
        <v>310</v>
      </c>
      <c r="B41" s="9" t="s">
        <v>292</v>
      </c>
      <c r="C41" s="2">
        <f>'BU Summary'!B11</f>
        <v>134989442771.58</v>
      </c>
      <c r="D41" s="2">
        <f>'BU Summary'!B42</f>
        <v>134989442771.58</v>
      </c>
      <c r="E41" s="1" t="str">
        <f>IF(ROUND(C41,0)=ROUND(D41,0),"OK", "NOT OK")</f>
        <v>OK</v>
      </c>
      <c r="H41" s="9" t="s">
        <v>310</v>
      </c>
      <c r="I41" s="9" t="s">
        <v>292</v>
      </c>
      <c r="J41" s="2">
        <f>'BU Summary'!B12</f>
        <v>75006264650.800003</v>
      </c>
      <c r="K41" s="2">
        <f>'BU Summary'!B55</f>
        <v>75006264650.800018</v>
      </c>
      <c r="L41" s="1" t="str">
        <f>IF(ROUND(J41,0)=ROUND(K41,0),"OK", "NOT OK")</f>
        <v>OK</v>
      </c>
    </row>
    <row r="42" spans="1:12" x14ac:dyDescent="0.25">
      <c r="A42" s="9"/>
      <c r="B42" s="9" t="s">
        <v>291</v>
      </c>
      <c r="C42" s="2">
        <f>'BU Summary'!F11</f>
        <v>1058080</v>
      </c>
      <c r="D42" s="2">
        <f>'BU Summary'!F42</f>
        <v>1058080</v>
      </c>
      <c r="E42" s="1" t="str">
        <f t="shared" ref="E42:E48" si="4">IF(ROUND(C42,0)=ROUND(D42,0),"OK", "NOT OK")</f>
        <v>OK</v>
      </c>
      <c r="H42" s="9"/>
      <c r="I42" s="9" t="s">
        <v>291</v>
      </c>
      <c r="J42" s="2">
        <f>'BU Summary'!F12</f>
        <v>138161</v>
      </c>
      <c r="K42" s="2">
        <f>'BU Summary'!F55</f>
        <v>138161</v>
      </c>
      <c r="L42" s="1" t="str">
        <f t="shared" ref="L42:L48" si="5">IF(ROUND(J42,0)=ROUND(K42,0),"OK", "NOT OK")</f>
        <v>OK</v>
      </c>
    </row>
    <row r="43" spans="1:12" x14ac:dyDescent="0.25">
      <c r="A43" s="9"/>
      <c r="B43" s="9" t="s">
        <v>290</v>
      </c>
      <c r="C43" s="2">
        <f>'BU Summary'!J11</f>
        <v>1406264</v>
      </c>
      <c r="D43" s="2">
        <f>'BU Summary'!J42</f>
        <v>1406264</v>
      </c>
      <c r="E43" s="1" t="str">
        <f t="shared" si="4"/>
        <v>OK</v>
      </c>
      <c r="H43" s="9"/>
      <c r="I43" s="9" t="s">
        <v>290</v>
      </c>
      <c r="J43" s="2">
        <f>'BU Summary'!J12</f>
        <v>199691</v>
      </c>
      <c r="K43" s="2">
        <f>'BU Summary'!J55</f>
        <v>199691</v>
      </c>
      <c r="L43" s="1" t="str">
        <f t="shared" si="5"/>
        <v>OK</v>
      </c>
    </row>
    <row r="44" spans="1:12" x14ac:dyDescent="0.25">
      <c r="A44" s="9"/>
      <c r="B44" s="9" t="s">
        <v>289</v>
      </c>
      <c r="C44" s="2">
        <f>'BU Summary'!N11</f>
        <v>-9173960369.2970009</v>
      </c>
      <c r="D44" s="2">
        <f>'BU Summary'!N42</f>
        <v>-9173960369.2970009</v>
      </c>
      <c r="E44" s="1" t="str">
        <f t="shared" si="4"/>
        <v>OK</v>
      </c>
      <c r="H44" s="9"/>
      <c r="I44" s="9" t="s">
        <v>289</v>
      </c>
      <c r="J44" s="2">
        <f>'BU Summary'!N12</f>
        <v>-2279556150.0283999</v>
      </c>
      <c r="K44" s="2">
        <f>'BU Summary'!N55</f>
        <v>-2279556150.0283999</v>
      </c>
      <c r="L44" s="1" t="str">
        <f t="shared" si="5"/>
        <v>OK</v>
      </c>
    </row>
    <row r="45" spans="1:12" x14ac:dyDescent="0.25">
      <c r="A45" s="9" t="s">
        <v>311</v>
      </c>
      <c r="B45" s="9" t="s">
        <v>292</v>
      </c>
      <c r="C45" s="2">
        <f>'BU Summary'!C11</f>
        <v>123924935113.22</v>
      </c>
      <c r="D45" s="2">
        <f>'BU Summary'!C42</f>
        <v>123924935113.22</v>
      </c>
      <c r="E45" s="1" t="str">
        <f t="shared" si="4"/>
        <v>OK</v>
      </c>
      <c r="H45" s="9" t="s">
        <v>311</v>
      </c>
      <c r="I45" s="9" t="s">
        <v>292</v>
      </c>
      <c r="J45" s="2">
        <f>'BU Summary'!C12</f>
        <v>94867418488.01001</v>
      </c>
      <c r="K45" s="2">
        <f>'BU Summary'!C55</f>
        <v>94867418488.01001</v>
      </c>
      <c r="L45" s="1" t="str">
        <f t="shared" si="5"/>
        <v>OK</v>
      </c>
    </row>
    <row r="46" spans="1:12" x14ac:dyDescent="0.25">
      <c r="A46" s="9"/>
      <c r="B46" s="9" t="s">
        <v>291</v>
      </c>
      <c r="C46" s="2">
        <f>'BU Summary'!G11</f>
        <v>907148</v>
      </c>
      <c r="D46" s="2">
        <f>'BU Summary'!G42</f>
        <v>907148</v>
      </c>
      <c r="E46" s="1" t="str">
        <f t="shared" si="4"/>
        <v>OK</v>
      </c>
      <c r="H46" s="9"/>
      <c r="I46" s="9" t="s">
        <v>291</v>
      </c>
      <c r="J46" s="2">
        <f>'BU Summary'!G12</f>
        <v>136095</v>
      </c>
      <c r="K46" s="2">
        <f>'BU Summary'!G55</f>
        <v>136095</v>
      </c>
      <c r="L46" s="1" t="str">
        <f t="shared" si="5"/>
        <v>OK</v>
      </c>
    </row>
    <row r="47" spans="1:12" x14ac:dyDescent="0.25">
      <c r="A47" s="9"/>
      <c r="B47" s="9" t="s">
        <v>290</v>
      </c>
      <c r="C47" s="2">
        <f>'BU Summary'!K11</f>
        <v>1200669</v>
      </c>
      <c r="D47" s="2">
        <f>'BU Summary'!K42</f>
        <v>1200669</v>
      </c>
      <c r="E47" s="1" t="str">
        <f t="shared" si="4"/>
        <v>OK</v>
      </c>
      <c r="H47" s="9"/>
      <c r="I47" s="9" t="s">
        <v>290</v>
      </c>
      <c r="J47" s="2">
        <f>'BU Summary'!K12</f>
        <v>197001</v>
      </c>
      <c r="K47" s="2">
        <f>'BU Summary'!K55</f>
        <v>197001</v>
      </c>
      <c r="L47" s="1" t="str">
        <f t="shared" si="5"/>
        <v>OK</v>
      </c>
    </row>
    <row r="48" spans="1:12" x14ac:dyDescent="0.25">
      <c r="A48" s="9"/>
      <c r="B48" s="9" t="s">
        <v>289</v>
      </c>
      <c r="C48" s="2">
        <f>'BU Summary'!O11</f>
        <v>-5929509794.6673002</v>
      </c>
      <c r="D48" s="2">
        <f>'BU Summary'!O42</f>
        <v>-5929509794.6672993</v>
      </c>
      <c r="E48" s="1" t="str">
        <f t="shared" si="4"/>
        <v>OK</v>
      </c>
      <c r="H48" s="9"/>
      <c r="I48" s="9" t="s">
        <v>289</v>
      </c>
      <c r="J48" s="2">
        <f>'BU Summary'!O12</f>
        <v>-2378890084.3540006</v>
      </c>
      <c r="K48" s="2">
        <f>'BU Summary'!O55</f>
        <v>-2378890084.3540001</v>
      </c>
      <c r="L48" s="1" t="str">
        <f t="shared" si="5"/>
        <v>OK</v>
      </c>
    </row>
  </sheetData>
  <conditionalFormatting sqref="E4:E11">
    <cfRule type="containsText" dxfId="127" priority="33" operator="containsText" text="NOT OK">
      <formula>NOT(ISERROR(SEARCH("NOT OK",E4)))</formula>
    </cfRule>
    <cfRule type="containsText" dxfId="126" priority="34" operator="containsText" text="OK">
      <formula>NOT(ISERROR(SEARCH("OK",E4)))</formula>
    </cfRule>
  </conditionalFormatting>
  <conditionalFormatting sqref="E25">
    <cfRule type="containsText" dxfId="125" priority="27" operator="containsText" text="NOT OK">
      <formula>NOT(ISERROR(SEARCH("NOT OK",E25)))</formula>
    </cfRule>
    <cfRule type="containsText" dxfId="124" priority="28" operator="containsText" text="OK">
      <formula>NOT(ISERROR(SEARCH("OK",E25)))</formula>
    </cfRule>
  </conditionalFormatting>
  <conditionalFormatting sqref="E17:E24">
    <cfRule type="containsText" dxfId="123" priority="9" operator="containsText" text="NOT OK">
      <formula>NOT(ISERROR(SEARCH("NOT OK",E17)))</formula>
    </cfRule>
    <cfRule type="containsText" dxfId="122" priority="10" operator="containsText" text="OK">
      <formula>NOT(ISERROR(SEARCH("OK",E17)))</formula>
    </cfRule>
  </conditionalFormatting>
  <conditionalFormatting sqref="E29:E36">
    <cfRule type="containsText" dxfId="121" priority="7" operator="containsText" text="NOT OK">
      <formula>NOT(ISERROR(SEARCH("NOT OK",E29)))</formula>
    </cfRule>
    <cfRule type="containsText" dxfId="120" priority="8" operator="containsText" text="OK">
      <formula>NOT(ISERROR(SEARCH("OK",E29)))</formula>
    </cfRule>
  </conditionalFormatting>
  <conditionalFormatting sqref="E41:E48">
    <cfRule type="containsText" dxfId="119" priority="5" operator="containsText" text="NOT OK">
      <formula>NOT(ISERROR(SEARCH("NOT OK",E41)))</formula>
    </cfRule>
    <cfRule type="containsText" dxfId="118" priority="6" operator="containsText" text="OK">
      <formula>NOT(ISERROR(SEARCH("OK",E41)))</formula>
    </cfRule>
  </conditionalFormatting>
  <conditionalFormatting sqref="L29:L36">
    <cfRule type="containsText" dxfId="117" priority="3" operator="containsText" text="NOT OK">
      <formula>NOT(ISERROR(SEARCH("NOT OK",L29)))</formula>
    </cfRule>
    <cfRule type="containsText" dxfId="116" priority="4" operator="containsText" text="OK">
      <formula>NOT(ISERROR(SEARCH("OK",L29)))</formula>
    </cfRule>
  </conditionalFormatting>
  <conditionalFormatting sqref="L41:L48">
    <cfRule type="containsText" dxfId="115" priority="1" operator="containsText" text="NOT OK">
      <formula>NOT(ISERROR(SEARCH("NOT OK",L41)))</formula>
    </cfRule>
    <cfRule type="containsText" dxfId="114" priority="2" operator="containsText" text="OK">
      <formula>NOT(ISERROR(SEARCH("OK",L41)))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zoomScale="85" zoomScaleNormal="85" workbookViewId="0">
      <selection activeCell="C5" sqref="C5"/>
    </sheetView>
  </sheetViews>
  <sheetFormatPr defaultRowHeight="14.25" x14ac:dyDescent="0.25"/>
  <cols>
    <col min="1" max="1" width="19.5703125" style="1" bestFit="1" customWidth="1"/>
    <col min="2" max="2" width="16.7109375" style="1" customWidth="1"/>
    <col min="3" max="3" width="13.7109375" style="1" bestFit="1" customWidth="1"/>
    <col min="4" max="4" width="12.5703125" style="1" customWidth="1"/>
    <col min="5" max="5" width="14.7109375" style="1" bestFit="1" customWidth="1"/>
    <col min="6" max="6" width="13.140625" style="1" bestFit="1" customWidth="1"/>
    <col min="7" max="7" width="14.7109375" style="1" bestFit="1" customWidth="1"/>
    <col min="8" max="8" width="13.140625" style="1" bestFit="1" customWidth="1"/>
    <col min="9" max="9" width="14.7109375" style="1" bestFit="1" customWidth="1"/>
    <col min="10" max="10" width="13.140625" style="1" bestFit="1" customWidth="1"/>
    <col min="11" max="16384" width="9.140625" style="1"/>
  </cols>
  <sheetData>
    <row r="2" spans="1:10" x14ac:dyDescent="0.25">
      <c r="C2" s="17" t="s">
        <v>292</v>
      </c>
      <c r="D2" s="17"/>
      <c r="E2" s="17" t="s">
        <v>291</v>
      </c>
      <c r="F2" s="17"/>
      <c r="G2" s="17" t="s">
        <v>290</v>
      </c>
      <c r="H2" s="17"/>
      <c r="I2" s="17" t="s">
        <v>289</v>
      </c>
      <c r="J2" s="17"/>
    </row>
    <row r="3" spans="1:10" x14ac:dyDescent="0.25">
      <c r="B3" s="11" t="s">
        <v>1</v>
      </c>
      <c r="C3" s="1" t="s">
        <v>298</v>
      </c>
      <c r="D3" s="1" t="s">
        <v>299</v>
      </c>
      <c r="E3" s="1" t="s">
        <v>300</v>
      </c>
      <c r="F3" s="1" t="s">
        <v>301</v>
      </c>
      <c r="G3" s="1" t="s">
        <v>302</v>
      </c>
      <c r="H3" s="1" t="s">
        <v>303</v>
      </c>
      <c r="I3" s="1" t="s">
        <v>304</v>
      </c>
      <c r="J3" s="1" t="s">
        <v>305</v>
      </c>
    </row>
    <row r="4" spans="1:10" x14ac:dyDescent="0.25">
      <c r="B4" s="1" t="s">
        <v>182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 x14ac:dyDescent="0.25">
      <c r="B5" s="1" t="s">
        <v>50</v>
      </c>
      <c r="C5" s="12">
        <v>69260070405.660004</v>
      </c>
      <c r="D5" s="12">
        <v>66339922067.26001</v>
      </c>
      <c r="E5" s="12">
        <v>233471</v>
      </c>
      <c r="F5" s="12">
        <v>211548</v>
      </c>
      <c r="G5" s="12">
        <v>301017</v>
      </c>
      <c r="H5" s="12">
        <v>279683</v>
      </c>
      <c r="I5" s="12">
        <v>-2312416326.2999997</v>
      </c>
      <c r="J5" s="12">
        <v>-2447790112.21</v>
      </c>
    </row>
    <row r="6" spans="1:10" x14ac:dyDescent="0.25">
      <c r="B6" s="1" t="s">
        <v>149</v>
      </c>
      <c r="C6" s="12">
        <v>22099814562.449997</v>
      </c>
      <c r="D6" s="12">
        <v>26727882078.32</v>
      </c>
      <c r="E6" s="12">
        <v>216077</v>
      </c>
      <c r="F6" s="12">
        <v>266724</v>
      </c>
      <c r="G6" s="12">
        <v>274166</v>
      </c>
      <c r="H6" s="12">
        <v>336562</v>
      </c>
      <c r="I6" s="12">
        <v>-1427967125.1599996</v>
      </c>
      <c r="J6" s="12">
        <v>-1419898621.8200002</v>
      </c>
    </row>
    <row r="7" spans="1:10" x14ac:dyDescent="0.25">
      <c r="B7" s="1" t="s">
        <v>83</v>
      </c>
      <c r="C7" s="12">
        <v>134989442771.58</v>
      </c>
      <c r="D7" s="12">
        <v>123924935113.22</v>
      </c>
      <c r="E7" s="12">
        <v>1058080</v>
      </c>
      <c r="F7" s="12">
        <v>907148</v>
      </c>
      <c r="G7" s="12">
        <v>1406264</v>
      </c>
      <c r="H7" s="12">
        <v>1200669</v>
      </c>
      <c r="I7" s="12">
        <v>-9173960369.2970009</v>
      </c>
      <c r="J7" s="12">
        <v>-5929509794.6673002</v>
      </c>
    </row>
    <row r="8" spans="1:10" x14ac:dyDescent="0.25">
      <c r="B8" s="1" t="s">
        <v>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 x14ac:dyDescent="0.25">
      <c r="B9" s="1" t="s">
        <v>116</v>
      </c>
      <c r="C9" s="12">
        <v>75006264650.800003</v>
      </c>
      <c r="D9" s="12">
        <v>94867418488.01001</v>
      </c>
      <c r="E9" s="12">
        <v>138161</v>
      </c>
      <c r="F9" s="12">
        <v>136095</v>
      </c>
      <c r="G9" s="12">
        <v>199691</v>
      </c>
      <c r="H9" s="12">
        <v>197001</v>
      </c>
      <c r="I9" s="12">
        <v>-2279556150.0283999</v>
      </c>
      <c r="J9" s="12">
        <v>-2378890084.3540006</v>
      </c>
    </row>
    <row r="10" spans="1:10" x14ac:dyDescent="0.25">
      <c r="B10" s="1" t="s">
        <v>215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spans="1:10" x14ac:dyDescent="0.25">
      <c r="B11"/>
      <c r="C11"/>
      <c r="D11"/>
      <c r="E11"/>
      <c r="F11"/>
      <c r="G11"/>
      <c r="H11"/>
      <c r="I11"/>
      <c r="J11"/>
    </row>
    <row r="14" spans="1:10" x14ac:dyDescent="0.25">
      <c r="A14" s="11" t="s">
        <v>1</v>
      </c>
      <c r="B14" s="11" t="s">
        <v>3</v>
      </c>
      <c r="C14" s="1" t="s">
        <v>298</v>
      </c>
      <c r="D14" s="1" t="s">
        <v>299</v>
      </c>
      <c r="E14" s="1" t="s">
        <v>300</v>
      </c>
      <c r="F14" s="1" t="s">
        <v>301</v>
      </c>
      <c r="G14" s="1" t="s">
        <v>302</v>
      </c>
      <c r="H14" s="1" t="s">
        <v>303</v>
      </c>
      <c r="I14" s="1" t="s">
        <v>304</v>
      </c>
      <c r="J14" s="1" t="s">
        <v>305</v>
      </c>
    </row>
    <row r="15" spans="1:10" x14ac:dyDescent="0.25">
      <c r="A15" s="1" t="s">
        <v>182</v>
      </c>
      <c r="B15" s="1" t="s">
        <v>21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</row>
    <row r="16" spans="1:10" x14ac:dyDescent="0.25">
      <c r="A16" s="1" t="s">
        <v>182</v>
      </c>
      <c r="B16" s="1" t="s">
        <v>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</row>
    <row r="17" spans="1:10" x14ac:dyDescent="0.25">
      <c r="A17" s="1" t="s">
        <v>182</v>
      </c>
      <c r="B17" s="1" t="s">
        <v>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</row>
    <row r="18" spans="1:10" x14ac:dyDescent="0.25">
      <c r="A18" s="1" t="s">
        <v>182</v>
      </c>
      <c r="B18" s="1" t="s">
        <v>11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</row>
    <row r="19" spans="1:10" x14ac:dyDescent="0.25">
      <c r="A19" s="1" t="s">
        <v>182</v>
      </c>
      <c r="B19" s="1" t="s">
        <v>13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</row>
    <row r="20" spans="1:10" x14ac:dyDescent="0.25">
      <c r="A20" s="1" t="s">
        <v>182</v>
      </c>
      <c r="B20" s="1" t="s">
        <v>15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</row>
    <row r="21" spans="1:10" x14ac:dyDescent="0.25">
      <c r="A21" s="1" t="s">
        <v>182</v>
      </c>
      <c r="B21" s="1" t="s">
        <v>17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</row>
    <row r="22" spans="1:10" x14ac:dyDescent="0.25">
      <c r="A22" s="1" t="s">
        <v>182</v>
      </c>
      <c r="B22" s="1" t="s">
        <v>19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</row>
    <row r="23" spans="1:10" x14ac:dyDescent="0.25">
      <c r="A23" s="1" t="s">
        <v>50</v>
      </c>
      <c r="B23" s="1" t="s">
        <v>21</v>
      </c>
      <c r="C23" s="12">
        <v>1861479577.4499998</v>
      </c>
      <c r="D23" s="12">
        <v>2054168985</v>
      </c>
      <c r="E23" s="12">
        <v>5040</v>
      </c>
      <c r="F23" s="12">
        <v>5175</v>
      </c>
      <c r="G23" s="12">
        <v>6310</v>
      </c>
      <c r="H23" s="12">
        <v>6646</v>
      </c>
      <c r="I23" s="12">
        <v>1172500.05</v>
      </c>
      <c r="J23" s="12">
        <v>3198333.36</v>
      </c>
    </row>
    <row r="24" spans="1:10" x14ac:dyDescent="0.25">
      <c r="A24" s="1" t="s">
        <v>50</v>
      </c>
      <c r="B24" s="1" t="s">
        <v>7</v>
      </c>
      <c r="C24" s="12">
        <v>48967325381.639999</v>
      </c>
      <c r="D24" s="12">
        <v>44152094561.709999</v>
      </c>
      <c r="E24" s="12">
        <v>207656</v>
      </c>
      <c r="F24" s="12">
        <v>184190</v>
      </c>
      <c r="G24" s="12">
        <v>251081</v>
      </c>
      <c r="H24" s="12">
        <v>221229</v>
      </c>
      <c r="I24" s="12">
        <v>-1543934953.0599999</v>
      </c>
      <c r="J24" s="12">
        <v>-1312248294.4200001</v>
      </c>
    </row>
    <row r="25" spans="1:10" x14ac:dyDescent="0.25">
      <c r="A25" s="1" t="s">
        <v>50</v>
      </c>
      <c r="B25" s="1" t="s">
        <v>9</v>
      </c>
      <c r="C25" s="12">
        <v>3152716811.6999998</v>
      </c>
      <c r="D25" s="12">
        <v>3053444644.6599998</v>
      </c>
      <c r="E25" s="12">
        <v>7872</v>
      </c>
      <c r="F25" s="12">
        <v>7788</v>
      </c>
      <c r="G25" s="12">
        <v>13621</v>
      </c>
      <c r="H25" s="12">
        <v>13521</v>
      </c>
      <c r="I25" s="12">
        <v>-136224810.13</v>
      </c>
      <c r="J25" s="12">
        <v>-128433003.29000001</v>
      </c>
    </row>
    <row r="26" spans="1:10" x14ac:dyDescent="0.25">
      <c r="A26" s="1" t="s">
        <v>50</v>
      </c>
      <c r="B26" s="1" t="s">
        <v>11</v>
      </c>
      <c r="C26" s="12">
        <v>2369730647.3400002</v>
      </c>
      <c r="D26" s="12">
        <v>2404287044.6199999</v>
      </c>
      <c r="E26" s="12">
        <v>4768</v>
      </c>
      <c r="F26" s="12">
        <v>5120</v>
      </c>
      <c r="G26" s="12">
        <v>9299</v>
      </c>
      <c r="H26" s="12">
        <v>10143</v>
      </c>
      <c r="I26" s="12">
        <v>-163942172.72</v>
      </c>
      <c r="J26" s="12">
        <v>-200112968.44999999</v>
      </c>
    </row>
    <row r="27" spans="1:10" x14ac:dyDescent="0.25">
      <c r="A27" s="1" t="s">
        <v>50</v>
      </c>
      <c r="B27" s="1" t="s">
        <v>13</v>
      </c>
      <c r="C27" s="12">
        <v>2003644310.3300002</v>
      </c>
      <c r="D27" s="12">
        <v>2557978878.5299997</v>
      </c>
      <c r="E27" s="12">
        <v>2569</v>
      </c>
      <c r="F27" s="12">
        <v>2637</v>
      </c>
      <c r="G27" s="12">
        <v>6597</v>
      </c>
      <c r="H27" s="12">
        <v>6509</v>
      </c>
      <c r="I27" s="12">
        <v>-76198333.310000002</v>
      </c>
      <c r="J27" s="12">
        <v>-74303033.329999998</v>
      </c>
    </row>
    <row r="28" spans="1:10" x14ac:dyDescent="0.25">
      <c r="A28" s="1" t="s">
        <v>50</v>
      </c>
      <c r="B28" s="1" t="s">
        <v>15</v>
      </c>
      <c r="C28" s="12">
        <v>1423249101.8299999</v>
      </c>
      <c r="D28" s="12">
        <v>1465590435.97</v>
      </c>
      <c r="E28" s="12">
        <v>1211</v>
      </c>
      <c r="F28" s="12">
        <v>2014</v>
      </c>
      <c r="G28" s="12">
        <v>2561</v>
      </c>
      <c r="H28" s="12">
        <v>5112</v>
      </c>
      <c r="I28" s="12">
        <v>-42873177.600000001</v>
      </c>
      <c r="J28" s="12">
        <v>-178829366.63999999</v>
      </c>
    </row>
    <row r="29" spans="1:10" x14ac:dyDescent="0.25">
      <c r="A29" s="1" t="s">
        <v>50</v>
      </c>
      <c r="B29" s="1" t="s">
        <v>17</v>
      </c>
      <c r="C29" s="12">
        <v>2058561427.0900002</v>
      </c>
      <c r="D29" s="12">
        <v>1892268191.53</v>
      </c>
      <c r="E29" s="12">
        <v>836</v>
      </c>
      <c r="F29" s="12">
        <v>881</v>
      </c>
      <c r="G29" s="12">
        <v>1394</v>
      </c>
      <c r="H29" s="12">
        <v>1630</v>
      </c>
      <c r="I29" s="12">
        <v>-16957350</v>
      </c>
      <c r="J29" s="12">
        <v>-19022900</v>
      </c>
    </row>
    <row r="30" spans="1:10" x14ac:dyDescent="0.25">
      <c r="A30" s="1" t="s">
        <v>50</v>
      </c>
      <c r="B30" s="1" t="s">
        <v>19</v>
      </c>
      <c r="C30" s="12">
        <v>7423363148.2799997</v>
      </c>
      <c r="D30" s="12">
        <v>8760089325.2399998</v>
      </c>
      <c r="E30" s="12">
        <v>3519</v>
      </c>
      <c r="F30" s="12">
        <v>3743</v>
      </c>
      <c r="G30" s="12">
        <v>10154</v>
      </c>
      <c r="H30" s="12">
        <v>14893</v>
      </c>
      <c r="I30" s="12">
        <v>-333458029.52999997</v>
      </c>
      <c r="J30" s="12">
        <v>-538038879.44000006</v>
      </c>
    </row>
    <row r="31" spans="1:10" x14ac:dyDescent="0.25">
      <c r="A31" s="1" t="s">
        <v>149</v>
      </c>
      <c r="B31" s="1" t="s">
        <v>21</v>
      </c>
      <c r="C31" s="12">
        <v>314009271.89999998</v>
      </c>
      <c r="D31" s="12">
        <v>483874301</v>
      </c>
      <c r="E31" s="12">
        <v>5357</v>
      </c>
      <c r="F31" s="12">
        <v>11727</v>
      </c>
      <c r="G31" s="12">
        <v>5434</v>
      </c>
      <c r="H31" s="12">
        <v>12200</v>
      </c>
      <c r="I31" s="12">
        <v>-35171306.600000001</v>
      </c>
      <c r="J31" s="12">
        <v>-74697085.790000007</v>
      </c>
    </row>
    <row r="32" spans="1:10" x14ac:dyDescent="0.25">
      <c r="A32" s="1" t="s">
        <v>149</v>
      </c>
      <c r="B32" s="1" t="s">
        <v>7</v>
      </c>
      <c r="C32" s="12">
        <v>19883467762.25</v>
      </c>
      <c r="D32" s="12">
        <v>23907502149.16</v>
      </c>
      <c r="E32" s="12">
        <v>198891</v>
      </c>
      <c r="F32" s="12">
        <v>241912</v>
      </c>
      <c r="G32" s="12">
        <v>237845</v>
      </c>
      <c r="H32" s="12">
        <v>290252</v>
      </c>
      <c r="I32" s="12">
        <v>-1155276354.52</v>
      </c>
      <c r="J32" s="12">
        <v>-1106962662.55</v>
      </c>
    </row>
    <row r="33" spans="1:10" x14ac:dyDescent="0.25">
      <c r="A33" s="1" t="s">
        <v>149</v>
      </c>
      <c r="B33" s="1" t="s">
        <v>9</v>
      </c>
      <c r="C33" s="12">
        <v>887302971.19999993</v>
      </c>
      <c r="D33" s="12">
        <v>1101000771.8</v>
      </c>
      <c r="E33" s="12">
        <v>7010</v>
      </c>
      <c r="F33" s="12">
        <v>8221</v>
      </c>
      <c r="G33" s="12">
        <v>14932</v>
      </c>
      <c r="H33" s="12">
        <v>17497</v>
      </c>
      <c r="I33" s="12">
        <v>-108925610.18000001</v>
      </c>
      <c r="J33" s="12">
        <v>-112389883.02000001</v>
      </c>
    </row>
    <row r="34" spans="1:10" x14ac:dyDescent="0.25">
      <c r="A34" s="1" t="s">
        <v>149</v>
      </c>
      <c r="B34" s="1" t="s">
        <v>11</v>
      </c>
      <c r="C34" s="12">
        <v>348511670.74000001</v>
      </c>
      <c r="D34" s="12">
        <v>385802915.60000002</v>
      </c>
      <c r="E34" s="12">
        <v>2295</v>
      </c>
      <c r="F34" s="12">
        <v>2398</v>
      </c>
      <c r="G34" s="12">
        <v>6376</v>
      </c>
      <c r="H34" s="12">
        <v>6935</v>
      </c>
      <c r="I34" s="12">
        <v>-52619398.68</v>
      </c>
      <c r="J34" s="12">
        <v>-52318925.810000002</v>
      </c>
    </row>
    <row r="35" spans="1:10" x14ac:dyDescent="0.25">
      <c r="A35" s="1" t="s">
        <v>149</v>
      </c>
      <c r="B35" s="1" t="s">
        <v>13</v>
      </c>
      <c r="C35" s="12">
        <v>208999248.13999999</v>
      </c>
      <c r="D35" s="12">
        <v>344730093.98000002</v>
      </c>
      <c r="E35" s="12">
        <v>1241</v>
      </c>
      <c r="F35" s="12">
        <v>1254</v>
      </c>
      <c r="G35" s="12">
        <v>4817</v>
      </c>
      <c r="H35" s="12">
        <v>4575</v>
      </c>
      <c r="I35" s="12">
        <v>-39224730.960000001</v>
      </c>
      <c r="J35" s="12">
        <v>-36092920.149999999</v>
      </c>
    </row>
    <row r="36" spans="1:10" x14ac:dyDescent="0.25">
      <c r="A36" s="1" t="s">
        <v>149</v>
      </c>
      <c r="B36" s="1" t="s">
        <v>15</v>
      </c>
      <c r="C36" s="12">
        <v>142784174.16999999</v>
      </c>
      <c r="D36" s="12">
        <v>128520008.69999999</v>
      </c>
      <c r="E36" s="12">
        <v>549</v>
      </c>
      <c r="F36" s="12">
        <v>525</v>
      </c>
      <c r="G36" s="12">
        <v>1818</v>
      </c>
      <c r="H36" s="12">
        <v>1862</v>
      </c>
      <c r="I36" s="12">
        <v>-15073144.01</v>
      </c>
      <c r="J36" s="12">
        <v>-14731872</v>
      </c>
    </row>
    <row r="37" spans="1:10" x14ac:dyDescent="0.25">
      <c r="A37" s="1" t="s">
        <v>149</v>
      </c>
      <c r="B37" s="1" t="s">
        <v>17</v>
      </c>
      <c r="C37" s="12">
        <v>147786601</v>
      </c>
      <c r="D37" s="12">
        <v>132542464.72999999</v>
      </c>
      <c r="E37" s="12">
        <v>349</v>
      </c>
      <c r="F37" s="12">
        <v>305</v>
      </c>
      <c r="G37" s="12">
        <v>991</v>
      </c>
      <c r="H37" s="12">
        <v>1059</v>
      </c>
      <c r="I37" s="12">
        <v>-7191552.8399999999</v>
      </c>
      <c r="J37" s="12">
        <v>-7434707.5</v>
      </c>
    </row>
    <row r="38" spans="1:10" x14ac:dyDescent="0.25">
      <c r="A38" s="1" t="s">
        <v>149</v>
      </c>
      <c r="B38" s="1" t="s">
        <v>19</v>
      </c>
      <c r="C38" s="12">
        <v>166952863.05000001</v>
      </c>
      <c r="D38" s="12">
        <v>243909373.34999999</v>
      </c>
      <c r="E38" s="12">
        <v>385</v>
      </c>
      <c r="F38" s="12">
        <v>382</v>
      </c>
      <c r="G38" s="12">
        <v>1953</v>
      </c>
      <c r="H38" s="12">
        <v>2182</v>
      </c>
      <c r="I38" s="12">
        <v>-14485027.370000001</v>
      </c>
      <c r="J38" s="12">
        <v>-15270565</v>
      </c>
    </row>
    <row r="39" spans="1:10" x14ac:dyDescent="0.25">
      <c r="A39" s="1" t="s">
        <v>83</v>
      </c>
      <c r="B39" s="1" t="s">
        <v>21</v>
      </c>
      <c r="C39" s="12">
        <v>1388799184.28</v>
      </c>
      <c r="D39" s="12">
        <v>1161644263.27</v>
      </c>
      <c r="E39" s="12">
        <v>26817</v>
      </c>
      <c r="F39" s="12">
        <v>24118</v>
      </c>
      <c r="G39" s="12">
        <v>27988</v>
      </c>
      <c r="H39" s="12">
        <v>25220</v>
      </c>
      <c r="I39" s="12">
        <v>-204210007.17999998</v>
      </c>
      <c r="J39" s="12">
        <v>-163716460.84</v>
      </c>
    </row>
    <row r="40" spans="1:10" x14ac:dyDescent="0.25">
      <c r="A40" s="1" t="s">
        <v>83</v>
      </c>
      <c r="B40" s="1" t="s">
        <v>7</v>
      </c>
      <c r="C40" s="12">
        <v>112974149379.89999</v>
      </c>
      <c r="D40" s="12">
        <v>103835667675.59</v>
      </c>
      <c r="E40" s="12">
        <v>964359</v>
      </c>
      <c r="F40" s="12">
        <v>826212</v>
      </c>
      <c r="G40" s="12">
        <v>1224887</v>
      </c>
      <c r="H40" s="12">
        <v>1046287</v>
      </c>
      <c r="I40" s="12">
        <v>-7621596081.1568012</v>
      </c>
      <c r="J40" s="12">
        <v>-4755312302.9365005</v>
      </c>
    </row>
    <row r="41" spans="1:10" x14ac:dyDescent="0.25">
      <c r="A41" s="1" t="s">
        <v>83</v>
      </c>
      <c r="B41" s="1" t="s">
        <v>9</v>
      </c>
      <c r="C41" s="12">
        <v>7192037147.0200005</v>
      </c>
      <c r="D41" s="12">
        <v>6509501714.6299992</v>
      </c>
      <c r="E41" s="12">
        <v>36534</v>
      </c>
      <c r="F41" s="12">
        <v>30761</v>
      </c>
      <c r="G41" s="12">
        <v>71454</v>
      </c>
      <c r="H41" s="12">
        <v>59524</v>
      </c>
      <c r="I41" s="12">
        <v>-621704561.89750004</v>
      </c>
      <c r="J41" s="12">
        <v>-448741455.73950005</v>
      </c>
    </row>
    <row r="42" spans="1:10" x14ac:dyDescent="0.25">
      <c r="A42" s="1" t="s">
        <v>83</v>
      </c>
      <c r="B42" s="1" t="s">
        <v>11</v>
      </c>
      <c r="C42" s="12">
        <v>4619275231.3899994</v>
      </c>
      <c r="D42" s="12">
        <v>3963394942.6900001</v>
      </c>
      <c r="E42" s="12">
        <v>12793</v>
      </c>
      <c r="F42" s="12">
        <v>10925</v>
      </c>
      <c r="G42" s="12">
        <v>31720</v>
      </c>
      <c r="H42" s="12">
        <v>27142</v>
      </c>
      <c r="I42" s="12">
        <v>-294176917.70379996</v>
      </c>
      <c r="J42" s="12">
        <v>-240102902.39230001</v>
      </c>
    </row>
    <row r="43" spans="1:10" x14ac:dyDescent="0.25">
      <c r="A43" s="1" t="s">
        <v>83</v>
      </c>
      <c r="B43" s="1" t="s">
        <v>13</v>
      </c>
      <c r="C43" s="12">
        <v>2812941735.25</v>
      </c>
      <c r="D43" s="12">
        <v>2534036713.6800003</v>
      </c>
      <c r="E43" s="12">
        <v>8725</v>
      </c>
      <c r="F43" s="12">
        <v>7324</v>
      </c>
      <c r="G43" s="12">
        <v>25087</v>
      </c>
      <c r="H43" s="12">
        <v>20880</v>
      </c>
      <c r="I43" s="12">
        <v>-221842584.745</v>
      </c>
      <c r="J43" s="12">
        <v>-166688613.5201</v>
      </c>
    </row>
    <row r="44" spans="1:10" x14ac:dyDescent="0.25">
      <c r="A44" s="1" t="s">
        <v>83</v>
      </c>
      <c r="B44" s="1" t="s">
        <v>15</v>
      </c>
      <c r="C44" s="12">
        <v>1277222312.52</v>
      </c>
      <c r="D44" s="12">
        <v>1249017866.54</v>
      </c>
      <c r="E44" s="12">
        <v>3423</v>
      </c>
      <c r="F44" s="12">
        <v>2910</v>
      </c>
      <c r="G44" s="12">
        <v>8398</v>
      </c>
      <c r="H44" s="12">
        <v>6685</v>
      </c>
      <c r="I44" s="12">
        <v>-82208889.265000001</v>
      </c>
      <c r="J44" s="12">
        <v>-57615271.093999997</v>
      </c>
    </row>
    <row r="45" spans="1:10" x14ac:dyDescent="0.25">
      <c r="A45" s="1" t="s">
        <v>83</v>
      </c>
      <c r="B45" s="1" t="s">
        <v>17</v>
      </c>
      <c r="C45" s="12">
        <v>875324561.27999997</v>
      </c>
      <c r="D45" s="12">
        <v>861628826.73000002</v>
      </c>
      <c r="E45" s="12">
        <v>1810</v>
      </c>
      <c r="F45" s="12">
        <v>1567</v>
      </c>
      <c r="G45" s="12">
        <v>5026</v>
      </c>
      <c r="H45" s="12">
        <v>4164</v>
      </c>
      <c r="I45" s="12">
        <v>-49857464.019999996</v>
      </c>
      <c r="J45" s="12">
        <v>-36639171.5405</v>
      </c>
    </row>
    <row r="46" spans="1:10" x14ac:dyDescent="0.25">
      <c r="A46" s="1" t="s">
        <v>83</v>
      </c>
      <c r="B46" s="1" t="s">
        <v>19</v>
      </c>
      <c r="C46" s="12">
        <v>3849693219.9400001</v>
      </c>
      <c r="D46" s="12">
        <v>3810043110.0899997</v>
      </c>
      <c r="E46" s="12">
        <v>3619</v>
      </c>
      <c r="F46" s="12">
        <v>3331</v>
      </c>
      <c r="G46" s="12">
        <v>11704</v>
      </c>
      <c r="H46" s="12">
        <v>10767</v>
      </c>
      <c r="I46" s="12">
        <v>-78363863.328899994</v>
      </c>
      <c r="J46" s="12">
        <v>-60693616.604400001</v>
      </c>
    </row>
    <row r="47" spans="1:10" x14ac:dyDescent="0.25">
      <c r="A47" s="1" t="s">
        <v>5</v>
      </c>
      <c r="B47" s="1" t="s">
        <v>21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</row>
    <row r="48" spans="1:10" x14ac:dyDescent="0.25">
      <c r="A48" s="1" t="s">
        <v>5</v>
      </c>
      <c r="B48" s="1" t="s">
        <v>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</row>
    <row r="49" spans="1:10" x14ac:dyDescent="0.25">
      <c r="A49" s="1" t="s">
        <v>5</v>
      </c>
      <c r="B49" s="1" t="s">
        <v>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</row>
    <row r="50" spans="1:10" x14ac:dyDescent="0.25">
      <c r="A50" s="1" t="s">
        <v>5</v>
      </c>
      <c r="B50" s="1" t="s">
        <v>11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</row>
    <row r="51" spans="1:10" x14ac:dyDescent="0.25">
      <c r="A51" s="1" t="s">
        <v>5</v>
      </c>
      <c r="B51" s="1" t="s">
        <v>13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</row>
    <row r="52" spans="1:10" x14ac:dyDescent="0.25">
      <c r="A52" s="1" t="s">
        <v>5</v>
      </c>
      <c r="B52" s="1" t="s">
        <v>15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</row>
    <row r="53" spans="1:10" x14ac:dyDescent="0.25">
      <c r="A53" s="1" t="s">
        <v>5</v>
      </c>
      <c r="B53" s="1" t="s">
        <v>17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</row>
    <row r="54" spans="1:10" x14ac:dyDescent="0.25">
      <c r="A54" s="1" t="s">
        <v>5</v>
      </c>
      <c r="B54" s="1" t="s">
        <v>19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</row>
    <row r="55" spans="1:10" x14ac:dyDescent="0.25">
      <c r="A55" s="1" t="s">
        <v>116</v>
      </c>
      <c r="B55" s="1" t="s">
        <v>21</v>
      </c>
      <c r="C55" s="12">
        <v>19272634</v>
      </c>
      <c r="D55" s="12">
        <v>323536506.74000001</v>
      </c>
      <c r="E55" s="12">
        <v>25</v>
      </c>
      <c r="F55" s="12">
        <v>1358</v>
      </c>
      <c r="G55" s="12">
        <v>25</v>
      </c>
      <c r="H55" s="12">
        <v>1473</v>
      </c>
      <c r="I55" s="12">
        <v>-295489.46679999999</v>
      </c>
      <c r="J55" s="12">
        <v>-14758733.4663</v>
      </c>
    </row>
    <row r="56" spans="1:10" x14ac:dyDescent="0.25">
      <c r="A56" s="1" t="s">
        <v>116</v>
      </c>
      <c r="B56" s="1" t="s">
        <v>7</v>
      </c>
      <c r="C56" s="12">
        <v>62766630700.029999</v>
      </c>
      <c r="D56" s="12">
        <v>73906060206.600006</v>
      </c>
      <c r="E56" s="12">
        <v>112234</v>
      </c>
      <c r="F56" s="12">
        <v>109055</v>
      </c>
      <c r="G56" s="12">
        <v>133412</v>
      </c>
      <c r="H56" s="12">
        <v>126978</v>
      </c>
      <c r="I56" s="12">
        <v>-1470739167.9068</v>
      </c>
      <c r="J56" s="12">
        <v>-1445687007.3257999</v>
      </c>
    </row>
    <row r="57" spans="1:10" x14ac:dyDescent="0.25">
      <c r="A57" s="1" t="s">
        <v>116</v>
      </c>
      <c r="B57" s="1" t="s">
        <v>9</v>
      </c>
      <c r="C57" s="12">
        <v>3697750678.04</v>
      </c>
      <c r="D57" s="12">
        <v>5476605312</v>
      </c>
      <c r="E57" s="12">
        <v>5318</v>
      </c>
      <c r="F57" s="12">
        <v>4507</v>
      </c>
      <c r="G57" s="12">
        <v>11034</v>
      </c>
      <c r="H57" s="12">
        <v>9662</v>
      </c>
      <c r="I57" s="12">
        <v>-101934391.7904</v>
      </c>
      <c r="J57" s="12">
        <v>-93313161.8759</v>
      </c>
    </row>
    <row r="58" spans="1:10" x14ac:dyDescent="0.25">
      <c r="A58" s="1" t="s">
        <v>116</v>
      </c>
      <c r="B58" s="1" t="s">
        <v>11</v>
      </c>
      <c r="C58" s="12">
        <v>3550858731.7000003</v>
      </c>
      <c r="D58" s="12">
        <v>4813405023.0500002</v>
      </c>
      <c r="E58" s="12">
        <v>11313</v>
      </c>
      <c r="F58" s="12">
        <v>11702</v>
      </c>
      <c r="G58" s="12">
        <v>23966</v>
      </c>
      <c r="H58" s="12">
        <v>25137</v>
      </c>
      <c r="I58" s="12">
        <v>-320188084.16619998</v>
      </c>
      <c r="J58" s="12">
        <v>-361309732.3136</v>
      </c>
    </row>
    <row r="59" spans="1:10" x14ac:dyDescent="0.25">
      <c r="A59" s="1" t="s">
        <v>116</v>
      </c>
      <c r="B59" s="1" t="s">
        <v>13</v>
      </c>
      <c r="C59" s="12">
        <v>945605697.26999998</v>
      </c>
      <c r="D59" s="12">
        <v>1109635711.6500001</v>
      </c>
      <c r="E59" s="12">
        <v>1682</v>
      </c>
      <c r="F59" s="12">
        <v>1259</v>
      </c>
      <c r="G59" s="12">
        <v>4450</v>
      </c>
      <c r="H59" s="12">
        <v>3197</v>
      </c>
      <c r="I59" s="12">
        <v>-38601013.161200002</v>
      </c>
      <c r="J59" s="12">
        <v>-28410109.909299999</v>
      </c>
    </row>
    <row r="60" spans="1:10" x14ac:dyDescent="0.25">
      <c r="A60" s="1" t="s">
        <v>116</v>
      </c>
      <c r="B60" s="1" t="s">
        <v>15</v>
      </c>
      <c r="C60" s="12">
        <v>1253367449.97</v>
      </c>
      <c r="D60" s="12">
        <v>3318916081.4500003</v>
      </c>
      <c r="E60" s="12">
        <v>4065</v>
      </c>
      <c r="F60" s="12">
        <v>5086</v>
      </c>
      <c r="G60" s="12">
        <v>12481</v>
      </c>
      <c r="H60" s="12">
        <v>15776</v>
      </c>
      <c r="I60" s="12">
        <v>-172666388.3346</v>
      </c>
      <c r="J60" s="12">
        <v>-225935068.7726</v>
      </c>
    </row>
    <row r="61" spans="1:10" x14ac:dyDescent="0.25">
      <c r="A61" s="1" t="s">
        <v>116</v>
      </c>
      <c r="B61" s="1" t="s">
        <v>17</v>
      </c>
      <c r="C61" s="12">
        <v>235778474.96000001</v>
      </c>
      <c r="D61" s="12">
        <v>294989034.69999999</v>
      </c>
      <c r="E61" s="12">
        <v>925</v>
      </c>
      <c r="F61" s="12">
        <v>311</v>
      </c>
      <c r="G61" s="12">
        <v>3197</v>
      </c>
      <c r="H61" s="12">
        <v>884</v>
      </c>
      <c r="I61" s="12">
        <v>-40470352.565799996</v>
      </c>
      <c r="J61" s="12">
        <v>-8045575.3654000005</v>
      </c>
    </row>
    <row r="62" spans="1:10" x14ac:dyDescent="0.25">
      <c r="A62" s="1" t="s">
        <v>116</v>
      </c>
      <c r="B62" s="1" t="s">
        <v>19</v>
      </c>
      <c r="C62" s="12">
        <v>2537000284.8299999</v>
      </c>
      <c r="D62" s="12">
        <v>5624270611.8199997</v>
      </c>
      <c r="E62" s="12">
        <v>2599</v>
      </c>
      <c r="F62" s="12">
        <v>2817</v>
      </c>
      <c r="G62" s="12">
        <v>11126</v>
      </c>
      <c r="H62" s="12">
        <v>13894</v>
      </c>
      <c r="I62" s="12">
        <v>-134661262.63660002</v>
      </c>
      <c r="J62" s="12">
        <v>-201430695.3251</v>
      </c>
    </row>
    <row r="63" spans="1:10" x14ac:dyDescent="0.25">
      <c r="A63" s="1" t="s">
        <v>215</v>
      </c>
      <c r="B63" s="1" t="s">
        <v>21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</row>
    <row r="64" spans="1:10" x14ac:dyDescent="0.25">
      <c r="A64" s="1" t="s">
        <v>215</v>
      </c>
      <c r="B64" s="1" t="s">
        <v>7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</row>
    <row r="65" spans="1:10" x14ac:dyDescent="0.25">
      <c r="A65" s="1" t="s">
        <v>215</v>
      </c>
      <c r="B65" s="1" t="s">
        <v>9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</row>
    <row r="66" spans="1:10" x14ac:dyDescent="0.25">
      <c r="A66" s="1" t="s">
        <v>215</v>
      </c>
      <c r="B66" s="1" t="s">
        <v>11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</row>
    <row r="67" spans="1:10" x14ac:dyDescent="0.25">
      <c r="A67" s="1" t="s">
        <v>215</v>
      </c>
      <c r="B67" s="1" t="s">
        <v>13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</row>
    <row r="68" spans="1:10" x14ac:dyDescent="0.25">
      <c r="A68" s="1" t="s">
        <v>215</v>
      </c>
      <c r="B68" s="1" t="s">
        <v>15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</row>
    <row r="69" spans="1:10" x14ac:dyDescent="0.25">
      <c r="A69" s="1" t="s">
        <v>215</v>
      </c>
      <c r="B69" s="1" t="s">
        <v>17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</row>
    <row r="70" spans="1:10" x14ac:dyDescent="0.25">
      <c r="A70" s="1" t="s">
        <v>215</v>
      </c>
      <c r="B70" s="1" t="s">
        <v>19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  <row r="75" spans="1:10" ht="15" x14ac:dyDescent="0.25">
      <c r="A75"/>
      <c r="B75"/>
      <c r="C75"/>
      <c r="D75"/>
      <c r="E75"/>
      <c r="F75"/>
      <c r="G75"/>
      <c r="H75"/>
      <c r="I75"/>
      <c r="J75"/>
    </row>
    <row r="76" spans="1:10" ht="15" x14ac:dyDescent="0.25">
      <c r="A76"/>
      <c r="B76"/>
      <c r="C76"/>
      <c r="D76"/>
      <c r="E76"/>
      <c r="F76"/>
      <c r="G76"/>
      <c r="H76"/>
      <c r="I76"/>
      <c r="J76"/>
    </row>
    <row r="77" spans="1:10" ht="15" x14ac:dyDescent="0.25">
      <c r="A77"/>
      <c r="B77"/>
      <c r="C77"/>
      <c r="D77"/>
      <c r="E77"/>
      <c r="F77"/>
      <c r="G77"/>
      <c r="H77"/>
      <c r="I77"/>
      <c r="J77"/>
    </row>
    <row r="78" spans="1:10" ht="15" x14ac:dyDescent="0.25">
      <c r="A78"/>
      <c r="B78"/>
      <c r="C78"/>
      <c r="D78"/>
      <c r="E78"/>
      <c r="F78"/>
      <c r="G78"/>
      <c r="H78"/>
      <c r="I78"/>
      <c r="J78"/>
    </row>
  </sheetData>
  <mergeCells count="4">
    <mergeCell ref="I2:J2"/>
    <mergeCell ref="G2:H2"/>
    <mergeCell ref="E2:F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5"/>
  <sheetViews>
    <sheetView zoomScale="85" zoomScaleNormal="85" workbookViewId="0">
      <selection activeCell="B10" sqref="B10"/>
    </sheetView>
  </sheetViews>
  <sheetFormatPr defaultRowHeight="14.25" x14ac:dyDescent="0.25"/>
  <cols>
    <col min="1" max="1" width="17" style="1" bestFit="1" customWidth="1"/>
    <col min="2" max="2" width="16.5703125" style="1" bestFit="1" customWidth="1"/>
    <col min="3" max="3" width="20.7109375" style="1" bestFit="1" customWidth="1"/>
    <col min="4" max="4" width="15" style="1" bestFit="1" customWidth="1"/>
    <col min="5" max="5" width="18.5703125" style="2" customWidth="1"/>
    <col min="6" max="7" width="12.7109375" style="2" bestFit="1" customWidth="1"/>
    <col min="8" max="8" width="18.140625" style="2" bestFit="1" customWidth="1"/>
    <col min="9" max="16384" width="9.140625" style="1"/>
  </cols>
  <sheetData>
    <row r="3" spans="1:8" x14ac:dyDescent="0.25">
      <c r="D3" s="1" t="s">
        <v>376</v>
      </c>
      <c r="E3" s="2">
        <f>SUBTOTAL(9,E7:E1007)</f>
        <v>301355592390.49005</v>
      </c>
      <c r="F3" s="2">
        <f t="shared" ref="F3:H3" si="0">SUBTOTAL(9,F7:F1007)</f>
        <v>1645789</v>
      </c>
      <c r="G3" s="2">
        <f t="shared" si="0"/>
        <v>2181138</v>
      </c>
      <c r="H3" s="2">
        <f t="shared" si="0"/>
        <v>-15193899970.7854</v>
      </c>
    </row>
    <row r="4" spans="1:8" x14ac:dyDescent="0.25">
      <c r="A4" s="18" t="s">
        <v>377</v>
      </c>
      <c r="B4" s="18"/>
      <c r="C4" s="18"/>
      <c r="D4" s="18"/>
      <c r="E4" s="18"/>
      <c r="F4" s="18"/>
      <c r="G4" s="18"/>
      <c r="H4" s="18"/>
    </row>
    <row r="5" spans="1:8" x14ac:dyDescent="0.25">
      <c r="A5" s="14"/>
      <c r="B5" s="14"/>
      <c r="C5" s="14"/>
      <c r="D5" s="14"/>
      <c r="E5" s="14"/>
      <c r="F5" s="14"/>
      <c r="G5" s="14"/>
      <c r="H5" s="14"/>
    </row>
    <row r="6" spans="1:8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281</v>
      </c>
      <c r="F6" s="2" t="s">
        <v>282</v>
      </c>
      <c r="G6" s="2" t="s">
        <v>283</v>
      </c>
      <c r="H6" s="2" t="s">
        <v>284</v>
      </c>
    </row>
    <row r="7" spans="1:8" ht="15" x14ac:dyDescent="0.25">
      <c r="A7" t="s">
        <v>57</v>
      </c>
      <c r="B7" t="s">
        <v>50</v>
      </c>
      <c r="C7" t="s">
        <v>6</v>
      </c>
      <c r="D7" t="s">
        <v>21</v>
      </c>
      <c r="E7" s="13">
        <v>63103114.119999997</v>
      </c>
      <c r="F7" s="13">
        <v>529</v>
      </c>
      <c r="G7" s="13">
        <v>721</v>
      </c>
      <c r="H7" s="13">
        <v>0</v>
      </c>
    </row>
    <row r="8" spans="1:8" ht="15" x14ac:dyDescent="0.25">
      <c r="A8" t="s">
        <v>49</v>
      </c>
      <c r="B8" t="s">
        <v>50</v>
      </c>
      <c r="C8" t="s">
        <v>6</v>
      </c>
      <c r="D8" t="s">
        <v>7</v>
      </c>
      <c r="E8" s="13">
        <v>5494538403.2799997</v>
      </c>
      <c r="F8" s="13">
        <v>16852</v>
      </c>
      <c r="G8" s="13">
        <v>19809</v>
      </c>
      <c r="H8" s="13">
        <v>-28327250</v>
      </c>
    </row>
    <row r="9" spans="1:8" ht="15" x14ac:dyDescent="0.25">
      <c r="A9" t="s">
        <v>51</v>
      </c>
      <c r="B9" t="s">
        <v>50</v>
      </c>
      <c r="C9" t="s">
        <v>6</v>
      </c>
      <c r="D9" t="s">
        <v>9</v>
      </c>
      <c r="E9" s="13">
        <v>344599169.98000002</v>
      </c>
      <c r="F9" s="13">
        <v>508</v>
      </c>
      <c r="G9" s="13">
        <v>819</v>
      </c>
      <c r="H9" s="13">
        <v>-5559750</v>
      </c>
    </row>
    <row r="10" spans="1:8" ht="15" x14ac:dyDescent="0.25">
      <c r="A10" t="s">
        <v>52</v>
      </c>
      <c r="B10" t="s">
        <v>50</v>
      </c>
      <c r="C10" t="s">
        <v>6</v>
      </c>
      <c r="D10" t="s">
        <v>11</v>
      </c>
      <c r="E10" s="13">
        <v>234768251.99000001</v>
      </c>
      <c r="F10" s="13">
        <v>279</v>
      </c>
      <c r="G10" s="13">
        <v>476</v>
      </c>
      <c r="H10" s="13">
        <v>-5377400</v>
      </c>
    </row>
    <row r="11" spans="1:8" ht="15" x14ac:dyDescent="0.25">
      <c r="A11" t="s">
        <v>53</v>
      </c>
      <c r="B11" t="s">
        <v>50</v>
      </c>
      <c r="C11" t="s">
        <v>6</v>
      </c>
      <c r="D11" t="s">
        <v>13</v>
      </c>
      <c r="E11" s="13">
        <v>179585289.55000001</v>
      </c>
      <c r="F11" s="13">
        <v>130</v>
      </c>
      <c r="G11" s="13">
        <v>242</v>
      </c>
      <c r="H11" s="13">
        <v>-3992000</v>
      </c>
    </row>
    <row r="12" spans="1:8" ht="15" x14ac:dyDescent="0.25">
      <c r="A12" t="s">
        <v>54</v>
      </c>
      <c r="B12" t="s">
        <v>50</v>
      </c>
      <c r="C12" t="s">
        <v>6</v>
      </c>
      <c r="D12" t="s">
        <v>15</v>
      </c>
      <c r="E12" s="13">
        <v>149778381</v>
      </c>
      <c r="F12" s="13">
        <v>88</v>
      </c>
      <c r="G12" s="13">
        <v>152</v>
      </c>
      <c r="H12" s="13">
        <v>-3225850</v>
      </c>
    </row>
    <row r="13" spans="1:8" ht="15" x14ac:dyDescent="0.25">
      <c r="A13" t="s">
        <v>55</v>
      </c>
      <c r="B13" t="s">
        <v>50</v>
      </c>
      <c r="C13" t="s">
        <v>6</v>
      </c>
      <c r="D13" t="s">
        <v>17</v>
      </c>
      <c r="E13" s="13">
        <v>80468534</v>
      </c>
      <c r="F13" s="13">
        <v>40</v>
      </c>
      <c r="G13" s="13">
        <v>65</v>
      </c>
      <c r="H13" s="13">
        <v>-1519950</v>
      </c>
    </row>
    <row r="14" spans="1:8" ht="15" x14ac:dyDescent="0.25">
      <c r="A14" t="s">
        <v>56</v>
      </c>
      <c r="B14" t="s">
        <v>50</v>
      </c>
      <c r="C14" t="s">
        <v>6</v>
      </c>
      <c r="D14" t="s">
        <v>19</v>
      </c>
      <c r="E14" s="13">
        <v>440267014.44</v>
      </c>
      <c r="F14" s="13">
        <v>173</v>
      </c>
      <c r="G14" s="13">
        <v>316</v>
      </c>
      <c r="H14" s="13">
        <v>-24767950</v>
      </c>
    </row>
    <row r="15" spans="1:8" ht="15" x14ac:dyDescent="0.25">
      <c r="A15" t="s">
        <v>65</v>
      </c>
      <c r="B15" t="s">
        <v>50</v>
      </c>
      <c r="C15" t="s">
        <v>23</v>
      </c>
      <c r="D15" t="s">
        <v>21</v>
      </c>
      <c r="E15" s="13">
        <v>18938203.07</v>
      </c>
      <c r="F15" s="13">
        <v>150</v>
      </c>
      <c r="G15" s="13">
        <v>192</v>
      </c>
      <c r="H15" s="13">
        <v>49999.99</v>
      </c>
    </row>
    <row r="16" spans="1:8" ht="15" x14ac:dyDescent="0.25">
      <c r="A16" t="s">
        <v>58</v>
      </c>
      <c r="B16" t="s">
        <v>50</v>
      </c>
      <c r="C16" t="s">
        <v>23</v>
      </c>
      <c r="D16" t="s">
        <v>7</v>
      </c>
      <c r="E16" s="13">
        <v>1225520166.1800001</v>
      </c>
      <c r="F16" s="13">
        <v>4614</v>
      </c>
      <c r="G16" s="13">
        <v>5354</v>
      </c>
      <c r="H16" s="13">
        <v>7144500</v>
      </c>
    </row>
    <row r="17" spans="1:8" ht="15" x14ac:dyDescent="0.25">
      <c r="A17" t="s">
        <v>59</v>
      </c>
      <c r="B17" t="s">
        <v>50</v>
      </c>
      <c r="C17" t="s">
        <v>23</v>
      </c>
      <c r="D17" t="s">
        <v>9</v>
      </c>
      <c r="E17" s="13">
        <v>56141924.130000003</v>
      </c>
      <c r="F17" s="13">
        <v>132</v>
      </c>
      <c r="G17" s="13">
        <v>200</v>
      </c>
      <c r="H17" s="13">
        <v>-405750</v>
      </c>
    </row>
    <row r="18" spans="1:8" ht="15" x14ac:dyDescent="0.25">
      <c r="A18" t="s">
        <v>60</v>
      </c>
      <c r="B18" t="s">
        <v>50</v>
      </c>
      <c r="C18" t="s">
        <v>23</v>
      </c>
      <c r="D18" t="s">
        <v>11</v>
      </c>
      <c r="E18" s="13">
        <v>32865661.600000001</v>
      </c>
      <c r="F18" s="13">
        <v>57</v>
      </c>
      <c r="G18" s="13">
        <v>85</v>
      </c>
      <c r="H18" s="13">
        <v>-692000</v>
      </c>
    </row>
    <row r="19" spans="1:8" ht="15" x14ac:dyDescent="0.25">
      <c r="A19" t="s">
        <v>61</v>
      </c>
      <c r="B19" t="s">
        <v>50</v>
      </c>
      <c r="C19" t="s">
        <v>23</v>
      </c>
      <c r="D19" t="s">
        <v>13</v>
      </c>
      <c r="E19" s="13">
        <v>38474120</v>
      </c>
      <c r="F19" s="13">
        <v>49</v>
      </c>
      <c r="G19" s="13">
        <v>86</v>
      </c>
      <c r="H19" s="13">
        <v>-748000</v>
      </c>
    </row>
    <row r="20" spans="1:8" ht="15" x14ac:dyDescent="0.25">
      <c r="A20" t="s">
        <v>62</v>
      </c>
      <c r="B20" t="s">
        <v>50</v>
      </c>
      <c r="C20" t="s">
        <v>23</v>
      </c>
      <c r="D20" t="s">
        <v>15</v>
      </c>
      <c r="E20" s="13">
        <v>23853590</v>
      </c>
      <c r="F20" s="13">
        <v>17</v>
      </c>
      <c r="G20" s="13">
        <v>19</v>
      </c>
      <c r="H20" s="13">
        <v>-369500</v>
      </c>
    </row>
    <row r="21" spans="1:8" ht="15" x14ac:dyDescent="0.25">
      <c r="A21" t="s">
        <v>63</v>
      </c>
      <c r="B21" t="s">
        <v>50</v>
      </c>
      <c r="C21" t="s">
        <v>23</v>
      </c>
      <c r="D21" t="s">
        <v>17</v>
      </c>
      <c r="E21" s="13">
        <v>25130230</v>
      </c>
      <c r="F21" s="13">
        <v>19</v>
      </c>
      <c r="G21" s="13">
        <v>32</v>
      </c>
      <c r="H21" s="13">
        <v>-329500</v>
      </c>
    </row>
    <row r="22" spans="1:8" ht="15" x14ac:dyDescent="0.25">
      <c r="A22" t="s">
        <v>64</v>
      </c>
      <c r="B22" t="s">
        <v>50</v>
      </c>
      <c r="C22" t="s">
        <v>23</v>
      </c>
      <c r="D22" t="s">
        <v>19</v>
      </c>
      <c r="E22" s="13">
        <v>73183549.319999993</v>
      </c>
      <c r="F22" s="13">
        <v>49</v>
      </c>
      <c r="G22" s="13">
        <v>66</v>
      </c>
      <c r="H22" s="13">
        <v>-5063500</v>
      </c>
    </row>
    <row r="23" spans="1:8" ht="15" x14ac:dyDescent="0.25">
      <c r="A23" t="s">
        <v>73</v>
      </c>
      <c r="B23" t="s">
        <v>50</v>
      </c>
      <c r="C23" t="s">
        <v>32</v>
      </c>
      <c r="D23" t="s">
        <v>21</v>
      </c>
      <c r="E23" s="13">
        <v>36863762.130000003</v>
      </c>
      <c r="F23" s="13">
        <v>376</v>
      </c>
      <c r="G23" s="13">
        <v>491</v>
      </c>
      <c r="H23" s="13">
        <v>0</v>
      </c>
    </row>
    <row r="24" spans="1:8" ht="15" x14ac:dyDescent="0.25">
      <c r="A24" t="s">
        <v>66</v>
      </c>
      <c r="B24" t="s">
        <v>50</v>
      </c>
      <c r="C24" t="s">
        <v>32</v>
      </c>
      <c r="D24" t="s">
        <v>7</v>
      </c>
      <c r="E24" s="13">
        <v>3195114376.3000002</v>
      </c>
      <c r="F24" s="13">
        <v>13376</v>
      </c>
      <c r="G24" s="13">
        <v>15819</v>
      </c>
      <c r="H24" s="13">
        <v>-73890400</v>
      </c>
    </row>
    <row r="25" spans="1:8" ht="15" x14ac:dyDescent="0.25">
      <c r="A25" t="s">
        <v>67</v>
      </c>
      <c r="B25" t="s">
        <v>50</v>
      </c>
      <c r="C25" t="s">
        <v>32</v>
      </c>
      <c r="D25" t="s">
        <v>9</v>
      </c>
      <c r="E25" s="13">
        <v>219652517.31999999</v>
      </c>
      <c r="F25" s="13">
        <v>464</v>
      </c>
      <c r="G25" s="13">
        <v>764</v>
      </c>
      <c r="H25" s="13">
        <v>-8382200</v>
      </c>
    </row>
    <row r="26" spans="1:8" ht="15" x14ac:dyDescent="0.25">
      <c r="A26" t="s">
        <v>68</v>
      </c>
      <c r="B26" t="s">
        <v>50</v>
      </c>
      <c r="C26" t="s">
        <v>32</v>
      </c>
      <c r="D26" t="s">
        <v>11</v>
      </c>
      <c r="E26" s="13">
        <v>148682509.81999999</v>
      </c>
      <c r="F26" s="13">
        <v>244</v>
      </c>
      <c r="G26" s="13">
        <v>396</v>
      </c>
      <c r="H26" s="13">
        <v>-7785000</v>
      </c>
    </row>
    <row r="27" spans="1:8" ht="15" x14ac:dyDescent="0.25">
      <c r="A27" t="s">
        <v>69</v>
      </c>
      <c r="B27" t="s">
        <v>50</v>
      </c>
      <c r="C27" t="s">
        <v>32</v>
      </c>
      <c r="D27" t="s">
        <v>13</v>
      </c>
      <c r="E27" s="13">
        <v>118321634</v>
      </c>
      <c r="F27" s="13">
        <v>153</v>
      </c>
      <c r="G27" s="13">
        <v>336</v>
      </c>
      <c r="H27" s="13">
        <v>-6663000</v>
      </c>
    </row>
    <row r="28" spans="1:8" ht="15" x14ac:dyDescent="0.25">
      <c r="A28" t="s">
        <v>70</v>
      </c>
      <c r="B28" t="s">
        <v>50</v>
      </c>
      <c r="C28" t="s">
        <v>32</v>
      </c>
      <c r="D28" t="s">
        <v>15</v>
      </c>
      <c r="E28" s="13">
        <v>74629290</v>
      </c>
      <c r="F28" s="13">
        <v>70</v>
      </c>
      <c r="G28" s="13">
        <v>132</v>
      </c>
      <c r="H28" s="13">
        <v>-3769000</v>
      </c>
    </row>
    <row r="29" spans="1:8" ht="15" x14ac:dyDescent="0.25">
      <c r="A29" t="s">
        <v>71</v>
      </c>
      <c r="B29" t="s">
        <v>50</v>
      </c>
      <c r="C29" t="s">
        <v>32</v>
      </c>
      <c r="D29" t="s">
        <v>17</v>
      </c>
      <c r="E29" s="13">
        <v>47250503.119999997</v>
      </c>
      <c r="F29" s="13">
        <v>40</v>
      </c>
      <c r="G29" s="13">
        <v>76</v>
      </c>
      <c r="H29" s="13">
        <v>-2386900</v>
      </c>
    </row>
    <row r="30" spans="1:8" ht="15" x14ac:dyDescent="0.25">
      <c r="A30" t="s">
        <v>72</v>
      </c>
      <c r="B30" t="s">
        <v>50</v>
      </c>
      <c r="C30" t="s">
        <v>32</v>
      </c>
      <c r="D30" t="s">
        <v>19</v>
      </c>
      <c r="E30" s="13">
        <v>223404115.72999999</v>
      </c>
      <c r="F30" s="13">
        <v>173</v>
      </c>
      <c r="G30" s="13">
        <v>286</v>
      </c>
      <c r="H30" s="13">
        <v>-29900500</v>
      </c>
    </row>
    <row r="31" spans="1:8" ht="15" x14ac:dyDescent="0.25">
      <c r="A31" t="s">
        <v>81</v>
      </c>
      <c r="B31" t="s">
        <v>50</v>
      </c>
      <c r="C31" t="s">
        <v>41</v>
      </c>
      <c r="D31" t="s">
        <v>21</v>
      </c>
      <c r="E31" s="13">
        <v>152308532.53</v>
      </c>
      <c r="F31" s="13">
        <v>1241</v>
      </c>
      <c r="G31" s="13">
        <v>1598</v>
      </c>
      <c r="H31" s="13">
        <v>386666.67</v>
      </c>
    </row>
    <row r="32" spans="1:8" ht="15" x14ac:dyDescent="0.25">
      <c r="A32" t="s">
        <v>74</v>
      </c>
      <c r="B32" t="s">
        <v>50</v>
      </c>
      <c r="C32" t="s">
        <v>41</v>
      </c>
      <c r="D32" t="s">
        <v>7</v>
      </c>
      <c r="E32" s="13">
        <v>11634854403.75</v>
      </c>
      <c r="F32" s="13">
        <v>61502</v>
      </c>
      <c r="G32" s="13">
        <v>75075</v>
      </c>
      <c r="H32" s="13">
        <v>-1026595136.41</v>
      </c>
    </row>
    <row r="33" spans="1:8" ht="15" x14ac:dyDescent="0.25">
      <c r="A33" t="s">
        <v>75</v>
      </c>
      <c r="B33" t="s">
        <v>50</v>
      </c>
      <c r="C33" t="s">
        <v>41</v>
      </c>
      <c r="D33" t="s">
        <v>9</v>
      </c>
      <c r="E33" s="13">
        <v>852138390.50999999</v>
      </c>
      <c r="F33" s="13">
        <v>2272</v>
      </c>
      <c r="G33" s="13">
        <v>4167</v>
      </c>
      <c r="H33" s="13">
        <v>-75850110.189999998</v>
      </c>
    </row>
    <row r="34" spans="1:8" ht="15" x14ac:dyDescent="0.25">
      <c r="A34" t="s">
        <v>76</v>
      </c>
      <c r="B34" t="s">
        <v>50</v>
      </c>
      <c r="C34" t="s">
        <v>41</v>
      </c>
      <c r="D34" t="s">
        <v>11</v>
      </c>
      <c r="E34" s="13">
        <v>570383406.87</v>
      </c>
      <c r="F34" s="13">
        <v>1687</v>
      </c>
      <c r="G34" s="13">
        <v>3610</v>
      </c>
      <c r="H34" s="13">
        <v>-112322272.72</v>
      </c>
    </row>
    <row r="35" spans="1:8" ht="15" x14ac:dyDescent="0.25">
      <c r="A35" t="s">
        <v>77</v>
      </c>
      <c r="B35" t="s">
        <v>50</v>
      </c>
      <c r="C35" t="s">
        <v>41</v>
      </c>
      <c r="D35" t="s">
        <v>13</v>
      </c>
      <c r="E35" s="13">
        <v>495382185.63</v>
      </c>
      <c r="F35" s="13">
        <v>680</v>
      </c>
      <c r="G35" s="13">
        <v>2169</v>
      </c>
      <c r="H35" s="13">
        <v>-39179333.32</v>
      </c>
    </row>
    <row r="36" spans="1:8" ht="15" x14ac:dyDescent="0.25">
      <c r="A36" t="s">
        <v>78</v>
      </c>
      <c r="B36" t="s">
        <v>50</v>
      </c>
      <c r="C36" t="s">
        <v>41</v>
      </c>
      <c r="D36" t="s">
        <v>15</v>
      </c>
      <c r="E36" s="13">
        <v>255816701.75999999</v>
      </c>
      <c r="F36" s="13">
        <v>289</v>
      </c>
      <c r="G36" s="13">
        <v>740</v>
      </c>
      <c r="H36" s="13">
        <v>-19432827.600000001</v>
      </c>
    </row>
    <row r="37" spans="1:8" ht="15" x14ac:dyDescent="0.25">
      <c r="A37" t="s">
        <v>79</v>
      </c>
      <c r="B37" t="s">
        <v>50</v>
      </c>
      <c r="C37" t="s">
        <v>41</v>
      </c>
      <c r="D37" t="s">
        <v>17</v>
      </c>
      <c r="E37" s="13">
        <v>163411558.21000001</v>
      </c>
      <c r="F37" s="13">
        <v>145</v>
      </c>
      <c r="G37" s="13">
        <v>352</v>
      </c>
      <c r="H37" s="13">
        <v>-6539000</v>
      </c>
    </row>
    <row r="38" spans="1:8" ht="15" x14ac:dyDescent="0.25">
      <c r="A38" t="s">
        <v>80</v>
      </c>
      <c r="B38" t="s">
        <v>50</v>
      </c>
      <c r="C38" t="s">
        <v>41</v>
      </c>
      <c r="D38" t="s">
        <v>19</v>
      </c>
      <c r="E38" s="13">
        <v>863499751.28999996</v>
      </c>
      <c r="F38" s="13">
        <v>960</v>
      </c>
      <c r="G38" s="13">
        <v>5213</v>
      </c>
      <c r="H38" s="13">
        <v>-225942079.53</v>
      </c>
    </row>
    <row r="39" spans="1:8" ht="15" x14ac:dyDescent="0.25">
      <c r="A39" t="s">
        <v>319</v>
      </c>
      <c r="B39" t="s">
        <v>50</v>
      </c>
      <c r="C39" t="s">
        <v>286</v>
      </c>
      <c r="D39" t="s">
        <v>21</v>
      </c>
      <c r="E39" s="13">
        <v>1590265965.5999999</v>
      </c>
      <c r="F39" s="13">
        <v>2744</v>
      </c>
      <c r="G39" s="13">
        <v>3308</v>
      </c>
      <c r="H39" s="13">
        <v>735833.39</v>
      </c>
    </row>
    <row r="40" spans="1:8" ht="15" x14ac:dyDescent="0.25">
      <c r="A40" t="s">
        <v>312</v>
      </c>
      <c r="B40" t="s">
        <v>50</v>
      </c>
      <c r="C40" t="s">
        <v>286</v>
      </c>
      <c r="D40" t="s">
        <v>7</v>
      </c>
      <c r="E40" s="13">
        <v>27417298032.130001</v>
      </c>
      <c r="F40" s="13">
        <v>111312</v>
      </c>
      <c r="G40" s="13">
        <v>135024</v>
      </c>
      <c r="H40" s="13">
        <v>-422266666.64999998</v>
      </c>
    </row>
    <row r="41" spans="1:8" ht="15" x14ac:dyDescent="0.25">
      <c r="A41" t="s">
        <v>313</v>
      </c>
      <c r="B41" t="s">
        <v>50</v>
      </c>
      <c r="C41" t="s">
        <v>286</v>
      </c>
      <c r="D41" t="s">
        <v>9</v>
      </c>
      <c r="E41" s="13">
        <v>1680184809.76</v>
      </c>
      <c r="F41" s="13">
        <v>4496</v>
      </c>
      <c r="G41" s="13">
        <v>7671</v>
      </c>
      <c r="H41" s="13">
        <v>-46026999.939999998</v>
      </c>
    </row>
    <row r="42" spans="1:8" ht="15" x14ac:dyDescent="0.25">
      <c r="A42" t="s">
        <v>314</v>
      </c>
      <c r="B42" t="s">
        <v>50</v>
      </c>
      <c r="C42" t="s">
        <v>286</v>
      </c>
      <c r="D42" t="s">
        <v>11</v>
      </c>
      <c r="E42" s="13">
        <v>1383030817.0599999</v>
      </c>
      <c r="F42" s="13">
        <v>2501</v>
      </c>
      <c r="G42" s="13">
        <v>4732</v>
      </c>
      <c r="H42" s="13">
        <v>-37765500</v>
      </c>
    </row>
    <row r="43" spans="1:8" ht="15" x14ac:dyDescent="0.25">
      <c r="A43" t="s">
        <v>315</v>
      </c>
      <c r="B43" t="s">
        <v>50</v>
      </c>
      <c r="C43" t="s">
        <v>286</v>
      </c>
      <c r="D43" t="s">
        <v>13</v>
      </c>
      <c r="E43" s="13">
        <v>1171881081.1500001</v>
      </c>
      <c r="F43" s="13">
        <v>1557</v>
      </c>
      <c r="G43" s="13">
        <v>3764</v>
      </c>
      <c r="H43" s="13">
        <v>-25615999.989999998</v>
      </c>
    </row>
    <row r="44" spans="1:8" ht="15" x14ac:dyDescent="0.25">
      <c r="A44" t="s">
        <v>316</v>
      </c>
      <c r="B44" t="s">
        <v>50</v>
      </c>
      <c r="C44" t="s">
        <v>286</v>
      </c>
      <c r="D44" t="s">
        <v>15</v>
      </c>
      <c r="E44" s="13">
        <v>919171139.07000005</v>
      </c>
      <c r="F44" s="13">
        <v>747</v>
      </c>
      <c r="G44" s="13">
        <v>1518</v>
      </c>
      <c r="H44" s="13">
        <v>-16076000</v>
      </c>
    </row>
    <row r="45" spans="1:8" ht="15" x14ac:dyDescent="0.25">
      <c r="A45" t="s">
        <v>317</v>
      </c>
      <c r="B45" t="s">
        <v>50</v>
      </c>
      <c r="C45" t="s">
        <v>286</v>
      </c>
      <c r="D45" t="s">
        <v>17</v>
      </c>
      <c r="E45" s="13">
        <v>1742300601.76</v>
      </c>
      <c r="F45" s="13">
        <v>592</v>
      </c>
      <c r="G45" s="13">
        <v>869</v>
      </c>
      <c r="H45" s="13">
        <v>-6182000</v>
      </c>
    </row>
    <row r="46" spans="1:8" ht="15" x14ac:dyDescent="0.25">
      <c r="A46" t="s">
        <v>318</v>
      </c>
      <c r="B46" t="s">
        <v>50</v>
      </c>
      <c r="C46" t="s">
        <v>286</v>
      </c>
      <c r="D46" t="s">
        <v>19</v>
      </c>
      <c r="E46" s="13">
        <v>5823008717.5</v>
      </c>
      <c r="F46" s="13">
        <v>2164</v>
      </c>
      <c r="G46" s="13">
        <v>4273</v>
      </c>
      <c r="H46" s="13">
        <v>-47784000</v>
      </c>
    </row>
    <row r="47" spans="1:8" ht="15" x14ac:dyDescent="0.25">
      <c r="A47" t="s">
        <v>90</v>
      </c>
      <c r="B47" t="s">
        <v>83</v>
      </c>
      <c r="C47" t="s">
        <v>6</v>
      </c>
      <c r="D47" t="s">
        <v>21</v>
      </c>
      <c r="E47" s="13">
        <v>83051968.799999997</v>
      </c>
      <c r="F47" s="13">
        <v>1130</v>
      </c>
      <c r="G47" s="13">
        <v>1159</v>
      </c>
      <c r="H47" s="13">
        <v>-28767709.5</v>
      </c>
    </row>
    <row r="48" spans="1:8" ht="15" x14ac:dyDescent="0.25">
      <c r="A48" t="s">
        <v>82</v>
      </c>
      <c r="B48" t="s">
        <v>83</v>
      </c>
      <c r="C48" t="s">
        <v>6</v>
      </c>
      <c r="D48" t="s">
        <v>7</v>
      </c>
      <c r="E48" s="13">
        <v>7731996070.2299995</v>
      </c>
      <c r="F48" s="13">
        <v>38255</v>
      </c>
      <c r="G48" s="13">
        <v>45192</v>
      </c>
      <c r="H48" s="13">
        <v>134413169.10820001</v>
      </c>
    </row>
    <row r="49" spans="1:8" ht="15" x14ac:dyDescent="0.25">
      <c r="A49" t="s">
        <v>84</v>
      </c>
      <c r="B49" t="s">
        <v>83</v>
      </c>
      <c r="C49" t="s">
        <v>6</v>
      </c>
      <c r="D49" t="s">
        <v>9</v>
      </c>
      <c r="E49" s="13">
        <v>426001380.60000002</v>
      </c>
      <c r="F49" s="13">
        <v>1159</v>
      </c>
      <c r="G49" s="13">
        <v>1986</v>
      </c>
      <c r="H49" s="13">
        <v>9552079</v>
      </c>
    </row>
    <row r="50" spans="1:8" ht="15" x14ac:dyDescent="0.25">
      <c r="A50" t="s">
        <v>85</v>
      </c>
      <c r="B50" t="s">
        <v>83</v>
      </c>
      <c r="C50" t="s">
        <v>6</v>
      </c>
      <c r="D50" t="s">
        <v>11</v>
      </c>
      <c r="E50" s="13">
        <v>409794484.30000001</v>
      </c>
      <c r="F50" s="13">
        <v>454</v>
      </c>
      <c r="G50" s="13">
        <v>920</v>
      </c>
      <c r="H50" s="13">
        <v>3909893.9712</v>
      </c>
    </row>
    <row r="51" spans="1:8" ht="15" x14ac:dyDescent="0.25">
      <c r="A51" t="s">
        <v>86</v>
      </c>
      <c r="B51" t="s">
        <v>83</v>
      </c>
      <c r="C51" t="s">
        <v>6</v>
      </c>
      <c r="D51" t="s">
        <v>13</v>
      </c>
      <c r="E51" s="13">
        <v>187450942.72999999</v>
      </c>
      <c r="F51" s="13">
        <v>243</v>
      </c>
      <c r="G51" s="13">
        <v>599</v>
      </c>
      <c r="H51" s="13">
        <v>2545992.5</v>
      </c>
    </row>
    <row r="52" spans="1:8" ht="15" x14ac:dyDescent="0.25">
      <c r="A52" t="s">
        <v>87</v>
      </c>
      <c r="B52" t="s">
        <v>83</v>
      </c>
      <c r="C52" t="s">
        <v>6</v>
      </c>
      <c r="D52" t="s">
        <v>15</v>
      </c>
      <c r="E52" s="13">
        <v>89209287.310000002</v>
      </c>
      <c r="F52" s="13">
        <v>97</v>
      </c>
      <c r="G52" s="13">
        <v>192</v>
      </c>
      <c r="H52" s="13">
        <v>551094.75</v>
      </c>
    </row>
    <row r="53" spans="1:8" ht="15" x14ac:dyDescent="0.25">
      <c r="A53" t="s">
        <v>88</v>
      </c>
      <c r="B53" t="s">
        <v>83</v>
      </c>
      <c r="C53" t="s">
        <v>6</v>
      </c>
      <c r="D53" t="s">
        <v>17</v>
      </c>
      <c r="E53" s="13">
        <v>87024619.859999999</v>
      </c>
      <c r="F53" s="13">
        <v>57</v>
      </c>
      <c r="G53" s="13">
        <v>98</v>
      </c>
      <c r="H53" s="13">
        <v>203579</v>
      </c>
    </row>
    <row r="54" spans="1:8" ht="15" x14ac:dyDescent="0.25">
      <c r="A54" t="s">
        <v>89</v>
      </c>
      <c r="B54" t="s">
        <v>83</v>
      </c>
      <c r="C54" t="s">
        <v>6</v>
      </c>
      <c r="D54" t="s">
        <v>19</v>
      </c>
      <c r="E54" s="13">
        <v>322518125.89999998</v>
      </c>
      <c r="F54" s="13">
        <v>179</v>
      </c>
      <c r="G54" s="13">
        <v>394</v>
      </c>
      <c r="H54" s="13">
        <v>-534501.92500000005</v>
      </c>
    </row>
    <row r="55" spans="1:8" ht="15" x14ac:dyDescent="0.25">
      <c r="A55" t="s">
        <v>98</v>
      </c>
      <c r="B55" t="s">
        <v>83</v>
      </c>
      <c r="C55" t="s">
        <v>23</v>
      </c>
      <c r="D55" t="s">
        <v>21</v>
      </c>
      <c r="E55" s="13">
        <v>23789442.960000001</v>
      </c>
      <c r="F55" s="13">
        <v>375</v>
      </c>
      <c r="G55" s="13">
        <v>384</v>
      </c>
      <c r="H55" s="13">
        <v>-7291168.5</v>
      </c>
    </row>
    <row r="56" spans="1:8" ht="15" x14ac:dyDescent="0.25">
      <c r="A56" t="s">
        <v>91</v>
      </c>
      <c r="B56" t="s">
        <v>83</v>
      </c>
      <c r="C56" t="s">
        <v>23</v>
      </c>
      <c r="D56" t="s">
        <v>7</v>
      </c>
      <c r="E56" s="13">
        <v>2159225810.02</v>
      </c>
      <c r="F56" s="13">
        <v>12522</v>
      </c>
      <c r="G56" s="13">
        <v>14668</v>
      </c>
      <c r="H56" s="13">
        <v>41688119.962499999</v>
      </c>
    </row>
    <row r="57" spans="1:8" ht="15" x14ac:dyDescent="0.25">
      <c r="A57" t="s">
        <v>92</v>
      </c>
      <c r="B57" t="s">
        <v>83</v>
      </c>
      <c r="C57" t="s">
        <v>23</v>
      </c>
      <c r="D57" t="s">
        <v>9</v>
      </c>
      <c r="E57" s="13">
        <v>150985996.44999999</v>
      </c>
      <c r="F57" s="13">
        <v>350</v>
      </c>
      <c r="G57" s="13">
        <v>570</v>
      </c>
      <c r="H57" s="13">
        <v>1969394.875</v>
      </c>
    </row>
    <row r="58" spans="1:8" ht="15" x14ac:dyDescent="0.25">
      <c r="A58" t="s">
        <v>93</v>
      </c>
      <c r="B58" t="s">
        <v>83</v>
      </c>
      <c r="C58" t="s">
        <v>23</v>
      </c>
      <c r="D58" t="s">
        <v>11</v>
      </c>
      <c r="E58" s="13">
        <v>98822449.340000004</v>
      </c>
      <c r="F58" s="13">
        <v>140</v>
      </c>
      <c r="G58" s="13">
        <v>270</v>
      </c>
      <c r="H58" s="13">
        <v>992637.25</v>
      </c>
    </row>
    <row r="59" spans="1:8" ht="15" x14ac:dyDescent="0.25">
      <c r="A59" t="s">
        <v>94</v>
      </c>
      <c r="B59" t="s">
        <v>83</v>
      </c>
      <c r="C59" t="s">
        <v>23</v>
      </c>
      <c r="D59" t="s">
        <v>13</v>
      </c>
      <c r="E59" s="13">
        <v>64103183.159999996</v>
      </c>
      <c r="F59" s="13">
        <v>89</v>
      </c>
      <c r="G59" s="13">
        <v>238</v>
      </c>
      <c r="H59" s="13">
        <v>271212</v>
      </c>
    </row>
    <row r="60" spans="1:8" ht="15" x14ac:dyDescent="0.25">
      <c r="A60" t="s">
        <v>95</v>
      </c>
      <c r="B60" t="s">
        <v>83</v>
      </c>
      <c r="C60" t="s">
        <v>23</v>
      </c>
      <c r="D60" t="s">
        <v>15</v>
      </c>
      <c r="E60" s="13">
        <v>17124674.899999999</v>
      </c>
      <c r="F60" s="13">
        <v>34</v>
      </c>
      <c r="G60" s="13">
        <v>69</v>
      </c>
      <c r="H60" s="13">
        <v>210681</v>
      </c>
    </row>
    <row r="61" spans="1:8" ht="15" x14ac:dyDescent="0.25">
      <c r="A61" t="s">
        <v>96</v>
      </c>
      <c r="B61" t="s">
        <v>83</v>
      </c>
      <c r="C61" t="s">
        <v>23</v>
      </c>
      <c r="D61" t="s">
        <v>17</v>
      </c>
      <c r="E61" s="13">
        <v>24422728.260000002</v>
      </c>
      <c r="F61" s="13">
        <v>20</v>
      </c>
      <c r="G61" s="13">
        <v>42</v>
      </c>
      <c r="H61" s="13">
        <v>286342</v>
      </c>
    </row>
    <row r="62" spans="1:8" ht="15" x14ac:dyDescent="0.25">
      <c r="A62" t="s">
        <v>97</v>
      </c>
      <c r="B62" t="s">
        <v>83</v>
      </c>
      <c r="C62" t="s">
        <v>23</v>
      </c>
      <c r="D62" t="s">
        <v>19</v>
      </c>
      <c r="E62" s="13">
        <v>70954920.689999998</v>
      </c>
      <c r="F62" s="13">
        <v>57</v>
      </c>
      <c r="G62" s="13">
        <v>131</v>
      </c>
      <c r="H62" s="13">
        <v>-21515</v>
      </c>
    </row>
    <row r="63" spans="1:8" ht="15" x14ac:dyDescent="0.25">
      <c r="A63" t="s">
        <v>106</v>
      </c>
      <c r="B63" t="s">
        <v>83</v>
      </c>
      <c r="C63" t="s">
        <v>32</v>
      </c>
      <c r="D63" t="s">
        <v>21</v>
      </c>
      <c r="E63" s="13">
        <v>125184445.95999999</v>
      </c>
      <c r="F63" s="13">
        <v>2381</v>
      </c>
      <c r="G63" s="13">
        <v>2438</v>
      </c>
      <c r="H63" s="13">
        <v>-36385033.5</v>
      </c>
    </row>
    <row r="64" spans="1:8" ht="15" x14ac:dyDescent="0.25">
      <c r="A64" t="s">
        <v>99</v>
      </c>
      <c r="B64" t="s">
        <v>83</v>
      </c>
      <c r="C64" t="s">
        <v>32</v>
      </c>
      <c r="D64" t="s">
        <v>7</v>
      </c>
      <c r="E64" s="13">
        <v>9621619301.7999992</v>
      </c>
      <c r="F64" s="13">
        <v>76316</v>
      </c>
      <c r="G64" s="13">
        <v>91068</v>
      </c>
      <c r="H64" s="13">
        <v>-33234284</v>
      </c>
    </row>
    <row r="65" spans="1:8" ht="15" x14ac:dyDescent="0.25">
      <c r="A65" t="s">
        <v>100</v>
      </c>
      <c r="B65" t="s">
        <v>83</v>
      </c>
      <c r="C65" t="s">
        <v>32</v>
      </c>
      <c r="D65" t="s">
        <v>9</v>
      </c>
      <c r="E65" s="13">
        <v>553380286.59000003</v>
      </c>
      <c r="F65" s="13">
        <v>2320</v>
      </c>
      <c r="G65" s="13">
        <v>4379</v>
      </c>
      <c r="H65" s="13">
        <v>-5039200.5</v>
      </c>
    </row>
    <row r="66" spans="1:8" ht="15" x14ac:dyDescent="0.25">
      <c r="A66" t="s">
        <v>101</v>
      </c>
      <c r="B66" t="s">
        <v>83</v>
      </c>
      <c r="C66" t="s">
        <v>32</v>
      </c>
      <c r="D66" t="s">
        <v>11</v>
      </c>
      <c r="E66" s="13">
        <v>331373706.36000001</v>
      </c>
      <c r="F66" s="13">
        <v>781</v>
      </c>
      <c r="G66" s="13">
        <v>1750</v>
      </c>
      <c r="H66" s="13">
        <v>-4201737.9000000004</v>
      </c>
    </row>
    <row r="67" spans="1:8" ht="15" x14ac:dyDescent="0.25">
      <c r="A67" t="s">
        <v>102</v>
      </c>
      <c r="B67" t="s">
        <v>83</v>
      </c>
      <c r="C67" t="s">
        <v>32</v>
      </c>
      <c r="D67" t="s">
        <v>13</v>
      </c>
      <c r="E67" s="13">
        <v>248410204.06999999</v>
      </c>
      <c r="F67" s="13">
        <v>531</v>
      </c>
      <c r="G67" s="13">
        <v>1238</v>
      </c>
      <c r="H67" s="13">
        <v>-5436415.4375</v>
      </c>
    </row>
    <row r="68" spans="1:8" ht="15" x14ac:dyDescent="0.25">
      <c r="A68" t="s">
        <v>103</v>
      </c>
      <c r="B68" t="s">
        <v>83</v>
      </c>
      <c r="C68" t="s">
        <v>32</v>
      </c>
      <c r="D68" t="s">
        <v>15</v>
      </c>
      <c r="E68" s="13">
        <v>102989282.09999999</v>
      </c>
      <c r="F68" s="13">
        <v>207</v>
      </c>
      <c r="G68" s="13">
        <v>478</v>
      </c>
      <c r="H68" s="13">
        <v>-1615956.7749999999</v>
      </c>
    </row>
    <row r="69" spans="1:8" ht="15" x14ac:dyDescent="0.25">
      <c r="A69" t="s">
        <v>104</v>
      </c>
      <c r="B69" t="s">
        <v>83</v>
      </c>
      <c r="C69" t="s">
        <v>32</v>
      </c>
      <c r="D69" t="s">
        <v>17</v>
      </c>
      <c r="E69" s="13">
        <v>78726415.25</v>
      </c>
      <c r="F69" s="13">
        <v>109</v>
      </c>
      <c r="G69" s="13">
        <v>249</v>
      </c>
      <c r="H69" s="13">
        <v>-1538195</v>
      </c>
    </row>
    <row r="70" spans="1:8" ht="15" x14ac:dyDescent="0.25">
      <c r="A70" t="s">
        <v>105</v>
      </c>
      <c r="B70" t="s">
        <v>83</v>
      </c>
      <c r="C70" t="s">
        <v>32</v>
      </c>
      <c r="D70" t="s">
        <v>19</v>
      </c>
      <c r="E70" s="13">
        <v>349485382.5</v>
      </c>
      <c r="F70" s="13">
        <v>292</v>
      </c>
      <c r="G70" s="13">
        <v>609</v>
      </c>
      <c r="H70" s="13">
        <v>-12093605</v>
      </c>
    </row>
    <row r="71" spans="1:8" ht="15" x14ac:dyDescent="0.25">
      <c r="A71" t="s">
        <v>114</v>
      </c>
      <c r="B71" t="s">
        <v>83</v>
      </c>
      <c r="C71" t="s">
        <v>41</v>
      </c>
      <c r="D71" t="s">
        <v>21</v>
      </c>
      <c r="E71" s="13">
        <v>355496448.27999997</v>
      </c>
      <c r="F71" s="13">
        <v>7810</v>
      </c>
      <c r="G71" s="13">
        <v>8219</v>
      </c>
      <c r="H71" s="13">
        <v>-78696704.700000003</v>
      </c>
    </row>
    <row r="72" spans="1:8" ht="15" x14ac:dyDescent="0.25">
      <c r="A72" t="s">
        <v>107</v>
      </c>
      <c r="B72" t="s">
        <v>83</v>
      </c>
      <c r="C72" t="s">
        <v>41</v>
      </c>
      <c r="D72" t="s">
        <v>7</v>
      </c>
      <c r="E72" s="13">
        <v>33574618429.599998</v>
      </c>
      <c r="F72" s="13">
        <v>307138</v>
      </c>
      <c r="G72" s="13">
        <v>405525</v>
      </c>
      <c r="H72" s="13">
        <v>-4634883886.3500004</v>
      </c>
    </row>
    <row r="73" spans="1:8" ht="15" x14ac:dyDescent="0.25">
      <c r="A73" t="s">
        <v>108</v>
      </c>
      <c r="B73" t="s">
        <v>83</v>
      </c>
      <c r="C73" t="s">
        <v>41</v>
      </c>
      <c r="D73" t="s">
        <v>9</v>
      </c>
      <c r="E73" s="13">
        <v>2124866775.1600001</v>
      </c>
      <c r="F73" s="13">
        <v>12456</v>
      </c>
      <c r="G73" s="13">
        <v>26086</v>
      </c>
      <c r="H73" s="13">
        <v>-364098232.18000001</v>
      </c>
    </row>
    <row r="74" spans="1:8" ht="15" x14ac:dyDescent="0.25">
      <c r="A74" t="s">
        <v>109</v>
      </c>
      <c r="B74" t="s">
        <v>83</v>
      </c>
      <c r="C74" t="s">
        <v>41</v>
      </c>
      <c r="D74" t="s">
        <v>11</v>
      </c>
      <c r="E74" s="13">
        <v>1182665433.1500001</v>
      </c>
      <c r="F74" s="13">
        <v>4222</v>
      </c>
      <c r="G74" s="13">
        <v>11979</v>
      </c>
      <c r="H74" s="13">
        <v>-173047007.99250001</v>
      </c>
    </row>
    <row r="75" spans="1:8" ht="15" x14ac:dyDescent="0.25">
      <c r="A75" t="s">
        <v>110</v>
      </c>
      <c r="B75" t="s">
        <v>83</v>
      </c>
      <c r="C75" t="s">
        <v>41</v>
      </c>
      <c r="D75" t="s">
        <v>13</v>
      </c>
      <c r="E75" s="13">
        <v>747634720.41999996</v>
      </c>
      <c r="F75" s="13">
        <v>2901</v>
      </c>
      <c r="G75" s="13">
        <v>10073</v>
      </c>
      <c r="H75" s="13">
        <v>-134198389.995</v>
      </c>
    </row>
    <row r="76" spans="1:8" ht="15" x14ac:dyDescent="0.25">
      <c r="A76" t="s">
        <v>111</v>
      </c>
      <c r="B76" t="s">
        <v>83</v>
      </c>
      <c r="C76" t="s">
        <v>41</v>
      </c>
      <c r="D76" t="s">
        <v>15</v>
      </c>
      <c r="E76" s="13">
        <v>391709801.58999997</v>
      </c>
      <c r="F76" s="13">
        <v>1105</v>
      </c>
      <c r="G76" s="13">
        <v>3312</v>
      </c>
      <c r="H76" s="13">
        <v>-49679800.93</v>
      </c>
    </row>
    <row r="77" spans="1:8" ht="15" x14ac:dyDescent="0.25">
      <c r="A77" t="s">
        <v>112</v>
      </c>
      <c r="B77" t="s">
        <v>83</v>
      </c>
      <c r="C77" t="s">
        <v>41</v>
      </c>
      <c r="D77" t="s">
        <v>17</v>
      </c>
      <c r="E77" s="13">
        <v>179624395.66999999</v>
      </c>
      <c r="F77" s="13">
        <v>503</v>
      </c>
      <c r="G77" s="13">
        <v>1934</v>
      </c>
      <c r="H77" s="13">
        <v>-30366403.219999999</v>
      </c>
    </row>
    <row r="78" spans="1:8" ht="15" x14ac:dyDescent="0.25">
      <c r="A78" t="s">
        <v>113</v>
      </c>
      <c r="B78" t="s">
        <v>83</v>
      </c>
      <c r="C78" t="s">
        <v>41</v>
      </c>
      <c r="D78" t="s">
        <v>19</v>
      </c>
      <c r="E78" s="13">
        <v>936967992.08000004</v>
      </c>
      <c r="F78" s="13">
        <v>992</v>
      </c>
      <c r="G78" s="13">
        <v>4542</v>
      </c>
      <c r="H78" s="13">
        <v>-44648392.056299999</v>
      </c>
    </row>
    <row r="79" spans="1:8" ht="15" x14ac:dyDescent="0.25">
      <c r="A79" t="s">
        <v>327</v>
      </c>
      <c r="B79" t="s">
        <v>83</v>
      </c>
      <c r="C79" t="s">
        <v>286</v>
      </c>
      <c r="D79" t="s">
        <v>21</v>
      </c>
      <c r="E79" s="13">
        <v>801276878.27999997</v>
      </c>
      <c r="F79" s="13">
        <v>15121</v>
      </c>
      <c r="G79" s="13">
        <v>15788</v>
      </c>
      <c r="H79" s="13">
        <v>-53069390.979999997</v>
      </c>
    </row>
    <row r="80" spans="1:8" ht="15" x14ac:dyDescent="0.25">
      <c r="A80" t="s">
        <v>320</v>
      </c>
      <c r="B80" t="s">
        <v>83</v>
      </c>
      <c r="C80" t="s">
        <v>286</v>
      </c>
      <c r="D80" t="s">
        <v>7</v>
      </c>
      <c r="E80" s="13">
        <v>59886689768.25</v>
      </c>
      <c r="F80" s="13">
        <v>530128</v>
      </c>
      <c r="G80" s="13">
        <v>668434</v>
      </c>
      <c r="H80" s="13">
        <v>-3129579199.8775001</v>
      </c>
    </row>
    <row r="81" spans="1:8" ht="15" x14ac:dyDescent="0.25">
      <c r="A81" t="s">
        <v>321</v>
      </c>
      <c r="B81" t="s">
        <v>83</v>
      </c>
      <c r="C81" t="s">
        <v>286</v>
      </c>
      <c r="D81" t="s">
        <v>9</v>
      </c>
      <c r="E81" s="13">
        <v>3936802708.2199998</v>
      </c>
      <c r="F81" s="13">
        <v>20249</v>
      </c>
      <c r="G81" s="13">
        <v>38433</v>
      </c>
      <c r="H81" s="13">
        <v>-264088603.0925</v>
      </c>
    </row>
    <row r="82" spans="1:8" ht="15" x14ac:dyDescent="0.25">
      <c r="A82" t="s">
        <v>322</v>
      </c>
      <c r="B82" t="s">
        <v>83</v>
      </c>
      <c r="C82" t="s">
        <v>286</v>
      </c>
      <c r="D82" t="s">
        <v>11</v>
      </c>
      <c r="E82" s="13">
        <v>2596619158.2399998</v>
      </c>
      <c r="F82" s="13">
        <v>7196</v>
      </c>
      <c r="G82" s="13">
        <v>16801</v>
      </c>
      <c r="H82" s="13">
        <v>-121830703.0325</v>
      </c>
    </row>
    <row r="83" spans="1:8" ht="15" x14ac:dyDescent="0.25">
      <c r="A83" t="s">
        <v>323</v>
      </c>
      <c r="B83" t="s">
        <v>83</v>
      </c>
      <c r="C83" t="s">
        <v>286</v>
      </c>
      <c r="D83" t="s">
        <v>13</v>
      </c>
      <c r="E83" s="13">
        <v>1565342684.8699999</v>
      </c>
      <c r="F83" s="13">
        <v>4961</v>
      </c>
      <c r="G83" s="13">
        <v>12939</v>
      </c>
      <c r="H83" s="13">
        <v>-85024983.8125</v>
      </c>
    </row>
    <row r="84" spans="1:8" ht="15" x14ac:dyDescent="0.25">
      <c r="A84" t="s">
        <v>324</v>
      </c>
      <c r="B84" t="s">
        <v>83</v>
      </c>
      <c r="C84" t="s">
        <v>286</v>
      </c>
      <c r="D84" t="s">
        <v>15</v>
      </c>
      <c r="E84" s="13">
        <v>676189266.62</v>
      </c>
      <c r="F84" s="13">
        <v>1980</v>
      </c>
      <c r="G84" s="13">
        <v>4347</v>
      </c>
      <c r="H84" s="13">
        <v>-31674907.309999999</v>
      </c>
    </row>
    <row r="85" spans="1:8" ht="15" x14ac:dyDescent="0.25">
      <c r="A85" t="s">
        <v>325</v>
      </c>
      <c r="B85" t="s">
        <v>83</v>
      </c>
      <c r="C85" t="s">
        <v>286</v>
      </c>
      <c r="D85" t="s">
        <v>17</v>
      </c>
      <c r="E85" s="13">
        <v>505526402.24000001</v>
      </c>
      <c r="F85" s="13">
        <v>1121</v>
      </c>
      <c r="G85" s="13">
        <v>2703</v>
      </c>
      <c r="H85" s="13">
        <v>-18442786.800000001</v>
      </c>
    </row>
    <row r="86" spans="1:8" ht="15" x14ac:dyDescent="0.25">
      <c r="A86" t="s">
        <v>326</v>
      </c>
      <c r="B86" t="s">
        <v>83</v>
      </c>
      <c r="C86" t="s">
        <v>286</v>
      </c>
      <c r="D86" t="s">
        <v>19</v>
      </c>
      <c r="E86" s="13">
        <v>2169766798.77</v>
      </c>
      <c r="F86" s="13">
        <v>2099</v>
      </c>
      <c r="G86" s="13">
        <v>6028</v>
      </c>
      <c r="H86" s="13">
        <v>-21065849.347600002</v>
      </c>
    </row>
    <row r="87" spans="1:8" ht="15" x14ac:dyDescent="0.25">
      <c r="A87" t="s">
        <v>123</v>
      </c>
      <c r="B87" t="s">
        <v>116</v>
      </c>
      <c r="C87" t="s">
        <v>6</v>
      </c>
      <c r="D87" t="s">
        <v>21</v>
      </c>
      <c r="E87" s="13">
        <v>771650</v>
      </c>
      <c r="F87" s="13">
        <v>2</v>
      </c>
      <c r="G87" s="13">
        <v>2</v>
      </c>
      <c r="H87" s="13">
        <v>-81750</v>
      </c>
    </row>
    <row r="88" spans="1:8" ht="15" x14ac:dyDescent="0.25">
      <c r="A88" t="s">
        <v>115</v>
      </c>
      <c r="B88" t="s">
        <v>116</v>
      </c>
      <c r="C88" t="s">
        <v>6</v>
      </c>
      <c r="D88" t="s">
        <v>7</v>
      </c>
      <c r="E88" s="13">
        <v>1330075975.22</v>
      </c>
      <c r="F88" s="13">
        <v>2207</v>
      </c>
      <c r="G88" s="13">
        <v>2364</v>
      </c>
      <c r="H88" s="13">
        <v>-8689994.2572000008</v>
      </c>
    </row>
    <row r="89" spans="1:8" ht="15" x14ac:dyDescent="0.25">
      <c r="A89" t="s">
        <v>117</v>
      </c>
      <c r="B89" t="s">
        <v>116</v>
      </c>
      <c r="C89" t="s">
        <v>6</v>
      </c>
      <c r="D89" t="s">
        <v>9</v>
      </c>
      <c r="E89" s="13">
        <v>87817989</v>
      </c>
      <c r="F89" s="13">
        <v>103</v>
      </c>
      <c r="G89" s="13">
        <v>142</v>
      </c>
      <c r="H89" s="13">
        <v>-659457.07949999999</v>
      </c>
    </row>
    <row r="90" spans="1:8" ht="15" x14ac:dyDescent="0.25">
      <c r="A90" t="s">
        <v>118</v>
      </c>
      <c r="B90" t="s">
        <v>116</v>
      </c>
      <c r="C90" t="s">
        <v>6</v>
      </c>
      <c r="D90" t="s">
        <v>11</v>
      </c>
      <c r="E90" s="13">
        <v>23648300</v>
      </c>
      <c r="F90" s="13">
        <v>60</v>
      </c>
      <c r="G90" s="13">
        <v>108</v>
      </c>
      <c r="H90" s="13">
        <v>-414557.61320000002</v>
      </c>
    </row>
    <row r="91" spans="1:8" ht="15" x14ac:dyDescent="0.25">
      <c r="A91" t="s">
        <v>119</v>
      </c>
      <c r="B91" t="s">
        <v>116</v>
      </c>
      <c r="C91" t="s">
        <v>6</v>
      </c>
      <c r="D91" t="s">
        <v>13</v>
      </c>
      <c r="E91" s="13">
        <v>17226170</v>
      </c>
      <c r="F91" s="13">
        <v>41</v>
      </c>
      <c r="G91" s="13">
        <v>49</v>
      </c>
      <c r="H91" s="13">
        <v>-384192.04519999999</v>
      </c>
    </row>
    <row r="92" spans="1:8" ht="15" x14ac:dyDescent="0.25">
      <c r="A92" t="s">
        <v>120</v>
      </c>
      <c r="B92" t="s">
        <v>116</v>
      </c>
      <c r="C92" t="s">
        <v>6</v>
      </c>
      <c r="D92" t="s">
        <v>15</v>
      </c>
      <c r="E92" s="13">
        <v>27414514</v>
      </c>
      <c r="F92" s="13">
        <v>10</v>
      </c>
      <c r="G92" s="13">
        <v>34</v>
      </c>
      <c r="H92" s="13">
        <v>-111234.4213</v>
      </c>
    </row>
    <row r="93" spans="1:8" ht="15" x14ac:dyDescent="0.25">
      <c r="A93" t="s">
        <v>121</v>
      </c>
      <c r="B93" t="s">
        <v>116</v>
      </c>
      <c r="C93" t="s">
        <v>6</v>
      </c>
      <c r="D93" t="s">
        <v>17</v>
      </c>
      <c r="E93" s="13">
        <v>11141000</v>
      </c>
      <c r="F93" s="13">
        <v>5</v>
      </c>
      <c r="G93" s="13">
        <v>11</v>
      </c>
      <c r="H93" s="13">
        <v>-103661.1363</v>
      </c>
    </row>
    <row r="94" spans="1:8" ht="15" x14ac:dyDescent="0.25">
      <c r="A94" t="s">
        <v>122</v>
      </c>
      <c r="B94" t="s">
        <v>116</v>
      </c>
      <c r="C94" t="s">
        <v>6</v>
      </c>
      <c r="D94" t="s">
        <v>19</v>
      </c>
      <c r="E94" s="13">
        <v>13794100</v>
      </c>
      <c r="F94" s="13">
        <v>24</v>
      </c>
      <c r="G94" s="13">
        <v>52</v>
      </c>
      <c r="H94" s="13">
        <v>-576582.49979999999</v>
      </c>
    </row>
    <row r="95" spans="1:8" ht="15" x14ac:dyDescent="0.25">
      <c r="A95" t="s">
        <v>124</v>
      </c>
      <c r="B95" t="s">
        <v>116</v>
      </c>
      <c r="C95" t="s">
        <v>23</v>
      </c>
      <c r="D95" t="s">
        <v>7</v>
      </c>
      <c r="E95" s="13">
        <v>702210898.67999995</v>
      </c>
      <c r="F95" s="13">
        <v>970</v>
      </c>
      <c r="G95" s="13">
        <v>1031</v>
      </c>
      <c r="H95" s="13">
        <v>-3547398.1063999999</v>
      </c>
    </row>
    <row r="96" spans="1:8" ht="15" x14ac:dyDescent="0.25">
      <c r="A96" t="s">
        <v>125</v>
      </c>
      <c r="B96" t="s">
        <v>116</v>
      </c>
      <c r="C96" t="s">
        <v>23</v>
      </c>
      <c r="D96" t="s">
        <v>9</v>
      </c>
      <c r="E96" s="13">
        <v>36342220</v>
      </c>
      <c r="F96" s="13">
        <v>31</v>
      </c>
      <c r="G96" s="13">
        <v>54</v>
      </c>
      <c r="H96" s="13">
        <v>-191980.2274</v>
      </c>
    </row>
    <row r="97" spans="1:8" ht="15" x14ac:dyDescent="0.25">
      <c r="A97" t="s">
        <v>126</v>
      </c>
      <c r="B97" t="s">
        <v>116</v>
      </c>
      <c r="C97" t="s">
        <v>23</v>
      </c>
      <c r="D97" t="s">
        <v>11</v>
      </c>
      <c r="E97" s="13">
        <v>11837791</v>
      </c>
      <c r="F97" s="13">
        <v>31</v>
      </c>
      <c r="G97" s="13">
        <v>58</v>
      </c>
      <c r="H97" s="13">
        <v>-165481.5459</v>
      </c>
    </row>
    <row r="98" spans="1:8" ht="15" x14ac:dyDescent="0.25">
      <c r="A98" t="s">
        <v>127</v>
      </c>
      <c r="B98" t="s">
        <v>116</v>
      </c>
      <c r="C98" t="s">
        <v>23</v>
      </c>
      <c r="D98" t="s">
        <v>13</v>
      </c>
      <c r="E98" s="13">
        <v>22361500</v>
      </c>
      <c r="F98" s="13">
        <v>12</v>
      </c>
      <c r="G98" s="13">
        <v>24</v>
      </c>
      <c r="H98" s="13">
        <v>-136079.54550000001</v>
      </c>
    </row>
    <row r="99" spans="1:8" ht="15" x14ac:dyDescent="0.25">
      <c r="A99" t="s">
        <v>128</v>
      </c>
      <c r="B99" t="s">
        <v>116</v>
      </c>
      <c r="C99" t="s">
        <v>23</v>
      </c>
      <c r="D99" t="s">
        <v>15</v>
      </c>
      <c r="E99" s="13">
        <v>3195000</v>
      </c>
      <c r="F99" s="13">
        <v>9</v>
      </c>
      <c r="G99" s="13">
        <v>20</v>
      </c>
      <c r="H99" s="13">
        <v>-56892.0455</v>
      </c>
    </row>
    <row r="100" spans="1:8" ht="15" x14ac:dyDescent="0.25">
      <c r="A100" t="s">
        <v>129</v>
      </c>
      <c r="B100" t="s">
        <v>116</v>
      </c>
      <c r="C100" t="s">
        <v>23</v>
      </c>
      <c r="D100" t="s">
        <v>17</v>
      </c>
      <c r="E100" s="13">
        <v>749000</v>
      </c>
      <c r="F100" s="13">
        <v>1</v>
      </c>
      <c r="G100" s="13">
        <v>1</v>
      </c>
      <c r="H100" s="13">
        <v>-12372.5</v>
      </c>
    </row>
    <row r="101" spans="1:8" ht="15" x14ac:dyDescent="0.25">
      <c r="A101" t="s">
        <v>130</v>
      </c>
      <c r="B101" t="s">
        <v>116</v>
      </c>
      <c r="C101" t="s">
        <v>23</v>
      </c>
      <c r="D101" t="s">
        <v>19</v>
      </c>
      <c r="E101" s="13">
        <v>4484000</v>
      </c>
      <c r="F101" s="13">
        <v>5</v>
      </c>
      <c r="G101" s="13">
        <v>5</v>
      </c>
      <c r="H101" s="13">
        <v>-67054.545400000003</v>
      </c>
    </row>
    <row r="102" spans="1:8" ht="15" x14ac:dyDescent="0.25">
      <c r="A102" t="s">
        <v>139</v>
      </c>
      <c r="B102" t="s">
        <v>116</v>
      </c>
      <c r="C102" t="s">
        <v>32</v>
      </c>
      <c r="D102" t="s">
        <v>21</v>
      </c>
      <c r="E102" s="13">
        <v>589000</v>
      </c>
      <c r="F102" s="13">
        <v>1</v>
      </c>
      <c r="G102" s="13">
        <v>1</v>
      </c>
      <c r="H102" s="13">
        <v>-8972.5</v>
      </c>
    </row>
    <row r="103" spans="1:8" ht="15" x14ac:dyDescent="0.25">
      <c r="A103" t="s">
        <v>132</v>
      </c>
      <c r="B103" t="s">
        <v>116</v>
      </c>
      <c r="C103" t="s">
        <v>32</v>
      </c>
      <c r="D103" t="s">
        <v>7</v>
      </c>
      <c r="E103" s="13">
        <v>1888755100.4200001</v>
      </c>
      <c r="F103" s="13">
        <v>5161</v>
      </c>
      <c r="G103" s="13">
        <v>5570</v>
      </c>
      <c r="H103" s="13">
        <v>-31830136.6688</v>
      </c>
    </row>
    <row r="104" spans="1:8" ht="15" x14ac:dyDescent="0.25">
      <c r="A104" t="s">
        <v>133</v>
      </c>
      <c r="B104" t="s">
        <v>116</v>
      </c>
      <c r="C104" t="s">
        <v>32</v>
      </c>
      <c r="D104" t="s">
        <v>9</v>
      </c>
      <c r="E104" s="13">
        <v>180515627.78</v>
      </c>
      <c r="F104" s="13">
        <v>175</v>
      </c>
      <c r="G104" s="13">
        <v>280</v>
      </c>
      <c r="H104" s="13">
        <v>-1932471.2253</v>
      </c>
    </row>
    <row r="105" spans="1:8" ht="15" x14ac:dyDescent="0.25">
      <c r="A105" t="s">
        <v>134</v>
      </c>
      <c r="B105" t="s">
        <v>116</v>
      </c>
      <c r="C105" t="s">
        <v>32</v>
      </c>
      <c r="D105" t="s">
        <v>11</v>
      </c>
      <c r="E105" s="13">
        <v>72988423</v>
      </c>
      <c r="F105" s="13">
        <v>261</v>
      </c>
      <c r="G105" s="13">
        <v>479</v>
      </c>
      <c r="H105" s="13">
        <v>-3664545.7080999999</v>
      </c>
    </row>
    <row r="106" spans="1:8" ht="15" x14ac:dyDescent="0.25">
      <c r="A106" t="s">
        <v>135</v>
      </c>
      <c r="B106" t="s">
        <v>116</v>
      </c>
      <c r="C106" t="s">
        <v>32</v>
      </c>
      <c r="D106" t="s">
        <v>13</v>
      </c>
      <c r="E106" s="13">
        <v>43732900</v>
      </c>
      <c r="F106" s="13">
        <v>85</v>
      </c>
      <c r="G106" s="13">
        <v>120</v>
      </c>
      <c r="H106" s="13">
        <v>-1450822.2056</v>
      </c>
    </row>
    <row r="107" spans="1:8" ht="15" x14ac:dyDescent="0.25">
      <c r="A107" t="s">
        <v>136</v>
      </c>
      <c r="B107" t="s">
        <v>116</v>
      </c>
      <c r="C107" t="s">
        <v>32</v>
      </c>
      <c r="D107" t="s">
        <v>15</v>
      </c>
      <c r="E107" s="13">
        <v>41929160</v>
      </c>
      <c r="F107" s="13">
        <v>80</v>
      </c>
      <c r="G107" s="13">
        <v>206</v>
      </c>
      <c r="H107" s="13">
        <v>-1800556.7492</v>
      </c>
    </row>
    <row r="108" spans="1:8" ht="15" x14ac:dyDescent="0.25">
      <c r="A108" t="s">
        <v>137</v>
      </c>
      <c r="B108" t="s">
        <v>116</v>
      </c>
      <c r="C108" t="s">
        <v>32</v>
      </c>
      <c r="D108" t="s">
        <v>17</v>
      </c>
      <c r="E108" s="13">
        <v>1900100</v>
      </c>
      <c r="F108" s="13">
        <v>8</v>
      </c>
      <c r="G108" s="13">
        <v>18</v>
      </c>
      <c r="H108" s="13">
        <v>-145752.63630000001</v>
      </c>
    </row>
    <row r="109" spans="1:8" ht="15" x14ac:dyDescent="0.25">
      <c r="A109" t="s">
        <v>138</v>
      </c>
      <c r="B109" t="s">
        <v>116</v>
      </c>
      <c r="C109" t="s">
        <v>32</v>
      </c>
      <c r="D109" t="s">
        <v>19</v>
      </c>
      <c r="E109" s="13">
        <v>41364580</v>
      </c>
      <c r="F109" s="13">
        <v>52</v>
      </c>
      <c r="G109" s="13">
        <v>175</v>
      </c>
      <c r="H109" s="13">
        <v>-2017854.9768999999</v>
      </c>
    </row>
    <row r="110" spans="1:8" ht="15" x14ac:dyDescent="0.25">
      <c r="A110" t="s">
        <v>147</v>
      </c>
      <c r="B110" t="s">
        <v>116</v>
      </c>
      <c r="C110" t="s">
        <v>41</v>
      </c>
      <c r="D110" t="s">
        <v>21</v>
      </c>
      <c r="E110" s="13">
        <v>2711314</v>
      </c>
      <c r="F110" s="13">
        <v>5</v>
      </c>
      <c r="G110" s="13">
        <v>5</v>
      </c>
      <c r="H110" s="13">
        <v>-73617.035000000003</v>
      </c>
    </row>
    <row r="111" spans="1:8" ht="15" x14ac:dyDescent="0.25">
      <c r="A111" t="s">
        <v>140</v>
      </c>
      <c r="B111" t="s">
        <v>116</v>
      </c>
      <c r="C111" t="s">
        <v>41</v>
      </c>
      <c r="D111" t="s">
        <v>7</v>
      </c>
      <c r="E111" s="13">
        <v>9429042949.8600006</v>
      </c>
      <c r="F111" s="13">
        <v>31329</v>
      </c>
      <c r="G111" s="13">
        <v>36147</v>
      </c>
      <c r="H111" s="13">
        <v>-579716316.87779999</v>
      </c>
    </row>
    <row r="112" spans="1:8" ht="15" x14ac:dyDescent="0.25">
      <c r="A112" t="s">
        <v>141</v>
      </c>
      <c r="B112" t="s">
        <v>116</v>
      </c>
      <c r="C112" t="s">
        <v>41</v>
      </c>
      <c r="D112" t="s">
        <v>9</v>
      </c>
      <c r="E112" s="13">
        <v>622947430.51999998</v>
      </c>
      <c r="F112" s="13">
        <v>1361</v>
      </c>
      <c r="G112" s="13">
        <v>2739</v>
      </c>
      <c r="H112" s="13">
        <v>-36270996.446000002</v>
      </c>
    </row>
    <row r="113" spans="1:8" ht="15" x14ac:dyDescent="0.25">
      <c r="A113" t="s">
        <v>142</v>
      </c>
      <c r="B113">
        <v>0</v>
      </c>
      <c r="C113" t="s">
        <v>41</v>
      </c>
      <c r="D113" t="s">
        <v>11</v>
      </c>
      <c r="E113" s="13">
        <v>711258116.86000001</v>
      </c>
      <c r="F113" s="13">
        <v>3404</v>
      </c>
      <c r="G113" s="13">
        <v>7117</v>
      </c>
      <c r="H113" s="13">
        <v>-126548609.23800001</v>
      </c>
    </row>
    <row r="114" spans="1:8" ht="15" x14ac:dyDescent="0.25">
      <c r="A114" t="s">
        <v>143</v>
      </c>
      <c r="B114" t="s">
        <v>116</v>
      </c>
      <c r="C114" t="s">
        <v>41</v>
      </c>
      <c r="D114" t="s">
        <v>13</v>
      </c>
      <c r="E114" s="13">
        <v>182352568.15000001</v>
      </c>
      <c r="F114" s="13">
        <v>432</v>
      </c>
      <c r="G114" s="13">
        <v>1191</v>
      </c>
      <c r="H114" s="13">
        <v>-14701120.178400001</v>
      </c>
    </row>
    <row r="115" spans="1:8" ht="15" x14ac:dyDescent="0.25">
      <c r="A115" t="s">
        <v>144</v>
      </c>
      <c r="B115" t="s">
        <v>116</v>
      </c>
      <c r="C115" t="s">
        <v>41</v>
      </c>
      <c r="D115" t="s">
        <v>15</v>
      </c>
      <c r="E115" s="13">
        <v>343519436.47000003</v>
      </c>
      <c r="F115" s="13">
        <v>1285</v>
      </c>
      <c r="G115" s="13">
        <v>3978</v>
      </c>
      <c r="H115" s="13">
        <v>-69465671.731600001</v>
      </c>
    </row>
    <row r="116" spans="1:8" ht="15" x14ac:dyDescent="0.25">
      <c r="A116" t="s">
        <v>145</v>
      </c>
      <c r="B116" t="s">
        <v>116</v>
      </c>
      <c r="C116" t="s">
        <v>41</v>
      </c>
      <c r="D116" t="s">
        <v>17</v>
      </c>
      <c r="E116" s="13">
        <v>48297808.340000004</v>
      </c>
      <c r="F116" s="13">
        <v>316</v>
      </c>
      <c r="G116" s="13">
        <v>1153</v>
      </c>
      <c r="H116" s="13">
        <v>-22998264.431299999</v>
      </c>
    </row>
    <row r="117" spans="1:8" ht="15" x14ac:dyDescent="0.25">
      <c r="A117" t="s">
        <v>146</v>
      </c>
      <c r="B117" t="s">
        <v>116</v>
      </c>
      <c r="C117" t="s">
        <v>41</v>
      </c>
      <c r="D117" t="s">
        <v>19</v>
      </c>
      <c r="E117" s="13">
        <v>574749268.25999999</v>
      </c>
      <c r="F117" s="13">
        <v>804</v>
      </c>
      <c r="G117" s="13">
        <v>3678</v>
      </c>
      <c r="H117" s="13">
        <v>-60419514.9868</v>
      </c>
    </row>
    <row r="118" spans="1:8" ht="15" x14ac:dyDescent="0.25">
      <c r="A118" t="s">
        <v>335</v>
      </c>
      <c r="B118" t="s">
        <v>116</v>
      </c>
      <c r="C118" t="s">
        <v>286</v>
      </c>
      <c r="D118" t="s">
        <v>21</v>
      </c>
      <c r="E118" s="13">
        <v>15200670</v>
      </c>
      <c r="F118" s="13">
        <v>17</v>
      </c>
      <c r="G118" s="13">
        <v>17</v>
      </c>
      <c r="H118" s="13">
        <v>-131149.93179999999</v>
      </c>
    </row>
    <row r="119" spans="1:8" ht="15" x14ac:dyDescent="0.25">
      <c r="A119" t="s">
        <v>328</v>
      </c>
      <c r="B119" t="s">
        <v>116</v>
      </c>
      <c r="C119" t="s">
        <v>286</v>
      </c>
      <c r="D119" t="s">
        <v>7</v>
      </c>
      <c r="E119" s="13">
        <v>49416545775.849998</v>
      </c>
      <c r="F119" s="13">
        <v>72567</v>
      </c>
      <c r="G119" s="13">
        <v>88300</v>
      </c>
      <c r="H119" s="13">
        <v>-846955321.99660003</v>
      </c>
    </row>
    <row r="120" spans="1:8" ht="15" x14ac:dyDescent="0.25">
      <c r="A120" t="s">
        <v>329</v>
      </c>
      <c r="B120" t="s">
        <v>116</v>
      </c>
      <c r="C120" t="s">
        <v>286</v>
      </c>
      <c r="D120" t="s">
        <v>9</v>
      </c>
      <c r="E120" s="13">
        <v>2770127410.7399998</v>
      </c>
      <c r="F120" s="13">
        <v>3648</v>
      </c>
      <c r="G120" s="13">
        <v>7819</v>
      </c>
      <c r="H120" s="13">
        <v>-62879486.812200002</v>
      </c>
    </row>
    <row r="121" spans="1:8" ht="15" x14ac:dyDescent="0.25">
      <c r="A121" t="s">
        <v>330</v>
      </c>
      <c r="B121" t="s">
        <v>116</v>
      </c>
      <c r="C121" t="s">
        <v>286</v>
      </c>
      <c r="D121" t="s">
        <v>11</v>
      </c>
      <c r="E121" s="13">
        <v>2731126100.8400002</v>
      </c>
      <c r="F121" s="13">
        <v>7557</v>
      </c>
      <c r="G121" s="13">
        <v>16204</v>
      </c>
      <c r="H121" s="13">
        <v>-189394890.06099999</v>
      </c>
    </row>
    <row r="122" spans="1:8" ht="15" x14ac:dyDescent="0.25">
      <c r="A122" t="s">
        <v>331</v>
      </c>
      <c r="B122" t="s">
        <v>116</v>
      </c>
      <c r="C122" t="s">
        <v>286</v>
      </c>
      <c r="D122" t="s">
        <v>13</v>
      </c>
      <c r="E122" s="13">
        <v>679932559.12</v>
      </c>
      <c r="F122" s="13">
        <v>1112</v>
      </c>
      <c r="G122" s="13">
        <v>3066</v>
      </c>
      <c r="H122" s="13">
        <v>-21928799.186500002</v>
      </c>
    </row>
    <row r="123" spans="1:8" ht="15" x14ac:dyDescent="0.25">
      <c r="A123" t="s">
        <v>332</v>
      </c>
      <c r="B123" t="s">
        <v>116</v>
      </c>
      <c r="C123" t="s">
        <v>286</v>
      </c>
      <c r="D123" t="s">
        <v>15</v>
      </c>
      <c r="E123" s="13">
        <v>837309339.5</v>
      </c>
      <c r="F123" s="13">
        <v>2681</v>
      </c>
      <c r="G123" s="13">
        <v>8243</v>
      </c>
      <c r="H123" s="13">
        <v>-101232033.38699999</v>
      </c>
    </row>
    <row r="124" spans="1:8" ht="15" x14ac:dyDescent="0.25">
      <c r="A124" t="s">
        <v>333</v>
      </c>
      <c r="B124" t="s">
        <v>116</v>
      </c>
      <c r="C124" t="s">
        <v>286</v>
      </c>
      <c r="D124" t="s">
        <v>17</v>
      </c>
      <c r="E124" s="13">
        <v>173690566.62</v>
      </c>
      <c r="F124" s="13">
        <v>595</v>
      </c>
      <c r="G124" s="13">
        <v>2014</v>
      </c>
      <c r="H124" s="13">
        <v>-17210301.861900002</v>
      </c>
    </row>
    <row r="125" spans="1:8" ht="15" x14ac:dyDescent="0.25">
      <c r="A125" t="s">
        <v>334</v>
      </c>
      <c r="B125" t="s">
        <v>116</v>
      </c>
      <c r="C125" t="s">
        <v>286</v>
      </c>
      <c r="D125" t="s">
        <v>19</v>
      </c>
      <c r="E125" s="13">
        <v>1902608336.5699999</v>
      </c>
      <c r="F125" s="13">
        <v>1714</v>
      </c>
      <c r="G125" s="13">
        <v>7216</v>
      </c>
      <c r="H125" s="13">
        <v>-71580255.627700001</v>
      </c>
    </row>
    <row r="126" spans="1:8" ht="15" x14ac:dyDescent="0.25">
      <c r="A126" t="s">
        <v>156</v>
      </c>
      <c r="B126" t="s">
        <v>149</v>
      </c>
      <c r="C126" t="s">
        <v>6</v>
      </c>
      <c r="D126" t="s">
        <v>21</v>
      </c>
      <c r="E126" s="13">
        <v>33724118.770000003</v>
      </c>
      <c r="F126" s="13">
        <v>255</v>
      </c>
      <c r="G126" s="13">
        <v>256</v>
      </c>
      <c r="H126" s="13">
        <v>-6246988</v>
      </c>
    </row>
    <row r="127" spans="1:8" ht="15" x14ac:dyDescent="0.25">
      <c r="A127" t="s">
        <v>148</v>
      </c>
      <c r="B127" t="s">
        <v>149</v>
      </c>
      <c r="C127" t="s">
        <v>6</v>
      </c>
      <c r="D127" t="s">
        <v>7</v>
      </c>
      <c r="E127" s="13">
        <v>1205153079.73</v>
      </c>
      <c r="F127" s="13">
        <v>6892</v>
      </c>
      <c r="G127" s="13">
        <v>7922</v>
      </c>
      <c r="H127" s="13">
        <v>35072527</v>
      </c>
    </row>
    <row r="128" spans="1:8" ht="15" x14ac:dyDescent="0.25">
      <c r="A128" t="s">
        <v>150</v>
      </c>
      <c r="B128" t="s">
        <v>149</v>
      </c>
      <c r="C128" t="s">
        <v>6</v>
      </c>
      <c r="D128" t="s">
        <v>9</v>
      </c>
      <c r="E128" s="13">
        <v>32359615</v>
      </c>
      <c r="F128" s="13">
        <v>183</v>
      </c>
      <c r="G128" s="13">
        <v>348</v>
      </c>
      <c r="H128" s="13">
        <v>2582142.5</v>
      </c>
    </row>
    <row r="129" spans="1:8" ht="15" x14ac:dyDescent="0.25">
      <c r="A129" t="s">
        <v>151</v>
      </c>
      <c r="B129" t="s">
        <v>149</v>
      </c>
      <c r="C129" t="s">
        <v>6</v>
      </c>
      <c r="D129" t="s">
        <v>11</v>
      </c>
      <c r="E129" s="13">
        <v>7395593.6699999999</v>
      </c>
      <c r="F129" s="13">
        <v>41</v>
      </c>
      <c r="G129" s="13">
        <v>110</v>
      </c>
      <c r="H129" s="13">
        <v>710416</v>
      </c>
    </row>
    <row r="130" spans="1:8" ht="15" x14ac:dyDescent="0.25">
      <c r="A130" t="s">
        <v>152</v>
      </c>
      <c r="B130" t="s">
        <v>149</v>
      </c>
      <c r="C130" t="s">
        <v>6</v>
      </c>
      <c r="D130" t="s">
        <v>13</v>
      </c>
      <c r="E130" s="13">
        <v>4271912</v>
      </c>
      <c r="F130" s="13">
        <v>29</v>
      </c>
      <c r="G130" s="13">
        <v>88</v>
      </c>
      <c r="H130" s="13">
        <v>453115.5</v>
      </c>
    </row>
    <row r="131" spans="1:8" ht="15" x14ac:dyDescent="0.25">
      <c r="A131" t="s">
        <v>153</v>
      </c>
      <c r="B131" t="s">
        <v>149</v>
      </c>
      <c r="C131" t="s">
        <v>6</v>
      </c>
      <c r="D131" t="s">
        <v>15</v>
      </c>
      <c r="E131" s="13">
        <v>5823290</v>
      </c>
      <c r="F131" s="13">
        <v>10</v>
      </c>
      <c r="G131" s="13">
        <v>24</v>
      </c>
      <c r="H131" s="13">
        <v>246133</v>
      </c>
    </row>
    <row r="132" spans="1:8" ht="15" x14ac:dyDescent="0.25">
      <c r="A132" t="s">
        <v>154</v>
      </c>
      <c r="B132" t="s">
        <v>149</v>
      </c>
      <c r="C132" t="s">
        <v>6</v>
      </c>
      <c r="D132" t="s">
        <v>17</v>
      </c>
      <c r="E132" s="13">
        <v>7029768.71</v>
      </c>
      <c r="F132" s="13">
        <v>8</v>
      </c>
      <c r="G132" s="13">
        <v>17</v>
      </c>
      <c r="H132" s="13">
        <v>118187.5</v>
      </c>
    </row>
    <row r="133" spans="1:8" ht="15" x14ac:dyDescent="0.25">
      <c r="A133" t="s">
        <v>155</v>
      </c>
      <c r="B133" t="s">
        <v>149</v>
      </c>
      <c r="C133" t="s">
        <v>6</v>
      </c>
      <c r="D133" t="s">
        <v>19</v>
      </c>
      <c r="E133" s="13">
        <v>3026250</v>
      </c>
      <c r="F133" s="13">
        <v>9</v>
      </c>
      <c r="G133" s="13">
        <v>71</v>
      </c>
      <c r="H133" s="13">
        <v>459841.5</v>
      </c>
    </row>
    <row r="134" spans="1:8" ht="15" x14ac:dyDescent="0.25">
      <c r="A134" t="s">
        <v>164</v>
      </c>
      <c r="B134" t="s">
        <v>149</v>
      </c>
      <c r="C134" t="s">
        <v>23</v>
      </c>
      <c r="D134" t="s">
        <v>21</v>
      </c>
      <c r="E134" s="13">
        <v>9205674.0999999996</v>
      </c>
      <c r="F134" s="13">
        <v>79</v>
      </c>
      <c r="G134" s="13">
        <v>80</v>
      </c>
      <c r="H134" s="13">
        <v>-1323354</v>
      </c>
    </row>
    <row r="135" spans="1:8" ht="15" x14ac:dyDescent="0.25">
      <c r="A135" t="s">
        <v>157</v>
      </c>
      <c r="B135" t="s">
        <v>149</v>
      </c>
      <c r="C135" t="s">
        <v>23</v>
      </c>
      <c r="D135" t="s">
        <v>7</v>
      </c>
      <c r="E135" s="13">
        <v>444372265.07999998</v>
      </c>
      <c r="F135" s="13">
        <v>2640</v>
      </c>
      <c r="G135" s="13">
        <v>3014</v>
      </c>
      <c r="H135" s="13">
        <v>11533407</v>
      </c>
    </row>
    <row r="136" spans="1:8" ht="15" x14ac:dyDescent="0.25">
      <c r="A136" t="s">
        <v>158</v>
      </c>
      <c r="B136" t="s">
        <v>149</v>
      </c>
      <c r="C136" t="s">
        <v>23</v>
      </c>
      <c r="D136" t="s">
        <v>9</v>
      </c>
      <c r="E136" s="13">
        <v>10721340</v>
      </c>
      <c r="F136" s="13">
        <v>72</v>
      </c>
      <c r="G136" s="13">
        <v>142</v>
      </c>
      <c r="H136" s="13">
        <v>918554</v>
      </c>
    </row>
    <row r="137" spans="1:8" ht="15" x14ac:dyDescent="0.25">
      <c r="A137" t="s">
        <v>159</v>
      </c>
      <c r="B137" t="s">
        <v>149</v>
      </c>
      <c r="C137" t="s">
        <v>23</v>
      </c>
      <c r="D137" t="s">
        <v>11</v>
      </c>
      <c r="E137" s="13">
        <v>2229049.4500000002</v>
      </c>
      <c r="F137" s="13">
        <v>15</v>
      </c>
      <c r="G137" s="13">
        <v>49</v>
      </c>
      <c r="H137" s="13">
        <v>315570</v>
      </c>
    </row>
    <row r="138" spans="1:8" ht="15" x14ac:dyDescent="0.25">
      <c r="A138" t="s">
        <v>160</v>
      </c>
      <c r="B138" t="s">
        <v>149</v>
      </c>
      <c r="C138" t="s">
        <v>23</v>
      </c>
      <c r="D138" t="s">
        <v>13</v>
      </c>
      <c r="E138" s="13">
        <v>1097395</v>
      </c>
      <c r="F138" s="13">
        <v>9</v>
      </c>
      <c r="G138" s="13">
        <v>36</v>
      </c>
      <c r="H138" s="13">
        <v>173175</v>
      </c>
    </row>
    <row r="139" spans="1:8" ht="15" x14ac:dyDescent="0.25">
      <c r="A139" t="s">
        <v>161</v>
      </c>
      <c r="B139" t="s">
        <v>149</v>
      </c>
      <c r="C139" t="s">
        <v>23</v>
      </c>
      <c r="D139" t="s">
        <v>15</v>
      </c>
      <c r="E139" s="13">
        <v>1246545.5</v>
      </c>
      <c r="F139" s="13">
        <v>5</v>
      </c>
      <c r="G139" s="13">
        <v>15</v>
      </c>
      <c r="H139" s="13">
        <v>148645</v>
      </c>
    </row>
    <row r="140" spans="1:8" ht="15" x14ac:dyDescent="0.25">
      <c r="A140" t="s">
        <v>162</v>
      </c>
      <c r="B140" t="s">
        <v>149</v>
      </c>
      <c r="C140" t="s">
        <v>23</v>
      </c>
      <c r="D140" t="s">
        <v>17</v>
      </c>
      <c r="E140" s="13">
        <v>5409161.5</v>
      </c>
      <c r="F140" s="13">
        <v>7</v>
      </c>
      <c r="G140" s="13">
        <v>19</v>
      </c>
      <c r="H140" s="13">
        <v>332532.5</v>
      </c>
    </row>
    <row r="141" spans="1:8" ht="15" x14ac:dyDescent="0.25">
      <c r="A141" t="s">
        <v>163</v>
      </c>
      <c r="B141" t="s">
        <v>149</v>
      </c>
      <c r="C141" t="s">
        <v>23</v>
      </c>
      <c r="D141" t="s">
        <v>19</v>
      </c>
      <c r="E141" s="13">
        <v>5171700</v>
      </c>
      <c r="F141" s="13">
        <v>7</v>
      </c>
      <c r="G141" s="13">
        <v>39</v>
      </c>
      <c r="H141" s="13">
        <v>439520</v>
      </c>
    </row>
    <row r="142" spans="1:8" ht="15" x14ac:dyDescent="0.25">
      <c r="A142" t="s">
        <v>172</v>
      </c>
      <c r="B142" t="s">
        <v>149</v>
      </c>
      <c r="C142" t="s">
        <v>32</v>
      </c>
      <c r="D142" t="s">
        <v>21</v>
      </c>
      <c r="E142" s="13">
        <v>30942453.289999999</v>
      </c>
      <c r="F142" s="13">
        <v>418</v>
      </c>
      <c r="G142" s="13">
        <v>426</v>
      </c>
      <c r="H142" s="13">
        <v>-5720149</v>
      </c>
    </row>
    <row r="143" spans="1:8" ht="15" x14ac:dyDescent="0.25">
      <c r="A143" t="s">
        <v>165</v>
      </c>
      <c r="B143" t="s">
        <v>149</v>
      </c>
      <c r="C143" t="s">
        <v>32</v>
      </c>
      <c r="D143" t="s">
        <v>7</v>
      </c>
      <c r="E143" s="13">
        <v>1449359494.21</v>
      </c>
      <c r="F143" s="13">
        <v>14828</v>
      </c>
      <c r="G143" s="13">
        <v>17175</v>
      </c>
      <c r="H143" s="13">
        <v>14219475.5</v>
      </c>
    </row>
    <row r="144" spans="1:8" ht="15" x14ac:dyDescent="0.25">
      <c r="A144" t="s">
        <v>166</v>
      </c>
      <c r="B144" t="s">
        <v>149</v>
      </c>
      <c r="C144" t="s">
        <v>32</v>
      </c>
      <c r="D144" t="s">
        <v>9</v>
      </c>
      <c r="E144" s="13">
        <v>54586134.229999997</v>
      </c>
      <c r="F144" s="13">
        <v>370</v>
      </c>
      <c r="G144" s="13">
        <v>760</v>
      </c>
      <c r="H144" s="13">
        <v>555974.5</v>
      </c>
    </row>
    <row r="145" spans="1:8" ht="15" x14ac:dyDescent="0.25">
      <c r="A145" t="s">
        <v>167</v>
      </c>
      <c r="B145" t="s">
        <v>149</v>
      </c>
      <c r="C145" t="s">
        <v>32</v>
      </c>
      <c r="D145" t="s">
        <v>11</v>
      </c>
      <c r="E145" s="13">
        <v>19383233.5</v>
      </c>
      <c r="F145" s="13">
        <v>110</v>
      </c>
      <c r="G145" s="13">
        <v>280</v>
      </c>
      <c r="H145" s="13">
        <v>-249568</v>
      </c>
    </row>
    <row r="146" spans="1:8" ht="15" x14ac:dyDescent="0.25">
      <c r="A146" t="s">
        <v>168</v>
      </c>
      <c r="B146" t="s">
        <v>149</v>
      </c>
      <c r="C146" t="s">
        <v>32</v>
      </c>
      <c r="D146" t="s">
        <v>13</v>
      </c>
      <c r="E146" s="13">
        <v>13858428.699999999</v>
      </c>
      <c r="F146" s="13">
        <v>72</v>
      </c>
      <c r="G146" s="13">
        <v>270</v>
      </c>
      <c r="H146" s="13">
        <v>-81811.5</v>
      </c>
    </row>
    <row r="147" spans="1:8" ht="15" x14ac:dyDescent="0.25">
      <c r="A147" t="s">
        <v>169</v>
      </c>
      <c r="B147" t="s">
        <v>149</v>
      </c>
      <c r="C147" t="s">
        <v>32</v>
      </c>
      <c r="D147" t="s">
        <v>15</v>
      </c>
      <c r="E147" s="13">
        <v>3253618</v>
      </c>
      <c r="F147" s="13">
        <v>19</v>
      </c>
      <c r="G147" s="13">
        <v>59</v>
      </c>
      <c r="H147" s="13">
        <v>94538</v>
      </c>
    </row>
    <row r="148" spans="1:8" ht="15" x14ac:dyDescent="0.25">
      <c r="A148" t="s">
        <v>170</v>
      </c>
      <c r="B148" t="s">
        <v>149</v>
      </c>
      <c r="C148" t="s">
        <v>32</v>
      </c>
      <c r="D148" t="s">
        <v>17</v>
      </c>
      <c r="E148" s="13">
        <v>16071711</v>
      </c>
      <c r="F148" s="13">
        <v>13</v>
      </c>
      <c r="G148" s="13">
        <v>32</v>
      </c>
      <c r="H148" s="13">
        <v>-68112.5</v>
      </c>
    </row>
    <row r="149" spans="1:8" ht="15" x14ac:dyDescent="0.25">
      <c r="A149" t="s">
        <v>171</v>
      </c>
      <c r="B149" t="s">
        <v>149</v>
      </c>
      <c r="C149" t="s">
        <v>32</v>
      </c>
      <c r="D149" t="s">
        <v>19</v>
      </c>
      <c r="E149" s="13">
        <v>22958597.43</v>
      </c>
      <c r="F149" s="13">
        <v>34</v>
      </c>
      <c r="G149" s="13">
        <v>167</v>
      </c>
      <c r="H149" s="13">
        <v>2408.5</v>
      </c>
    </row>
    <row r="150" spans="1:8" ht="15" x14ac:dyDescent="0.25">
      <c r="A150" t="s">
        <v>180</v>
      </c>
      <c r="B150" t="s">
        <v>149</v>
      </c>
      <c r="C150" t="s">
        <v>41</v>
      </c>
      <c r="D150" t="s">
        <v>21</v>
      </c>
      <c r="E150" s="13">
        <v>104640162.34999999</v>
      </c>
      <c r="F150" s="13">
        <v>1648</v>
      </c>
      <c r="G150" s="13">
        <v>1671</v>
      </c>
      <c r="H150" s="13">
        <v>-13913920</v>
      </c>
    </row>
    <row r="151" spans="1:8" ht="15" x14ac:dyDescent="0.25">
      <c r="A151" t="s">
        <v>173</v>
      </c>
      <c r="B151" t="s">
        <v>149</v>
      </c>
      <c r="C151" t="s">
        <v>41</v>
      </c>
      <c r="D151" t="s">
        <v>7</v>
      </c>
      <c r="E151" s="13">
        <v>6520827305.3599997</v>
      </c>
      <c r="F151" s="13">
        <v>68875</v>
      </c>
      <c r="G151" s="13">
        <v>85629</v>
      </c>
      <c r="H151" s="13">
        <v>-769050583.80999994</v>
      </c>
    </row>
    <row r="152" spans="1:8" ht="15" x14ac:dyDescent="0.25">
      <c r="A152" t="s">
        <v>174</v>
      </c>
      <c r="B152" t="s">
        <v>149</v>
      </c>
      <c r="C152" t="s">
        <v>41</v>
      </c>
      <c r="D152" t="s">
        <v>9</v>
      </c>
      <c r="E152" s="13">
        <v>328056182.82999998</v>
      </c>
      <c r="F152" s="13">
        <v>2737</v>
      </c>
      <c r="G152" s="13">
        <v>6328</v>
      </c>
      <c r="H152" s="13">
        <v>-71498862.5</v>
      </c>
    </row>
    <row r="153" spans="1:8" ht="15" x14ac:dyDescent="0.25">
      <c r="A153" t="s">
        <v>175</v>
      </c>
      <c r="B153" t="s">
        <v>149</v>
      </c>
      <c r="C153" t="s">
        <v>41</v>
      </c>
      <c r="D153" t="s">
        <v>11</v>
      </c>
      <c r="E153" s="13">
        <v>124713255.73</v>
      </c>
      <c r="F153" s="13">
        <v>881</v>
      </c>
      <c r="G153" s="13">
        <v>2747</v>
      </c>
      <c r="H153" s="13">
        <v>-32568613.370000001</v>
      </c>
    </row>
    <row r="154" spans="1:8" ht="15" x14ac:dyDescent="0.25">
      <c r="A154" t="s">
        <v>176</v>
      </c>
      <c r="B154" t="s">
        <v>149</v>
      </c>
      <c r="C154" t="s">
        <v>41</v>
      </c>
      <c r="D154" t="s">
        <v>13</v>
      </c>
      <c r="E154" s="13">
        <v>99360980.129999995</v>
      </c>
      <c r="F154" s="13">
        <v>564</v>
      </c>
      <c r="G154" s="13">
        <v>2343</v>
      </c>
      <c r="H154" s="13">
        <v>-27872742.5</v>
      </c>
    </row>
    <row r="155" spans="1:8" ht="15" x14ac:dyDescent="0.25">
      <c r="A155" t="s">
        <v>177</v>
      </c>
      <c r="B155" t="s">
        <v>149</v>
      </c>
      <c r="C155" t="s">
        <v>41</v>
      </c>
      <c r="D155" t="s">
        <v>15</v>
      </c>
      <c r="E155" s="13">
        <v>45548830.899999999</v>
      </c>
      <c r="F155" s="13">
        <v>215</v>
      </c>
      <c r="G155" s="13">
        <v>884</v>
      </c>
      <c r="H155" s="13">
        <v>-10784756</v>
      </c>
    </row>
    <row r="156" spans="1:8" ht="15" x14ac:dyDescent="0.25">
      <c r="A156" t="s">
        <v>178</v>
      </c>
      <c r="B156" t="s">
        <v>149</v>
      </c>
      <c r="C156" t="s">
        <v>41</v>
      </c>
      <c r="D156" t="s">
        <v>17</v>
      </c>
      <c r="E156" s="13">
        <v>46258753.280000001</v>
      </c>
      <c r="F156" s="13">
        <v>104</v>
      </c>
      <c r="G156" s="13">
        <v>477</v>
      </c>
      <c r="H156" s="13">
        <v>-6593601.5</v>
      </c>
    </row>
    <row r="157" spans="1:8" ht="15" x14ac:dyDescent="0.25">
      <c r="A157" t="s">
        <v>179</v>
      </c>
      <c r="B157" t="s">
        <v>149</v>
      </c>
      <c r="C157" t="s">
        <v>41</v>
      </c>
      <c r="D157" t="s">
        <v>19</v>
      </c>
      <c r="E157" s="13">
        <v>60708089.200000003</v>
      </c>
      <c r="F157" s="13">
        <v>137</v>
      </c>
      <c r="G157" s="13">
        <v>852</v>
      </c>
      <c r="H157" s="13">
        <v>-11398870</v>
      </c>
    </row>
    <row r="158" spans="1:8" x14ac:dyDescent="0.25">
      <c r="A158" s="1" t="s">
        <v>343</v>
      </c>
      <c r="B158" s="1" t="s">
        <v>149</v>
      </c>
      <c r="C158" s="1" t="s">
        <v>286</v>
      </c>
      <c r="D158" s="1" t="s">
        <v>21</v>
      </c>
      <c r="E158" s="2">
        <v>135496863.38999999</v>
      </c>
      <c r="F158" s="2">
        <v>2957</v>
      </c>
      <c r="G158" s="2">
        <v>3001</v>
      </c>
      <c r="H158" s="2">
        <v>-7966895.5999999996</v>
      </c>
    </row>
    <row r="159" spans="1:8" ht="15" x14ac:dyDescent="0.25">
      <c r="A159" t="s">
        <v>336</v>
      </c>
      <c r="B159" t="s">
        <v>149</v>
      </c>
      <c r="C159" t="s">
        <v>286</v>
      </c>
      <c r="D159" t="s">
        <v>7</v>
      </c>
      <c r="E159" s="13">
        <v>10263755617.870001</v>
      </c>
      <c r="F159" s="13">
        <v>105656</v>
      </c>
      <c r="G159" s="13">
        <v>124105</v>
      </c>
      <c r="H159" s="13">
        <v>-447051180.20999998</v>
      </c>
    </row>
    <row r="160" spans="1:8" ht="15" x14ac:dyDescent="0.25">
      <c r="A160" t="s">
        <v>337</v>
      </c>
      <c r="B160" t="s">
        <v>149</v>
      </c>
      <c r="C160" t="s">
        <v>286</v>
      </c>
      <c r="D160" t="s">
        <v>9</v>
      </c>
      <c r="E160" s="13">
        <v>461579699.13999999</v>
      </c>
      <c r="F160" s="13">
        <v>3648</v>
      </c>
      <c r="G160" s="13">
        <v>7354</v>
      </c>
      <c r="H160" s="13">
        <v>-41483418.68</v>
      </c>
    </row>
    <row r="161" spans="1:8" ht="15" x14ac:dyDescent="0.25">
      <c r="A161" t="s">
        <v>338</v>
      </c>
      <c r="B161" t="s">
        <v>149</v>
      </c>
      <c r="C161" t="s">
        <v>286</v>
      </c>
      <c r="D161" t="s">
        <v>11</v>
      </c>
      <c r="E161" s="13">
        <v>194790538.38999999</v>
      </c>
      <c r="F161" s="13">
        <v>1248</v>
      </c>
      <c r="G161" s="13">
        <v>3190</v>
      </c>
      <c r="H161" s="13">
        <v>-20827203.309999999</v>
      </c>
    </row>
    <row r="162" spans="1:8" ht="15" x14ac:dyDescent="0.25">
      <c r="A162" t="s">
        <v>339</v>
      </c>
      <c r="B162" t="s">
        <v>149</v>
      </c>
      <c r="C162" t="s">
        <v>286</v>
      </c>
      <c r="D162" t="s">
        <v>13</v>
      </c>
      <c r="E162" s="13">
        <v>90410532.310000002</v>
      </c>
      <c r="F162" s="13">
        <v>567</v>
      </c>
      <c r="G162" s="13">
        <v>2080</v>
      </c>
      <c r="H162" s="13">
        <v>-11896467.460000001</v>
      </c>
    </row>
    <row r="163" spans="1:8" ht="15" x14ac:dyDescent="0.25">
      <c r="A163" t="s">
        <v>340</v>
      </c>
      <c r="B163" t="s">
        <v>149</v>
      </c>
      <c r="C163" t="s">
        <v>286</v>
      </c>
      <c r="D163" t="s">
        <v>15</v>
      </c>
      <c r="E163" s="13">
        <v>86911889.769999996</v>
      </c>
      <c r="F163" s="13">
        <v>300</v>
      </c>
      <c r="G163" s="13">
        <v>836</v>
      </c>
      <c r="H163" s="13">
        <v>-4777704.01</v>
      </c>
    </row>
    <row r="164" spans="1:8" ht="15" x14ac:dyDescent="0.25">
      <c r="A164" t="s">
        <v>341</v>
      </c>
      <c r="B164" t="s">
        <v>149</v>
      </c>
      <c r="C164" t="s">
        <v>286</v>
      </c>
      <c r="D164" t="s">
        <v>17</v>
      </c>
      <c r="E164" s="13">
        <v>73017206.510000005</v>
      </c>
      <c r="F164" s="13">
        <v>217</v>
      </c>
      <c r="G164" s="13">
        <v>446</v>
      </c>
      <c r="H164" s="13">
        <v>-980558.84</v>
      </c>
    </row>
    <row r="165" spans="1:8" x14ac:dyDescent="0.25">
      <c r="A165" s="1" t="s">
        <v>342</v>
      </c>
      <c r="B165" s="1" t="s">
        <v>149</v>
      </c>
      <c r="C165" s="1" t="s">
        <v>286</v>
      </c>
      <c r="D165" s="1" t="s">
        <v>19</v>
      </c>
      <c r="E165" s="2">
        <v>75088226.420000002</v>
      </c>
      <c r="F165" s="2">
        <v>198</v>
      </c>
      <c r="G165" s="2">
        <v>824</v>
      </c>
      <c r="H165" s="2">
        <v>-3987927.37</v>
      </c>
    </row>
  </sheetData>
  <sortState ref="A7:H165">
    <sortCondition ref="A7:A165"/>
  </sortState>
  <mergeCells count="1">
    <mergeCell ref="A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6"/>
  <sheetViews>
    <sheetView zoomScale="85" zoomScaleNormal="85" workbookViewId="0">
      <selection activeCell="E3" sqref="E3"/>
    </sheetView>
  </sheetViews>
  <sheetFormatPr defaultRowHeight="14.25" x14ac:dyDescent="0.25"/>
  <cols>
    <col min="1" max="1" width="17" style="1" bestFit="1" customWidth="1"/>
    <col min="2" max="2" width="16.5703125" style="1" bestFit="1" customWidth="1"/>
    <col min="3" max="3" width="20.7109375" style="1" bestFit="1" customWidth="1"/>
    <col min="4" max="4" width="15" style="1" bestFit="1" customWidth="1"/>
    <col min="5" max="5" width="18.5703125" style="2" bestFit="1" customWidth="1"/>
    <col min="6" max="7" width="12.7109375" style="1" bestFit="1" customWidth="1"/>
    <col min="8" max="8" width="18.140625" style="1" bestFit="1" customWidth="1"/>
    <col min="9" max="16384" width="9.140625" style="1"/>
  </cols>
  <sheetData>
    <row r="3" spans="1:8" x14ac:dyDescent="0.25">
      <c r="A3" s="15"/>
      <c r="B3" s="15"/>
      <c r="C3" s="15"/>
      <c r="D3" s="1" t="s">
        <v>376</v>
      </c>
      <c r="E3" s="2">
        <f>SUBTOTAL(9,E7:E1007)</f>
        <v>311860157746.80994</v>
      </c>
      <c r="F3" s="2">
        <f t="shared" ref="F3:H3" si="0">SUBTOTAL(9,F7:F1007)</f>
        <v>1521515</v>
      </c>
      <c r="G3" s="2">
        <f t="shared" si="0"/>
        <v>2013915</v>
      </c>
      <c r="H3" s="2">
        <f t="shared" si="0"/>
        <v>-12176088613.051296</v>
      </c>
    </row>
    <row r="4" spans="1:8" x14ac:dyDescent="0.25">
      <c r="A4" s="18" t="s">
        <v>377</v>
      </c>
      <c r="B4" s="18"/>
      <c r="C4" s="18"/>
      <c r="D4" s="18"/>
      <c r="E4" s="18"/>
      <c r="F4" s="18"/>
      <c r="G4" s="18"/>
      <c r="H4" s="18"/>
    </row>
    <row r="5" spans="1:8" x14ac:dyDescent="0.25">
      <c r="A5" s="14"/>
      <c r="B5" s="14"/>
      <c r="C5" s="14"/>
      <c r="D5" s="14"/>
      <c r="E5" s="14"/>
      <c r="F5" s="14"/>
      <c r="G5" s="14"/>
      <c r="H5" s="14"/>
    </row>
    <row r="6" spans="1:8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281</v>
      </c>
      <c r="F6" s="1" t="s">
        <v>282</v>
      </c>
      <c r="G6" s="1" t="s">
        <v>283</v>
      </c>
      <c r="H6" s="1" t="s">
        <v>284</v>
      </c>
    </row>
    <row r="7" spans="1:8" ht="15" x14ac:dyDescent="0.25">
      <c r="A7" t="s">
        <v>57</v>
      </c>
      <c r="B7" t="s">
        <v>50</v>
      </c>
      <c r="C7" t="s">
        <v>6</v>
      </c>
      <c r="D7" t="s">
        <v>21</v>
      </c>
      <c r="E7" s="13">
        <v>68543212.430000007</v>
      </c>
      <c r="F7">
        <v>609</v>
      </c>
      <c r="G7">
        <v>862</v>
      </c>
      <c r="H7">
        <v>0</v>
      </c>
    </row>
    <row r="8" spans="1:8" ht="15" x14ac:dyDescent="0.25">
      <c r="A8" t="s">
        <v>49</v>
      </c>
      <c r="B8" t="s">
        <v>50</v>
      </c>
      <c r="C8" t="s">
        <v>6</v>
      </c>
      <c r="D8" t="s">
        <v>7</v>
      </c>
      <c r="E8" s="13">
        <v>5030074469.71</v>
      </c>
      <c r="F8">
        <v>15681</v>
      </c>
      <c r="G8">
        <v>18308</v>
      </c>
      <c r="H8">
        <v>-30592750</v>
      </c>
    </row>
    <row r="9" spans="1:8" ht="15" x14ac:dyDescent="0.25">
      <c r="A9" t="s">
        <v>51</v>
      </c>
      <c r="B9" t="s">
        <v>50</v>
      </c>
      <c r="C9" t="s">
        <v>6</v>
      </c>
      <c r="D9" t="s">
        <v>9</v>
      </c>
      <c r="E9" s="13">
        <v>274329840.58999997</v>
      </c>
      <c r="F9">
        <v>519</v>
      </c>
      <c r="G9">
        <v>848</v>
      </c>
      <c r="H9">
        <v>-4491200</v>
      </c>
    </row>
    <row r="10" spans="1:8" ht="15" x14ac:dyDescent="0.25">
      <c r="A10" t="s">
        <v>52</v>
      </c>
      <c r="B10" t="s">
        <v>50</v>
      </c>
      <c r="C10" t="s">
        <v>6</v>
      </c>
      <c r="D10" t="s">
        <v>11</v>
      </c>
      <c r="E10" s="13">
        <v>204691466.75999999</v>
      </c>
      <c r="F10">
        <v>290</v>
      </c>
      <c r="G10">
        <v>541</v>
      </c>
      <c r="H10">
        <v>-5881400</v>
      </c>
    </row>
    <row r="11" spans="1:8" ht="15" x14ac:dyDescent="0.25">
      <c r="A11" t="s">
        <v>53</v>
      </c>
      <c r="B11" t="s">
        <v>50</v>
      </c>
      <c r="C11" t="s">
        <v>6</v>
      </c>
      <c r="D11" t="s">
        <v>13</v>
      </c>
      <c r="E11" s="13">
        <v>253057414</v>
      </c>
      <c r="F11">
        <v>161</v>
      </c>
      <c r="G11">
        <v>311</v>
      </c>
      <c r="H11">
        <v>-4822900</v>
      </c>
    </row>
    <row r="12" spans="1:8" ht="15" x14ac:dyDescent="0.25">
      <c r="A12" t="s">
        <v>54</v>
      </c>
      <c r="B12" t="s">
        <v>50</v>
      </c>
      <c r="C12" t="s">
        <v>6</v>
      </c>
      <c r="D12" t="s">
        <v>15</v>
      </c>
      <c r="E12" s="13">
        <v>112698632</v>
      </c>
      <c r="F12">
        <v>71</v>
      </c>
      <c r="G12">
        <v>147</v>
      </c>
      <c r="H12">
        <v>-2721500</v>
      </c>
    </row>
    <row r="13" spans="1:8" ht="15" x14ac:dyDescent="0.25">
      <c r="A13" t="s">
        <v>55</v>
      </c>
      <c r="B13" t="s">
        <v>50</v>
      </c>
      <c r="C13" t="s">
        <v>6</v>
      </c>
      <c r="D13" t="s">
        <v>17</v>
      </c>
      <c r="E13" s="13">
        <v>72423750</v>
      </c>
      <c r="F13">
        <v>39</v>
      </c>
      <c r="G13">
        <v>74</v>
      </c>
      <c r="H13">
        <v>-1706650</v>
      </c>
    </row>
    <row r="14" spans="1:8" ht="15" x14ac:dyDescent="0.25">
      <c r="A14" t="s">
        <v>56</v>
      </c>
      <c r="B14" t="s">
        <v>50</v>
      </c>
      <c r="C14" t="s">
        <v>6</v>
      </c>
      <c r="D14" t="s">
        <v>19</v>
      </c>
      <c r="E14" s="13">
        <v>330115653</v>
      </c>
      <c r="F14">
        <v>165</v>
      </c>
      <c r="G14">
        <v>300</v>
      </c>
      <c r="H14">
        <v>-25639900</v>
      </c>
    </row>
    <row r="15" spans="1:8" ht="15" x14ac:dyDescent="0.25">
      <c r="A15" t="s">
        <v>65</v>
      </c>
      <c r="B15" t="s">
        <v>50</v>
      </c>
      <c r="C15" t="s">
        <v>23</v>
      </c>
      <c r="D15" t="s">
        <v>21</v>
      </c>
      <c r="E15" s="13">
        <v>24758235.809999999</v>
      </c>
      <c r="F15">
        <v>179</v>
      </c>
      <c r="G15">
        <v>284</v>
      </c>
      <c r="H15">
        <v>50000</v>
      </c>
    </row>
    <row r="16" spans="1:8" ht="15" x14ac:dyDescent="0.25">
      <c r="A16" t="s">
        <v>58</v>
      </c>
      <c r="B16" t="s">
        <v>50</v>
      </c>
      <c r="C16" t="s">
        <v>23</v>
      </c>
      <c r="D16" t="s">
        <v>7</v>
      </c>
      <c r="E16" s="13">
        <v>1123808714.3900001</v>
      </c>
      <c r="F16">
        <v>4008</v>
      </c>
      <c r="G16">
        <v>4610</v>
      </c>
      <c r="H16">
        <v>6089333.3300000001</v>
      </c>
    </row>
    <row r="17" spans="1:8" ht="15" x14ac:dyDescent="0.25">
      <c r="A17" t="s">
        <v>59</v>
      </c>
      <c r="B17" t="s">
        <v>50</v>
      </c>
      <c r="C17" t="s">
        <v>23</v>
      </c>
      <c r="D17" t="s">
        <v>9</v>
      </c>
      <c r="E17" s="13">
        <v>71621109.299999997</v>
      </c>
      <c r="F17">
        <v>139</v>
      </c>
      <c r="G17">
        <v>217</v>
      </c>
      <c r="H17">
        <v>-463500</v>
      </c>
    </row>
    <row r="18" spans="1:8" ht="15" x14ac:dyDescent="0.25">
      <c r="A18" t="s">
        <v>60</v>
      </c>
      <c r="B18" t="s">
        <v>50</v>
      </c>
      <c r="C18" t="s">
        <v>23</v>
      </c>
      <c r="D18" t="s">
        <v>11</v>
      </c>
      <c r="E18" s="13">
        <v>40007700</v>
      </c>
      <c r="F18">
        <v>52</v>
      </c>
      <c r="G18">
        <v>101</v>
      </c>
      <c r="H18">
        <v>-423500</v>
      </c>
    </row>
    <row r="19" spans="1:8" ht="15" x14ac:dyDescent="0.25">
      <c r="A19" t="s">
        <v>61</v>
      </c>
      <c r="B19" t="s">
        <v>50</v>
      </c>
      <c r="C19" t="s">
        <v>23</v>
      </c>
      <c r="D19" t="s">
        <v>13</v>
      </c>
      <c r="E19" s="13">
        <v>28216810</v>
      </c>
      <c r="F19">
        <v>30</v>
      </c>
      <c r="G19">
        <v>55</v>
      </c>
      <c r="H19">
        <v>-512500</v>
      </c>
    </row>
    <row r="20" spans="1:8" ht="15" x14ac:dyDescent="0.25">
      <c r="A20" t="s">
        <v>62</v>
      </c>
      <c r="B20" t="s">
        <v>50</v>
      </c>
      <c r="C20" t="s">
        <v>23</v>
      </c>
      <c r="D20" t="s">
        <v>15</v>
      </c>
      <c r="E20" s="13">
        <v>23608573</v>
      </c>
      <c r="F20">
        <v>18</v>
      </c>
      <c r="G20">
        <v>24</v>
      </c>
      <c r="H20">
        <v>-309000</v>
      </c>
    </row>
    <row r="21" spans="1:8" ht="15" x14ac:dyDescent="0.25">
      <c r="A21" t="s">
        <v>63</v>
      </c>
      <c r="B21" t="s">
        <v>50</v>
      </c>
      <c r="C21" t="s">
        <v>23</v>
      </c>
      <c r="D21" t="s">
        <v>17</v>
      </c>
      <c r="E21" s="13">
        <v>3042649.55</v>
      </c>
      <c r="F21">
        <v>4</v>
      </c>
      <c r="G21">
        <v>5</v>
      </c>
      <c r="H21">
        <v>-160250</v>
      </c>
    </row>
    <row r="22" spans="1:8" ht="15" x14ac:dyDescent="0.25">
      <c r="A22" t="s">
        <v>64</v>
      </c>
      <c r="B22" t="s">
        <v>50</v>
      </c>
      <c r="C22" t="s">
        <v>23</v>
      </c>
      <c r="D22" t="s">
        <v>19</v>
      </c>
      <c r="E22" s="13">
        <v>99150685</v>
      </c>
      <c r="F22">
        <v>42</v>
      </c>
      <c r="G22">
        <v>66</v>
      </c>
      <c r="H22">
        <v>-3940500</v>
      </c>
    </row>
    <row r="23" spans="1:8" ht="15" x14ac:dyDescent="0.25">
      <c r="A23" t="s">
        <v>73</v>
      </c>
      <c r="B23" t="s">
        <v>50</v>
      </c>
      <c r="C23" t="s">
        <v>32</v>
      </c>
      <c r="D23" t="s">
        <v>21</v>
      </c>
      <c r="E23" s="13">
        <v>46821477.359999999</v>
      </c>
      <c r="F23">
        <v>452</v>
      </c>
      <c r="G23">
        <v>594</v>
      </c>
      <c r="H23">
        <v>0</v>
      </c>
    </row>
    <row r="24" spans="1:8" ht="15" x14ac:dyDescent="0.25">
      <c r="A24" t="s">
        <v>66</v>
      </c>
      <c r="B24" t="s">
        <v>50</v>
      </c>
      <c r="C24" t="s">
        <v>32</v>
      </c>
      <c r="D24" t="s">
        <v>7</v>
      </c>
      <c r="E24" s="13">
        <v>2804364246.75</v>
      </c>
      <c r="F24">
        <v>11957</v>
      </c>
      <c r="G24">
        <v>14028</v>
      </c>
      <c r="H24">
        <v>-65434100</v>
      </c>
    </row>
    <row r="25" spans="1:8" ht="15" x14ac:dyDescent="0.25">
      <c r="A25" t="s">
        <v>67</v>
      </c>
      <c r="B25" t="s">
        <v>50</v>
      </c>
      <c r="C25" t="s">
        <v>32</v>
      </c>
      <c r="D25" t="s">
        <v>9</v>
      </c>
      <c r="E25" s="13">
        <v>158205819.63999999</v>
      </c>
      <c r="F25">
        <v>384</v>
      </c>
      <c r="G25">
        <v>621</v>
      </c>
      <c r="H25">
        <v>-7226000</v>
      </c>
    </row>
    <row r="26" spans="1:8" ht="15" x14ac:dyDescent="0.25">
      <c r="A26" t="s">
        <v>68</v>
      </c>
      <c r="B26" t="s">
        <v>50</v>
      </c>
      <c r="C26" t="s">
        <v>32</v>
      </c>
      <c r="D26" t="s">
        <v>11</v>
      </c>
      <c r="E26" s="13">
        <v>129811151.66</v>
      </c>
      <c r="F26">
        <v>232</v>
      </c>
      <c r="G26">
        <v>413</v>
      </c>
      <c r="H26">
        <v>-8026400</v>
      </c>
    </row>
    <row r="27" spans="1:8" ht="15" x14ac:dyDescent="0.25">
      <c r="A27" t="s">
        <v>69</v>
      </c>
      <c r="B27" t="s">
        <v>50</v>
      </c>
      <c r="C27" t="s">
        <v>32</v>
      </c>
      <c r="D27" t="s">
        <v>13</v>
      </c>
      <c r="E27" s="13">
        <v>111998233.23</v>
      </c>
      <c r="F27">
        <v>126</v>
      </c>
      <c r="G27">
        <v>255</v>
      </c>
      <c r="H27">
        <v>-5286000</v>
      </c>
    </row>
    <row r="28" spans="1:8" ht="15" x14ac:dyDescent="0.25">
      <c r="A28" t="s">
        <v>70</v>
      </c>
      <c r="B28" t="s">
        <v>50</v>
      </c>
      <c r="C28" t="s">
        <v>32</v>
      </c>
      <c r="D28" t="s">
        <v>15</v>
      </c>
      <c r="E28" s="13">
        <v>67346123.769999996</v>
      </c>
      <c r="F28">
        <v>72</v>
      </c>
      <c r="G28">
        <v>160</v>
      </c>
      <c r="H28">
        <v>-3454200</v>
      </c>
    </row>
    <row r="29" spans="1:8" ht="15" x14ac:dyDescent="0.25">
      <c r="A29" t="s">
        <v>71</v>
      </c>
      <c r="B29" t="s">
        <v>50</v>
      </c>
      <c r="C29" t="s">
        <v>32</v>
      </c>
      <c r="D29" t="s">
        <v>17</v>
      </c>
      <c r="E29" s="13">
        <v>60358866</v>
      </c>
      <c r="F29">
        <v>39</v>
      </c>
      <c r="G29">
        <v>70</v>
      </c>
      <c r="H29">
        <v>-2272000</v>
      </c>
    </row>
    <row r="30" spans="1:8" ht="15" x14ac:dyDescent="0.25">
      <c r="A30" t="s">
        <v>72</v>
      </c>
      <c r="B30" t="s">
        <v>50</v>
      </c>
      <c r="C30" t="s">
        <v>32</v>
      </c>
      <c r="D30" t="s">
        <v>19</v>
      </c>
      <c r="E30" s="13">
        <v>251193371.19999999</v>
      </c>
      <c r="F30">
        <v>190</v>
      </c>
      <c r="G30">
        <v>287</v>
      </c>
      <c r="H30">
        <v>-29746000</v>
      </c>
    </row>
    <row r="31" spans="1:8" ht="15" x14ac:dyDescent="0.25">
      <c r="A31" t="s">
        <v>81</v>
      </c>
      <c r="B31" t="s">
        <v>50</v>
      </c>
      <c r="C31" t="s">
        <v>41</v>
      </c>
      <c r="D31" t="s">
        <v>21</v>
      </c>
      <c r="E31" s="13">
        <v>136964051.03</v>
      </c>
      <c r="F31">
        <v>1198</v>
      </c>
      <c r="G31">
        <v>1547</v>
      </c>
      <c r="H31">
        <v>1221666.67</v>
      </c>
    </row>
    <row r="32" spans="1:8" ht="15" x14ac:dyDescent="0.25">
      <c r="A32" t="s">
        <v>74</v>
      </c>
      <c r="B32" t="s">
        <v>50</v>
      </c>
      <c r="C32" t="s">
        <v>41</v>
      </c>
      <c r="D32" t="s">
        <v>7</v>
      </c>
      <c r="E32" s="13">
        <v>10040032943.57</v>
      </c>
      <c r="F32">
        <v>52758</v>
      </c>
      <c r="G32">
        <v>64396</v>
      </c>
      <c r="H32">
        <v>-862488777.82000005</v>
      </c>
    </row>
    <row r="33" spans="1:8" ht="15" x14ac:dyDescent="0.25">
      <c r="A33" t="s">
        <v>75</v>
      </c>
      <c r="B33" t="s">
        <v>50</v>
      </c>
      <c r="C33" t="s">
        <v>41</v>
      </c>
      <c r="D33" t="s">
        <v>9</v>
      </c>
      <c r="E33" s="13">
        <v>709766196.97000003</v>
      </c>
      <c r="F33">
        <v>2157</v>
      </c>
      <c r="G33">
        <v>4059</v>
      </c>
      <c r="H33">
        <v>-72999303.510000005</v>
      </c>
    </row>
    <row r="34" spans="1:8" ht="15" x14ac:dyDescent="0.25">
      <c r="A34" t="s">
        <v>76</v>
      </c>
      <c r="B34" t="s">
        <v>50</v>
      </c>
      <c r="C34" t="s">
        <v>41</v>
      </c>
      <c r="D34" t="s">
        <v>11</v>
      </c>
      <c r="E34" s="13">
        <v>587369078.25999999</v>
      </c>
      <c r="F34">
        <v>1967</v>
      </c>
      <c r="G34">
        <v>4194</v>
      </c>
      <c r="H34">
        <v>-144363668.44999999</v>
      </c>
    </row>
    <row r="35" spans="1:8" ht="15" x14ac:dyDescent="0.25">
      <c r="A35" t="s">
        <v>77</v>
      </c>
      <c r="B35" t="s">
        <v>50</v>
      </c>
      <c r="C35" t="s">
        <v>41</v>
      </c>
      <c r="D35" t="s">
        <v>13</v>
      </c>
      <c r="E35" s="13">
        <v>500931303.07999998</v>
      </c>
      <c r="F35">
        <v>645</v>
      </c>
      <c r="G35">
        <v>1909</v>
      </c>
      <c r="H35">
        <v>-35685633.329999998</v>
      </c>
    </row>
    <row r="36" spans="1:8" ht="15" x14ac:dyDescent="0.25">
      <c r="A36" t="s">
        <v>78</v>
      </c>
      <c r="B36" t="s">
        <v>50</v>
      </c>
      <c r="C36" t="s">
        <v>41</v>
      </c>
      <c r="D36" t="s">
        <v>15</v>
      </c>
      <c r="E36" s="13">
        <v>227526560.19999999</v>
      </c>
      <c r="F36">
        <v>1041</v>
      </c>
      <c r="G36">
        <v>2981</v>
      </c>
      <c r="H36">
        <v>-151978666.63999999</v>
      </c>
    </row>
    <row r="37" spans="1:8" ht="15" x14ac:dyDescent="0.25">
      <c r="A37" t="s">
        <v>79</v>
      </c>
      <c r="B37" t="s">
        <v>50</v>
      </c>
      <c r="C37" t="s">
        <v>41</v>
      </c>
      <c r="D37" t="s">
        <v>17</v>
      </c>
      <c r="E37" s="13">
        <v>196490908.66999999</v>
      </c>
      <c r="F37">
        <v>137</v>
      </c>
      <c r="G37">
        <v>400</v>
      </c>
      <c r="H37">
        <v>-7882000</v>
      </c>
    </row>
    <row r="38" spans="1:8" ht="15" x14ac:dyDescent="0.25">
      <c r="A38" t="s">
        <v>80</v>
      </c>
      <c r="B38" t="s">
        <v>50</v>
      </c>
      <c r="C38" t="s">
        <v>41</v>
      </c>
      <c r="D38" t="s">
        <v>19</v>
      </c>
      <c r="E38" s="13">
        <v>1232585536.8</v>
      </c>
      <c r="F38">
        <v>1141</v>
      </c>
      <c r="G38">
        <v>8968</v>
      </c>
      <c r="H38">
        <v>-414102479.44</v>
      </c>
    </row>
    <row r="39" spans="1:8" ht="15" x14ac:dyDescent="0.25">
      <c r="A39" t="s">
        <v>319</v>
      </c>
      <c r="B39" t="s">
        <v>50</v>
      </c>
      <c r="C39" t="s">
        <v>286</v>
      </c>
      <c r="D39" t="s">
        <v>21</v>
      </c>
      <c r="E39" s="13">
        <v>1777082008.3699999</v>
      </c>
      <c r="F39">
        <v>2737</v>
      </c>
      <c r="G39">
        <v>3359</v>
      </c>
      <c r="H39">
        <v>1926666.69</v>
      </c>
    </row>
    <row r="40" spans="1:8" ht="15" x14ac:dyDescent="0.25">
      <c r="A40" t="s">
        <v>312</v>
      </c>
      <c r="B40" t="s">
        <v>50</v>
      </c>
      <c r="C40" t="s">
        <v>286</v>
      </c>
      <c r="D40" t="s">
        <v>7</v>
      </c>
      <c r="E40" s="13">
        <v>25153814187.290001</v>
      </c>
      <c r="F40">
        <v>99786</v>
      </c>
      <c r="G40">
        <v>119887</v>
      </c>
      <c r="H40">
        <v>-359821999.93000001</v>
      </c>
    </row>
    <row r="41" spans="1:8" ht="15" x14ac:dyDescent="0.25">
      <c r="A41" t="s">
        <v>313</v>
      </c>
      <c r="B41" t="s">
        <v>50</v>
      </c>
      <c r="C41" t="s">
        <v>286</v>
      </c>
      <c r="D41" t="s">
        <v>9</v>
      </c>
      <c r="E41" s="13">
        <v>1839521678.1600001</v>
      </c>
      <c r="F41">
        <v>4589</v>
      </c>
      <c r="G41">
        <v>7776</v>
      </c>
      <c r="H41">
        <v>-43252999.780000001</v>
      </c>
    </row>
    <row r="42" spans="1:8" ht="15" x14ac:dyDescent="0.25">
      <c r="A42" t="s">
        <v>314</v>
      </c>
      <c r="B42" t="s">
        <v>50</v>
      </c>
      <c r="C42" t="s">
        <v>286</v>
      </c>
      <c r="D42" t="s">
        <v>11</v>
      </c>
      <c r="E42" s="13">
        <v>1442407647.9400001</v>
      </c>
      <c r="F42">
        <v>2579</v>
      </c>
      <c r="G42">
        <v>4894</v>
      </c>
      <c r="H42">
        <v>-41418000</v>
      </c>
    </row>
    <row r="43" spans="1:8" ht="15" x14ac:dyDescent="0.25">
      <c r="A43" t="s">
        <v>315</v>
      </c>
      <c r="B43" t="s">
        <v>50</v>
      </c>
      <c r="C43" t="s">
        <v>286</v>
      </c>
      <c r="D43" t="s">
        <v>13</v>
      </c>
      <c r="E43" s="13">
        <v>1663775118.22</v>
      </c>
      <c r="F43">
        <v>1675</v>
      </c>
      <c r="G43">
        <v>3979</v>
      </c>
      <c r="H43">
        <v>-27996000</v>
      </c>
    </row>
    <row r="44" spans="1:8" ht="15" x14ac:dyDescent="0.25">
      <c r="A44" t="s">
        <v>316</v>
      </c>
      <c r="B44" t="s">
        <v>50</v>
      </c>
      <c r="C44" t="s">
        <v>286</v>
      </c>
      <c r="D44" t="s">
        <v>15</v>
      </c>
      <c r="E44" s="13">
        <v>1034410547</v>
      </c>
      <c r="F44">
        <v>812</v>
      </c>
      <c r="G44">
        <v>1800</v>
      </c>
      <c r="H44">
        <v>-20366000</v>
      </c>
    </row>
    <row r="45" spans="1:8" ht="15" x14ac:dyDescent="0.25">
      <c r="A45" t="s">
        <v>317</v>
      </c>
      <c r="B45" t="s">
        <v>50</v>
      </c>
      <c r="C45" t="s">
        <v>286</v>
      </c>
      <c r="D45" t="s">
        <v>17</v>
      </c>
      <c r="E45" s="13">
        <v>1559952017.3099999</v>
      </c>
      <c r="F45">
        <v>662</v>
      </c>
      <c r="G45">
        <v>1081</v>
      </c>
      <c r="H45">
        <v>-7002000</v>
      </c>
    </row>
    <row r="46" spans="1:8" ht="15" x14ac:dyDescent="0.25">
      <c r="A46" t="s">
        <v>318</v>
      </c>
      <c r="B46" t="s">
        <v>50</v>
      </c>
      <c r="C46" t="s">
        <v>286</v>
      </c>
      <c r="D46" t="s">
        <v>19</v>
      </c>
      <c r="E46" s="13">
        <v>6847044079.2399998</v>
      </c>
      <c r="F46">
        <v>2205</v>
      </c>
      <c r="G46">
        <v>5272</v>
      </c>
      <c r="H46">
        <v>-64610000</v>
      </c>
    </row>
    <row r="47" spans="1:8" ht="15" x14ac:dyDescent="0.25">
      <c r="A47" t="s">
        <v>90</v>
      </c>
      <c r="B47" t="s">
        <v>83</v>
      </c>
      <c r="C47" t="s">
        <v>6</v>
      </c>
      <c r="D47" t="s">
        <v>21</v>
      </c>
      <c r="E47" s="13">
        <v>85780425.840000004</v>
      </c>
      <c r="F47">
        <v>1202</v>
      </c>
      <c r="G47">
        <v>1247</v>
      </c>
      <c r="H47">
        <v>-30340867.5</v>
      </c>
    </row>
    <row r="48" spans="1:8" ht="15" x14ac:dyDescent="0.25">
      <c r="A48" t="s">
        <v>82</v>
      </c>
      <c r="B48" t="s">
        <v>83</v>
      </c>
      <c r="C48" t="s">
        <v>6</v>
      </c>
      <c r="D48" t="s">
        <v>7</v>
      </c>
      <c r="E48" s="13">
        <v>7673319660.6999998</v>
      </c>
      <c r="F48">
        <v>34793</v>
      </c>
      <c r="G48">
        <v>41112</v>
      </c>
      <c r="H48">
        <v>160063473.35569999</v>
      </c>
    </row>
    <row r="49" spans="1:8" ht="15" x14ac:dyDescent="0.25">
      <c r="A49" t="s">
        <v>84</v>
      </c>
      <c r="B49" t="s">
        <v>83</v>
      </c>
      <c r="C49" t="s">
        <v>6</v>
      </c>
      <c r="D49" t="s">
        <v>9</v>
      </c>
      <c r="E49" s="13">
        <v>466009538.04000002</v>
      </c>
      <c r="F49">
        <v>1098</v>
      </c>
      <c r="G49">
        <v>1863</v>
      </c>
      <c r="H49">
        <v>10095308</v>
      </c>
    </row>
    <row r="50" spans="1:8" ht="15" x14ac:dyDescent="0.25">
      <c r="A50" t="s">
        <v>85</v>
      </c>
      <c r="B50" t="s">
        <v>83</v>
      </c>
      <c r="C50" t="s">
        <v>6</v>
      </c>
      <c r="D50" t="s">
        <v>11</v>
      </c>
      <c r="E50" s="13">
        <v>369305421.98000002</v>
      </c>
      <c r="F50">
        <v>394</v>
      </c>
      <c r="G50">
        <v>835</v>
      </c>
      <c r="H50">
        <v>3946231.5580000002</v>
      </c>
    </row>
    <row r="51" spans="1:8" ht="15" x14ac:dyDescent="0.25">
      <c r="A51" t="s">
        <v>86</v>
      </c>
      <c r="B51" t="s">
        <v>83</v>
      </c>
      <c r="C51" t="s">
        <v>6</v>
      </c>
      <c r="D51" t="s">
        <v>13</v>
      </c>
      <c r="E51" s="13">
        <v>261517162.55000001</v>
      </c>
      <c r="F51">
        <v>262</v>
      </c>
      <c r="G51">
        <v>612</v>
      </c>
      <c r="H51">
        <v>2342233</v>
      </c>
    </row>
    <row r="52" spans="1:8" ht="15" x14ac:dyDescent="0.25">
      <c r="A52" t="s">
        <v>87</v>
      </c>
      <c r="B52" t="s">
        <v>83</v>
      </c>
      <c r="C52" t="s">
        <v>6</v>
      </c>
      <c r="D52" t="s">
        <v>15</v>
      </c>
      <c r="E52" s="13">
        <v>86539694.310000002</v>
      </c>
      <c r="F52">
        <v>100</v>
      </c>
      <c r="G52">
        <v>220</v>
      </c>
      <c r="H52">
        <v>1062155.25</v>
      </c>
    </row>
    <row r="53" spans="1:8" ht="15" x14ac:dyDescent="0.25">
      <c r="A53" t="s">
        <v>88</v>
      </c>
      <c r="B53" t="s">
        <v>83</v>
      </c>
      <c r="C53" t="s">
        <v>6</v>
      </c>
      <c r="D53" t="s">
        <v>17</v>
      </c>
      <c r="E53" s="13">
        <v>94139711</v>
      </c>
      <c r="F53">
        <v>75</v>
      </c>
      <c r="G53">
        <v>128</v>
      </c>
      <c r="H53">
        <v>765710.39950000006</v>
      </c>
    </row>
    <row r="54" spans="1:8" ht="15" x14ac:dyDescent="0.25">
      <c r="A54" t="s">
        <v>89</v>
      </c>
      <c r="B54" t="s">
        <v>83</v>
      </c>
      <c r="C54" t="s">
        <v>6</v>
      </c>
      <c r="D54" t="s">
        <v>19</v>
      </c>
      <c r="E54" s="13">
        <v>336383634.81</v>
      </c>
      <c r="F54">
        <v>175</v>
      </c>
      <c r="G54">
        <v>415</v>
      </c>
      <c r="H54">
        <v>567919</v>
      </c>
    </row>
    <row r="55" spans="1:8" ht="15" x14ac:dyDescent="0.25">
      <c r="A55" t="s">
        <v>98</v>
      </c>
      <c r="B55" t="s">
        <v>83</v>
      </c>
      <c r="C55" t="s">
        <v>23</v>
      </c>
      <c r="D55" t="s">
        <v>21</v>
      </c>
      <c r="E55" s="13">
        <v>20116914.030000001</v>
      </c>
      <c r="F55">
        <v>365</v>
      </c>
      <c r="G55">
        <v>371</v>
      </c>
      <c r="H55">
        <v>-6749109.5</v>
      </c>
    </row>
    <row r="56" spans="1:8" ht="15" x14ac:dyDescent="0.25">
      <c r="A56" t="s">
        <v>91</v>
      </c>
      <c r="B56" t="s">
        <v>83</v>
      </c>
      <c r="C56" t="s">
        <v>23</v>
      </c>
      <c r="D56" t="s">
        <v>7</v>
      </c>
      <c r="E56" s="13">
        <v>1978761682.48</v>
      </c>
      <c r="F56">
        <v>10571</v>
      </c>
      <c r="G56">
        <v>12296</v>
      </c>
      <c r="H56">
        <v>48049295.659999996</v>
      </c>
    </row>
    <row r="57" spans="1:8" ht="15" x14ac:dyDescent="0.25">
      <c r="A57" t="s">
        <v>92</v>
      </c>
      <c r="B57" t="s">
        <v>83</v>
      </c>
      <c r="C57" t="s">
        <v>23</v>
      </c>
      <c r="D57" t="s">
        <v>9</v>
      </c>
      <c r="E57" s="13">
        <v>100248120.48999999</v>
      </c>
      <c r="F57">
        <v>307</v>
      </c>
      <c r="G57">
        <v>547</v>
      </c>
      <c r="H57">
        <v>2494566.4700000002</v>
      </c>
    </row>
    <row r="58" spans="1:8" ht="15" x14ac:dyDescent="0.25">
      <c r="A58" t="s">
        <v>93</v>
      </c>
      <c r="B58" t="s">
        <v>83</v>
      </c>
      <c r="C58" t="s">
        <v>23</v>
      </c>
      <c r="D58" t="s">
        <v>11</v>
      </c>
      <c r="E58" s="13">
        <v>63865338</v>
      </c>
      <c r="F58">
        <v>108</v>
      </c>
      <c r="G58">
        <v>224</v>
      </c>
      <c r="H58">
        <v>811007.90969999996</v>
      </c>
    </row>
    <row r="59" spans="1:8" ht="15" x14ac:dyDescent="0.25">
      <c r="A59" t="s">
        <v>94</v>
      </c>
      <c r="B59" t="s">
        <v>83</v>
      </c>
      <c r="C59" t="s">
        <v>23</v>
      </c>
      <c r="D59" t="s">
        <v>13</v>
      </c>
      <c r="E59" s="13">
        <v>58558384.600000001</v>
      </c>
      <c r="F59">
        <v>74</v>
      </c>
      <c r="G59">
        <v>172</v>
      </c>
      <c r="H59">
        <v>506603</v>
      </c>
    </row>
    <row r="60" spans="1:8" ht="15" x14ac:dyDescent="0.25">
      <c r="A60" t="s">
        <v>95</v>
      </c>
      <c r="B60" t="s">
        <v>83</v>
      </c>
      <c r="C60" t="s">
        <v>23</v>
      </c>
      <c r="D60" t="s">
        <v>15</v>
      </c>
      <c r="E60" s="13">
        <v>15487671</v>
      </c>
      <c r="F60">
        <v>22</v>
      </c>
      <c r="G60">
        <v>44</v>
      </c>
      <c r="H60">
        <v>136624</v>
      </c>
    </row>
    <row r="61" spans="1:8" ht="15" x14ac:dyDescent="0.25">
      <c r="A61" t="s">
        <v>96</v>
      </c>
      <c r="B61" t="s">
        <v>83</v>
      </c>
      <c r="C61" t="s">
        <v>23</v>
      </c>
      <c r="D61" t="s">
        <v>17</v>
      </c>
      <c r="E61" s="13">
        <v>32469685</v>
      </c>
      <c r="F61">
        <v>18</v>
      </c>
      <c r="G61">
        <v>30</v>
      </c>
      <c r="H61">
        <v>87192</v>
      </c>
    </row>
    <row r="62" spans="1:8" ht="15" x14ac:dyDescent="0.25">
      <c r="A62" t="s">
        <v>97</v>
      </c>
      <c r="B62" t="s">
        <v>83</v>
      </c>
      <c r="C62" t="s">
        <v>23</v>
      </c>
      <c r="D62" t="s">
        <v>19</v>
      </c>
      <c r="E62" s="13">
        <v>107677371.98999999</v>
      </c>
      <c r="F62">
        <v>57</v>
      </c>
      <c r="G62">
        <v>88</v>
      </c>
      <c r="H62">
        <v>-182138.5</v>
      </c>
    </row>
    <row r="63" spans="1:8" ht="15" x14ac:dyDescent="0.25">
      <c r="A63" t="s">
        <v>106</v>
      </c>
      <c r="B63" t="s">
        <v>83</v>
      </c>
      <c r="C63" t="s">
        <v>32</v>
      </c>
      <c r="D63" t="s">
        <v>21</v>
      </c>
      <c r="E63" s="13">
        <v>107674349.66</v>
      </c>
      <c r="F63">
        <v>2261</v>
      </c>
      <c r="G63">
        <v>2306</v>
      </c>
      <c r="H63">
        <v>-34057154.5</v>
      </c>
    </row>
    <row r="64" spans="1:8" ht="15" x14ac:dyDescent="0.25">
      <c r="A64" t="s">
        <v>99</v>
      </c>
      <c r="B64" t="s">
        <v>83</v>
      </c>
      <c r="C64" t="s">
        <v>32</v>
      </c>
      <c r="D64" t="s">
        <v>7</v>
      </c>
      <c r="E64" s="13">
        <v>8529883534.3800001</v>
      </c>
      <c r="F64">
        <v>64653</v>
      </c>
      <c r="G64">
        <v>76264</v>
      </c>
      <c r="H64">
        <v>44568376.25</v>
      </c>
    </row>
    <row r="65" spans="1:8" ht="15" x14ac:dyDescent="0.25">
      <c r="A65" t="s">
        <v>100</v>
      </c>
      <c r="B65" t="s">
        <v>83</v>
      </c>
      <c r="C65" t="s">
        <v>32</v>
      </c>
      <c r="D65" t="s">
        <v>9</v>
      </c>
      <c r="E65" s="13">
        <v>562154265.47000003</v>
      </c>
      <c r="F65">
        <v>1896</v>
      </c>
      <c r="G65">
        <v>3230</v>
      </c>
      <c r="H65">
        <v>-2422589.1255000001</v>
      </c>
    </row>
    <row r="66" spans="1:8" ht="15" x14ac:dyDescent="0.25">
      <c r="A66" t="s">
        <v>101</v>
      </c>
      <c r="B66" t="s">
        <v>83</v>
      </c>
      <c r="C66" t="s">
        <v>32</v>
      </c>
      <c r="D66" t="s">
        <v>11</v>
      </c>
      <c r="E66" s="13">
        <v>268154316.28999999</v>
      </c>
      <c r="F66">
        <v>592</v>
      </c>
      <c r="G66">
        <v>1293</v>
      </c>
      <c r="H66">
        <v>-2344026</v>
      </c>
    </row>
    <row r="67" spans="1:8" ht="15" x14ac:dyDescent="0.25">
      <c r="A67" t="s">
        <v>102</v>
      </c>
      <c r="B67" t="s">
        <v>83</v>
      </c>
      <c r="C67" t="s">
        <v>32</v>
      </c>
      <c r="D67" t="s">
        <v>13</v>
      </c>
      <c r="E67" s="13">
        <v>181949766.93000001</v>
      </c>
      <c r="F67">
        <v>417</v>
      </c>
      <c r="G67">
        <v>1028</v>
      </c>
      <c r="H67">
        <v>-3678830.5</v>
      </c>
    </row>
    <row r="68" spans="1:8" ht="15" x14ac:dyDescent="0.25">
      <c r="A68" t="s">
        <v>103</v>
      </c>
      <c r="B68" t="s">
        <v>83</v>
      </c>
      <c r="C68" t="s">
        <v>32</v>
      </c>
      <c r="D68" t="s">
        <v>15</v>
      </c>
      <c r="E68" s="13">
        <v>110377262.08</v>
      </c>
      <c r="F68">
        <v>172</v>
      </c>
      <c r="G68">
        <v>329</v>
      </c>
      <c r="H68">
        <v>-1928926.75</v>
      </c>
    </row>
    <row r="69" spans="1:8" ht="15" x14ac:dyDescent="0.25">
      <c r="A69" t="s">
        <v>104</v>
      </c>
      <c r="B69" t="s">
        <v>83</v>
      </c>
      <c r="C69" t="s">
        <v>32</v>
      </c>
      <c r="D69" t="s">
        <v>17</v>
      </c>
      <c r="E69" s="13">
        <v>49894593</v>
      </c>
      <c r="F69">
        <v>86</v>
      </c>
      <c r="G69">
        <v>160</v>
      </c>
      <c r="H69">
        <v>-1157430.5</v>
      </c>
    </row>
    <row r="70" spans="1:8" ht="15" x14ac:dyDescent="0.25">
      <c r="A70" t="s">
        <v>105</v>
      </c>
      <c r="B70" t="s">
        <v>83</v>
      </c>
      <c r="C70" t="s">
        <v>32</v>
      </c>
      <c r="D70" t="s">
        <v>19</v>
      </c>
      <c r="E70" s="13">
        <v>323461105.31999999</v>
      </c>
      <c r="F70">
        <v>229</v>
      </c>
      <c r="G70">
        <v>577</v>
      </c>
      <c r="H70">
        <v>-8541061.3450000007</v>
      </c>
    </row>
    <row r="71" spans="1:8" ht="15" x14ac:dyDescent="0.25">
      <c r="A71" t="s">
        <v>114</v>
      </c>
      <c r="B71" t="s">
        <v>83</v>
      </c>
      <c r="C71" t="s">
        <v>41</v>
      </c>
      <c r="D71" t="s">
        <v>21</v>
      </c>
      <c r="E71" s="13">
        <v>308453088.22000003</v>
      </c>
      <c r="F71">
        <v>6812</v>
      </c>
      <c r="G71">
        <v>7216</v>
      </c>
      <c r="H71">
        <v>-56757343.549999997</v>
      </c>
    </row>
    <row r="72" spans="1:8" ht="15" x14ac:dyDescent="0.25">
      <c r="A72" t="s">
        <v>107</v>
      </c>
      <c r="B72" t="s">
        <v>83</v>
      </c>
      <c r="C72" t="s">
        <v>41</v>
      </c>
      <c r="D72" t="s">
        <v>7</v>
      </c>
      <c r="E72" s="13">
        <v>29952236318.02</v>
      </c>
      <c r="F72">
        <v>249699</v>
      </c>
      <c r="G72">
        <v>332537</v>
      </c>
      <c r="H72">
        <v>-3164106384.7929001</v>
      </c>
    </row>
    <row r="73" spans="1:8" ht="15" x14ac:dyDescent="0.25">
      <c r="A73" t="s">
        <v>108</v>
      </c>
      <c r="B73" t="s">
        <v>83</v>
      </c>
      <c r="C73" t="s">
        <v>41</v>
      </c>
      <c r="D73" t="s">
        <v>9</v>
      </c>
      <c r="E73" s="13">
        <v>1892682751.8599999</v>
      </c>
      <c r="F73">
        <v>10039</v>
      </c>
      <c r="G73">
        <v>21169</v>
      </c>
      <c r="H73">
        <v>-268991342.56300002</v>
      </c>
    </row>
    <row r="74" spans="1:8" ht="15" x14ac:dyDescent="0.25">
      <c r="A74" t="s">
        <v>109</v>
      </c>
      <c r="B74" t="s">
        <v>83</v>
      </c>
      <c r="C74" t="s">
        <v>41</v>
      </c>
      <c r="D74" t="s">
        <v>11</v>
      </c>
      <c r="E74" s="13">
        <v>1134064615.53</v>
      </c>
      <c r="F74">
        <v>3841</v>
      </c>
      <c r="G74">
        <v>10674</v>
      </c>
      <c r="H74">
        <v>-151915501.66</v>
      </c>
    </row>
    <row r="75" spans="1:8" ht="15" x14ac:dyDescent="0.25">
      <c r="A75" t="s">
        <v>110</v>
      </c>
      <c r="B75" t="s">
        <v>83</v>
      </c>
      <c r="C75" t="s">
        <v>41</v>
      </c>
      <c r="D75" t="s">
        <v>13</v>
      </c>
      <c r="E75" s="13">
        <v>698865900.32000005</v>
      </c>
      <c r="F75">
        <v>2329</v>
      </c>
      <c r="G75">
        <v>8134</v>
      </c>
      <c r="H75">
        <v>-103562510.565</v>
      </c>
    </row>
    <row r="76" spans="1:8" ht="15" x14ac:dyDescent="0.25">
      <c r="A76" t="s">
        <v>111</v>
      </c>
      <c r="B76" t="s">
        <v>83</v>
      </c>
      <c r="C76" t="s">
        <v>41</v>
      </c>
      <c r="D76" t="s">
        <v>15</v>
      </c>
      <c r="E76" s="13">
        <v>301737769.17000002</v>
      </c>
      <c r="F76">
        <v>830</v>
      </c>
      <c r="G76">
        <v>2356</v>
      </c>
      <c r="H76">
        <v>-32849458.704</v>
      </c>
    </row>
    <row r="77" spans="1:8" ht="15" x14ac:dyDescent="0.25">
      <c r="A77" t="s">
        <v>112</v>
      </c>
      <c r="B77" t="s">
        <v>83</v>
      </c>
      <c r="C77" t="s">
        <v>41</v>
      </c>
      <c r="D77" t="s">
        <v>17</v>
      </c>
      <c r="E77" s="13">
        <v>165255439.34999999</v>
      </c>
      <c r="F77">
        <v>419</v>
      </c>
      <c r="G77">
        <v>1585</v>
      </c>
      <c r="H77">
        <v>-23706146.219999999</v>
      </c>
    </row>
    <row r="78" spans="1:8" ht="15" x14ac:dyDescent="0.25">
      <c r="A78" t="s">
        <v>113</v>
      </c>
      <c r="B78" t="s">
        <v>83</v>
      </c>
      <c r="C78" t="s">
        <v>41</v>
      </c>
      <c r="D78" t="s">
        <v>19</v>
      </c>
      <c r="E78" s="13">
        <v>809926907.75</v>
      </c>
      <c r="F78">
        <v>869</v>
      </c>
      <c r="G78">
        <v>4134</v>
      </c>
      <c r="H78">
        <v>-39206698.968800001</v>
      </c>
    </row>
    <row r="79" spans="1:8" ht="15" x14ac:dyDescent="0.25">
      <c r="A79" t="s">
        <v>327</v>
      </c>
      <c r="B79" t="s">
        <v>83</v>
      </c>
      <c r="C79" t="s">
        <v>286</v>
      </c>
      <c r="D79" t="s">
        <v>21</v>
      </c>
      <c r="E79" s="13">
        <v>639619485.51999998</v>
      </c>
      <c r="F79">
        <v>13478</v>
      </c>
      <c r="G79">
        <v>14080</v>
      </c>
      <c r="H79">
        <v>-35811985.789999999</v>
      </c>
    </row>
    <row r="80" spans="1:8" ht="15" x14ac:dyDescent="0.25">
      <c r="A80" t="s">
        <v>320</v>
      </c>
      <c r="B80" t="s">
        <v>83</v>
      </c>
      <c r="C80" t="s">
        <v>286</v>
      </c>
      <c r="D80" t="s">
        <v>7</v>
      </c>
      <c r="E80" s="13">
        <v>55701466480.010002</v>
      </c>
      <c r="F80">
        <v>466496</v>
      </c>
      <c r="G80">
        <v>584078</v>
      </c>
      <c r="H80">
        <v>-1843887063.4093001</v>
      </c>
    </row>
    <row r="81" spans="1:8" ht="15" x14ac:dyDescent="0.25">
      <c r="A81" t="s">
        <v>321</v>
      </c>
      <c r="B81" t="s">
        <v>83</v>
      </c>
      <c r="C81" t="s">
        <v>286</v>
      </c>
      <c r="D81" t="s">
        <v>9</v>
      </c>
      <c r="E81" s="13">
        <v>3488407038.77</v>
      </c>
      <c r="F81">
        <v>17421</v>
      </c>
      <c r="G81">
        <v>32715</v>
      </c>
      <c r="H81">
        <v>-189917398.521</v>
      </c>
    </row>
    <row r="82" spans="1:8" ht="15" x14ac:dyDescent="0.25">
      <c r="A82" t="s">
        <v>322</v>
      </c>
      <c r="B82" t="s">
        <v>83</v>
      </c>
      <c r="C82" t="s">
        <v>286</v>
      </c>
      <c r="D82" t="s">
        <v>11</v>
      </c>
      <c r="E82" s="13">
        <v>2128005250.8900001</v>
      </c>
      <c r="F82">
        <v>5990</v>
      </c>
      <c r="G82">
        <v>14116</v>
      </c>
      <c r="H82">
        <v>-90600614.200000003</v>
      </c>
    </row>
    <row r="83" spans="1:8" ht="15" x14ac:dyDescent="0.25">
      <c r="A83" t="s">
        <v>323</v>
      </c>
      <c r="B83" t="s">
        <v>83</v>
      </c>
      <c r="C83" t="s">
        <v>286</v>
      </c>
      <c r="D83" t="s">
        <v>13</v>
      </c>
      <c r="E83" s="13">
        <v>1333145499.28</v>
      </c>
      <c r="F83">
        <v>4242</v>
      </c>
      <c r="G83">
        <v>10934</v>
      </c>
      <c r="H83">
        <v>-62296108.4551</v>
      </c>
    </row>
    <row r="84" spans="1:8" ht="15" x14ac:dyDescent="0.25">
      <c r="A84" t="s">
        <v>324</v>
      </c>
      <c r="B84" t="s">
        <v>83</v>
      </c>
      <c r="C84" t="s">
        <v>286</v>
      </c>
      <c r="D84" t="s">
        <v>15</v>
      </c>
      <c r="E84" s="13">
        <v>734875469.98000002</v>
      </c>
      <c r="F84">
        <v>1786</v>
      </c>
      <c r="G84">
        <v>3736</v>
      </c>
      <c r="H84">
        <v>-24035664.890000001</v>
      </c>
    </row>
    <row r="85" spans="1:8" ht="15" x14ac:dyDescent="0.25">
      <c r="A85" t="s">
        <v>325</v>
      </c>
      <c r="B85" t="s">
        <v>83</v>
      </c>
      <c r="C85" t="s">
        <v>286</v>
      </c>
      <c r="D85" t="s">
        <v>17</v>
      </c>
      <c r="E85" s="13">
        <v>519869398.38</v>
      </c>
      <c r="F85">
        <v>969</v>
      </c>
      <c r="G85">
        <v>2261</v>
      </c>
      <c r="H85">
        <v>-12628497.220000001</v>
      </c>
    </row>
    <row r="86" spans="1:8" ht="15" x14ac:dyDescent="0.25">
      <c r="A86" t="s">
        <v>326</v>
      </c>
      <c r="B86" t="s">
        <v>83</v>
      </c>
      <c r="C86" t="s">
        <v>286</v>
      </c>
      <c r="D86" t="s">
        <v>19</v>
      </c>
      <c r="E86" s="13">
        <v>2232594090.2199998</v>
      </c>
      <c r="F86">
        <v>2001</v>
      </c>
      <c r="G86">
        <v>5553</v>
      </c>
      <c r="H86">
        <v>-13331636.7906</v>
      </c>
    </row>
    <row r="87" spans="1:8" ht="15" x14ac:dyDescent="0.25">
      <c r="A87" t="s">
        <v>123</v>
      </c>
      <c r="B87" t="s">
        <v>116</v>
      </c>
      <c r="C87" t="s">
        <v>6</v>
      </c>
      <c r="D87" t="s">
        <v>21</v>
      </c>
      <c r="E87" s="13">
        <v>16490800</v>
      </c>
      <c r="F87">
        <v>81</v>
      </c>
      <c r="G87">
        <v>84</v>
      </c>
      <c r="H87">
        <v>-2338200</v>
      </c>
    </row>
    <row r="88" spans="1:8" ht="15" x14ac:dyDescent="0.25">
      <c r="A88" t="s">
        <v>115</v>
      </c>
      <c r="B88" t="s">
        <v>116</v>
      </c>
      <c r="C88" t="s">
        <v>6</v>
      </c>
      <c r="D88" t="s">
        <v>7</v>
      </c>
      <c r="E88" s="13">
        <v>1504512027.1199999</v>
      </c>
      <c r="F88">
        <v>2232</v>
      </c>
      <c r="G88">
        <v>2418</v>
      </c>
      <c r="H88">
        <v>-9612561.3066000007</v>
      </c>
    </row>
    <row r="89" spans="1:8" ht="15" x14ac:dyDescent="0.25">
      <c r="A89" t="s">
        <v>117</v>
      </c>
      <c r="B89" t="s">
        <v>116</v>
      </c>
      <c r="C89" t="s">
        <v>6</v>
      </c>
      <c r="D89" t="s">
        <v>9</v>
      </c>
      <c r="E89" s="13">
        <v>140256798.41999999</v>
      </c>
      <c r="F89">
        <v>109</v>
      </c>
      <c r="G89">
        <v>158</v>
      </c>
      <c r="H89">
        <v>-960716.10140000004</v>
      </c>
    </row>
    <row r="90" spans="1:8" ht="15" x14ac:dyDescent="0.25">
      <c r="A90" t="s">
        <v>118</v>
      </c>
      <c r="B90" t="s">
        <v>116</v>
      </c>
      <c r="C90" t="s">
        <v>6</v>
      </c>
      <c r="D90" t="s">
        <v>11</v>
      </c>
      <c r="E90" s="13">
        <v>80138794.180000007</v>
      </c>
      <c r="F90">
        <v>64</v>
      </c>
      <c r="G90">
        <v>129</v>
      </c>
      <c r="H90">
        <v>-742755.522</v>
      </c>
    </row>
    <row r="91" spans="1:8" ht="15" x14ac:dyDescent="0.25">
      <c r="A91" t="s">
        <v>119</v>
      </c>
      <c r="B91" t="s">
        <v>116</v>
      </c>
      <c r="C91" t="s">
        <v>6</v>
      </c>
      <c r="D91" t="s">
        <v>13</v>
      </c>
      <c r="E91" s="13">
        <v>20424279</v>
      </c>
      <c r="F91">
        <v>30</v>
      </c>
      <c r="G91">
        <v>43</v>
      </c>
      <c r="H91">
        <v>-298348.56089999998</v>
      </c>
    </row>
    <row r="92" spans="1:8" ht="15" x14ac:dyDescent="0.25">
      <c r="A92" t="s">
        <v>120</v>
      </c>
      <c r="B92" t="s">
        <v>116</v>
      </c>
      <c r="C92" t="s">
        <v>6</v>
      </c>
      <c r="D92" t="s">
        <v>15</v>
      </c>
      <c r="E92" s="13">
        <v>29171609.489999998</v>
      </c>
      <c r="F92">
        <v>20</v>
      </c>
      <c r="G92">
        <v>58</v>
      </c>
      <c r="H92">
        <v>-127206.2273</v>
      </c>
    </row>
    <row r="93" spans="1:8" ht="15" x14ac:dyDescent="0.25">
      <c r="A93" t="s">
        <v>121</v>
      </c>
      <c r="B93" t="s">
        <v>116</v>
      </c>
      <c r="C93" t="s">
        <v>6</v>
      </c>
      <c r="D93" t="s">
        <v>17</v>
      </c>
      <c r="E93" s="13">
        <v>4575316</v>
      </c>
      <c r="F93">
        <v>5</v>
      </c>
      <c r="G93">
        <v>10</v>
      </c>
      <c r="H93">
        <v>-18319.452499999999</v>
      </c>
    </row>
    <row r="94" spans="1:8" ht="15" x14ac:dyDescent="0.25">
      <c r="A94" t="s">
        <v>122</v>
      </c>
      <c r="B94" t="s">
        <v>116</v>
      </c>
      <c r="C94" t="s">
        <v>6</v>
      </c>
      <c r="D94" t="s">
        <v>19</v>
      </c>
      <c r="E94" s="13">
        <v>30115985.600000001</v>
      </c>
      <c r="F94">
        <v>22</v>
      </c>
      <c r="G94">
        <v>54</v>
      </c>
      <c r="H94">
        <v>-541360.40590000001</v>
      </c>
    </row>
    <row r="95" spans="1:8" ht="15" x14ac:dyDescent="0.25">
      <c r="A95" t="s">
        <v>131</v>
      </c>
      <c r="B95" t="s">
        <v>116</v>
      </c>
      <c r="C95" t="s">
        <v>23</v>
      </c>
      <c r="D95" t="s">
        <v>21</v>
      </c>
      <c r="E95" s="13">
        <v>3787000</v>
      </c>
      <c r="F95">
        <v>19</v>
      </c>
      <c r="G95">
        <v>20</v>
      </c>
      <c r="H95">
        <v>-381000</v>
      </c>
    </row>
    <row r="96" spans="1:8" ht="15" x14ac:dyDescent="0.25">
      <c r="A96" t="s">
        <v>124</v>
      </c>
      <c r="B96" t="s">
        <v>116</v>
      </c>
      <c r="C96" t="s">
        <v>23</v>
      </c>
      <c r="D96" t="s">
        <v>7</v>
      </c>
      <c r="E96" s="13">
        <v>586385493.49000001</v>
      </c>
      <c r="F96">
        <v>836</v>
      </c>
      <c r="G96">
        <v>884</v>
      </c>
      <c r="H96">
        <v>-2892754.3656000001</v>
      </c>
    </row>
    <row r="97" spans="1:8" ht="15" x14ac:dyDescent="0.25">
      <c r="A97" t="s">
        <v>125</v>
      </c>
      <c r="B97" t="s">
        <v>116</v>
      </c>
      <c r="C97" t="s">
        <v>23</v>
      </c>
      <c r="D97" t="s">
        <v>9</v>
      </c>
      <c r="E97" s="13">
        <v>28241348.48</v>
      </c>
      <c r="F97">
        <v>34</v>
      </c>
      <c r="G97">
        <v>45</v>
      </c>
      <c r="H97">
        <v>-156663.51699999999</v>
      </c>
    </row>
    <row r="98" spans="1:8" ht="15" x14ac:dyDescent="0.25">
      <c r="A98" t="s">
        <v>126</v>
      </c>
      <c r="B98" t="s">
        <v>116</v>
      </c>
      <c r="C98" t="s">
        <v>23</v>
      </c>
      <c r="D98" t="s">
        <v>11</v>
      </c>
      <c r="E98" s="13">
        <v>34915200</v>
      </c>
      <c r="F98">
        <v>21</v>
      </c>
      <c r="G98">
        <v>44</v>
      </c>
      <c r="H98">
        <v>-173480.9093</v>
      </c>
    </row>
    <row r="99" spans="1:8" ht="15" x14ac:dyDescent="0.25">
      <c r="A99" t="s">
        <v>127</v>
      </c>
      <c r="B99" t="s">
        <v>116</v>
      </c>
      <c r="C99" t="s">
        <v>23</v>
      </c>
      <c r="D99" t="s">
        <v>13</v>
      </c>
      <c r="E99" s="13">
        <v>5709700</v>
      </c>
      <c r="F99">
        <v>12</v>
      </c>
      <c r="G99">
        <v>14</v>
      </c>
      <c r="H99">
        <v>-71442.954599999997</v>
      </c>
    </row>
    <row r="100" spans="1:8" ht="15" x14ac:dyDescent="0.25">
      <c r="A100" t="s">
        <v>128</v>
      </c>
      <c r="B100" t="s">
        <v>116</v>
      </c>
      <c r="C100" t="s">
        <v>23</v>
      </c>
      <c r="D100" t="s">
        <v>15</v>
      </c>
      <c r="E100" s="13">
        <v>682703.49</v>
      </c>
      <c r="F100">
        <v>2</v>
      </c>
      <c r="G100">
        <v>4</v>
      </c>
      <c r="H100">
        <v>-8765.3863999999994</v>
      </c>
    </row>
    <row r="101" spans="1:8" ht="15" x14ac:dyDescent="0.25">
      <c r="A101" t="s">
        <v>129</v>
      </c>
      <c r="B101" t="s">
        <v>116</v>
      </c>
      <c r="C101" t="s">
        <v>23</v>
      </c>
      <c r="D101" t="s">
        <v>17</v>
      </c>
      <c r="E101" s="13">
        <v>1484530.1</v>
      </c>
      <c r="F101">
        <v>2</v>
      </c>
      <c r="G101">
        <v>2</v>
      </c>
      <c r="H101">
        <v>-28529.507099999999</v>
      </c>
    </row>
    <row r="102" spans="1:8" ht="15" x14ac:dyDescent="0.25">
      <c r="A102" t="s">
        <v>130</v>
      </c>
      <c r="B102" t="s">
        <v>116</v>
      </c>
      <c r="C102" t="s">
        <v>23</v>
      </c>
      <c r="D102" t="s">
        <v>19</v>
      </c>
      <c r="E102" s="13">
        <v>8030720</v>
      </c>
      <c r="F102">
        <v>5</v>
      </c>
      <c r="G102">
        <v>5</v>
      </c>
      <c r="H102">
        <v>-98122.727299999999</v>
      </c>
    </row>
    <row r="103" spans="1:8" ht="15" x14ac:dyDescent="0.25">
      <c r="A103" t="s">
        <v>139</v>
      </c>
      <c r="B103" t="s">
        <v>116</v>
      </c>
      <c r="C103" t="s">
        <v>32</v>
      </c>
      <c r="D103" t="s">
        <v>21</v>
      </c>
      <c r="E103" s="13">
        <v>31194722.43</v>
      </c>
      <c r="F103">
        <v>151</v>
      </c>
      <c r="G103">
        <v>159</v>
      </c>
      <c r="H103">
        <v>-2595797.5</v>
      </c>
    </row>
    <row r="104" spans="1:8" ht="15" x14ac:dyDescent="0.25">
      <c r="A104" t="s">
        <v>132</v>
      </c>
      <c r="B104" t="s">
        <v>116</v>
      </c>
      <c r="C104" t="s">
        <v>32</v>
      </c>
      <c r="D104" t="s">
        <v>7</v>
      </c>
      <c r="E104" s="13">
        <v>1997499599.6500001</v>
      </c>
      <c r="F104">
        <v>4325</v>
      </c>
      <c r="G104">
        <v>4663</v>
      </c>
      <c r="H104">
        <v>-27617571.888</v>
      </c>
    </row>
    <row r="105" spans="1:8" ht="15" x14ac:dyDescent="0.25">
      <c r="A105" t="s">
        <v>133</v>
      </c>
      <c r="B105" t="s">
        <v>116</v>
      </c>
      <c r="C105" t="s">
        <v>32</v>
      </c>
      <c r="D105" t="s">
        <v>9</v>
      </c>
      <c r="E105" s="13">
        <v>167301194.97999999</v>
      </c>
      <c r="F105">
        <v>143</v>
      </c>
      <c r="G105">
        <v>236</v>
      </c>
      <c r="H105">
        <v>-1822175.9415</v>
      </c>
    </row>
    <row r="106" spans="1:8" ht="15" x14ac:dyDescent="0.25">
      <c r="A106" t="s">
        <v>134</v>
      </c>
      <c r="B106" t="s">
        <v>116</v>
      </c>
      <c r="C106" t="s">
        <v>32</v>
      </c>
      <c r="D106" t="s">
        <v>11</v>
      </c>
      <c r="E106" s="13">
        <v>167051608.44</v>
      </c>
      <c r="F106">
        <v>171</v>
      </c>
      <c r="G106">
        <v>360</v>
      </c>
      <c r="H106">
        <v>-2769976.6924000001</v>
      </c>
    </row>
    <row r="107" spans="1:8" ht="15" x14ac:dyDescent="0.25">
      <c r="A107" t="s">
        <v>135</v>
      </c>
      <c r="B107" t="s">
        <v>116</v>
      </c>
      <c r="C107" t="s">
        <v>32</v>
      </c>
      <c r="D107" t="s">
        <v>13</v>
      </c>
      <c r="E107" s="13">
        <v>41402444.609999999</v>
      </c>
      <c r="F107">
        <v>59</v>
      </c>
      <c r="G107">
        <v>82</v>
      </c>
      <c r="H107">
        <v>-973436.65229999996</v>
      </c>
    </row>
    <row r="108" spans="1:8" ht="15" x14ac:dyDescent="0.25">
      <c r="A108" t="s">
        <v>136</v>
      </c>
      <c r="B108" t="s">
        <v>116</v>
      </c>
      <c r="C108" t="s">
        <v>32</v>
      </c>
      <c r="D108" t="s">
        <v>15</v>
      </c>
      <c r="E108" s="13">
        <v>42505403.469999999</v>
      </c>
      <c r="F108">
        <v>50</v>
      </c>
      <c r="G108">
        <v>152</v>
      </c>
      <c r="H108">
        <v>-1127708.7544</v>
      </c>
    </row>
    <row r="109" spans="1:8" ht="15" x14ac:dyDescent="0.25">
      <c r="A109" t="s">
        <v>137</v>
      </c>
      <c r="B109" t="s">
        <v>116</v>
      </c>
      <c r="C109" t="s">
        <v>32</v>
      </c>
      <c r="D109" t="s">
        <v>17</v>
      </c>
      <c r="E109" s="13">
        <v>857200</v>
      </c>
      <c r="F109">
        <v>5</v>
      </c>
      <c r="G109">
        <v>11</v>
      </c>
      <c r="H109">
        <v>-123350.0001</v>
      </c>
    </row>
    <row r="110" spans="1:8" ht="15" x14ac:dyDescent="0.25">
      <c r="A110" t="s">
        <v>138</v>
      </c>
      <c r="B110" t="s">
        <v>116</v>
      </c>
      <c r="C110" t="s">
        <v>32</v>
      </c>
      <c r="D110" t="s">
        <v>19</v>
      </c>
      <c r="E110" s="13">
        <v>162629781.28</v>
      </c>
      <c r="F110">
        <v>43</v>
      </c>
      <c r="G110">
        <v>205</v>
      </c>
      <c r="H110">
        <v>-2075883.7863</v>
      </c>
    </row>
    <row r="111" spans="1:8" ht="15" x14ac:dyDescent="0.25">
      <c r="A111" t="s">
        <v>147</v>
      </c>
      <c r="B111" t="s">
        <v>116</v>
      </c>
      <c r="C111" t="s">
        <v>41</v>
      </c>
      <c r="D111" t="s">
        <v>21</v>
      </c>
      <c r="E111" s="13">
        <v>78019235.909999996</v>
      </c>
      <c r="F111">
        <v>350</v>
      </c>
      <c r="G111">
        <v>404</v>
      </c>
      <c r="H111">
        <v>-4624513.3068000004</v>
      </c>
    </row>
    <row r="112" spans="1:8" ht="15" x14ac:dyDescent="0.25">
      <c r="A112" t="s">
        <v>140</v>
      </c>
      <c r="B112" t="s">
        <v>116</v>
      </c>
      <c r="C112" t="s">
        <v>41</v>
      </c>
      <c r="D112" t="s">
        <v>7</v>
      </c>
      <c r="E112" s="13">
        <v>11736764825.809999</v>
      </c>
      <c r="F112">
        <v>29657</v>
      </c>
      <c r="G112">
        <v>33822</v>
      </c>
      <c r="H112">
        <v>-555441658.60679996</v>
      </c>
    </row>
    <row r="113" spans="1:8" ht="15" x14ac:dyDescent="0.25">
      <c r="A113" t="s">
        <v>141</v>
      </c>
      <c r="B113" t="s">
        <v>116</v>
      </c>
      <c r="C113" t="s">
        <v>41</v>
      </c>
      <c r="D113" t="s">
        <v>9</v>
      </c>
      <c r="E113" s="13">
        <v>487757113.52999997</v>
      </c>
      <c r="F113">
        <v>1063</v>
      </c>
      <c r="G113">
        <v>2030</v>
      </c>
      <c r="H113">
        <v>-28324583.379299998</v>
      </c>
    </row>
    <row r="114" spans="1:8" ht="15" x14ac:dyDescent="0.25">
      <c r="A114" t="s">
        <v>142</v>
      </c>
      <c r="B114" t="s">
        <v>116</v>
      </c>
      <c r="C114" t="s">
        <v>41</v>
      </c>
      <c r="D114" t="s">
        <v>11</v>
      </c>
      <c r="E114" s="13">
        <v>984681265.57000005</v>
      </c>
      <c r="F114">
        <v>3829</v>
      </c>
      <c r="G114">
        <v>7988</v>
      </c>
      <c r="H114">
        <v>-150263611.2958</v>
      </c>
    </row>
    <row r="115" spans="1:8" ht="15" x14ac:dyDescent="0.25">
      <c r="A115" t="s">
        <v>143</v>
      </c>
      <c r="B115" t="s">
        <v>116</v>
      </c>
      <c r="C115" t="s">
        <v>41</v>
      </c>
      <c r="D115" t="s">
        <v>13</v>
      </c>
      <c r="E115" s="13">
        <v>181204944.58000001</v>
      </c>
      <c r="F115">
        <v>288</v>
      </c>
      <c r="G115">
        <v>763</v>
      </c>
      <c r="H115">
        <v>-8896364.1785000004</v>
      </c>
    </row>
    <row r="116" spans="1:8" ht="15" x14ac:dyDescent="0.25">
      <c r="A116" t="s">
        <v>144</v>
      </c>
      <c r="B116" t="s">
        <v>116</v>
      </c>
      <c r="C116" t="s">
        <v>41</v>
      </c>
      <c r="D116" t="s">
        <v>15</v>
      </c>
      <c r="E116" s="13">
        <v>375363317.18000001</v>
      </c>
      <c r="F116">
        <v>1594</v>
      </c>
      <c r="G116">
        <v>4789</v>
      </c>
      <c r="H116">
        <v>-91142508.641399994</v>
      </c>
    </row>
    <row r="117" spans="1:8" ht="15" x14ac:dyDescent="0.25">
      <c r="A117" t="s">
        <v>145</v>
      </c>
      <c r="B117" t="s">
        <v>116</v>
      </c>
      <c r="C117" t="s">
        <v>41</v>
      </c>
      <c r="D117" t="s">
        <v>17</v>
      </c>
      <c r="E117" s="13">
        <v>24251807</v>
      </c>
      <c r="F117">
        <v>65</v>
      </c>
      <c r="G117">
        <v>205</v>
      </c>
      <c r="H117">
        <v>-2627838.6833000001</v>
      </c>
    </row>
    <row r="118" spans="1:8" ht="15" x14ac:dyDescent="0.25">
      <c r="A118" t="s">
        <v>146</v>
      </c>
      <c r="B118" t="s">
        <v>116</v>
      </c>
      <c r="C118" t="s">
        <v>41</v>
      </c>
      <c r="D118" t="s">
        <v>19</v>
      </c>
      <c r="E118" s="13">
        <v>453105722.82999998</v>
      </c>
      <c r="F118">
        <v>828</v>
      </c>
      <c r="G118">
        <v>4409</v>
      </c>
      <c r="H118">
        <v>-83818452.369299993</v>
      </c>
    </row>
    <row r="119" spans="1:8" ht="15" x14ac:dyDescent="0.25">
      <c r="A119" t="s">
        <v>335</v>
      </c>
      <c r="B119" t="s">
        <v>116</v>
      </c>
      <c r="C119" t="s">
        <v>286</v>
      </c>
      <c r="D119" t="s">
        <v>21</v>
      </c>
      <c r="E119" s="13">
        <v>194044748.40000001</v>
      </c>
      <c r="F119">
        <v>757</v>
      </c>
      <c r="G119">
        <v>806</v>
      </c>
      <c r="H119">
        <v>-4819222.6595000001</v>
      </c>
    </row>
    <row r="120" spans="1:8" ht="15" x14ac:dyDescent="0.25">
      <c r="A120" t="s">
        <v>328</v>
      </c>
      <c r="B120" t="s">
        <v>116</v>
      </c>
      <c r="C120" t="s">
        <v>286</v>
      </c>
      <c r="D120" t="s">
        <v>7</v>
      </c>
      <c r="E120" s="13">
        <v>58080898260.529999</v>
      </c>
      <c r="F120">
        <v>72005</v>
      </c>
      <c r="G120">
        <v>85191</v>
      </c>
      <c r="H120">
        <v>-850122461.15880001</v>
      </c>
    </row>
    <row r="121" spans="1:8" ht="15" x14ac:dyDescent="0.25">
      <c r="A121" t="s">
        <v>329</v>
      </c>
      <c r="B121" t="s">
        <v>116</v>
      </c>
      <c r="C121" t="s">
        <v>286</v>
      </c>
      <c r="D121" t="s">
        <v>9</v>
      </c>
      <c r="E121" s="13">
        <v>4653048856.5900002</v>
      </c>
      <c r="F121">
        <v>3158</v>
      </c>
      <c r="G121">
        <v>7193</v>
      </c>
      <c r="H121">
        <v>-62049022.936700001</v>
      </c>
    </row>
    <row r="122" spans="1:8" ht="15" x14ac:dyDescent="0.25">
      <c r="A122" t="s">
        <v>330</v>
      </c>
      <c r="B122" t="s">
        <v>116</v>
      </c>
      <c r="C122" t="s">
        <v>286</v>
      </c>
      <c r="D122" t="s">
        <v>11</v>
      </c>
      <c r="E122" s="13">
        <v>3546618154.8600001</v>
      </c>
      <c r="F122">
        <v>7617</v>
      </c>
      <c r="G122">
        <v>16616</v>
      </c>
      <c r="H122">
        <v>-207359907.89410001</v>
      </c>
    </row>
    <row r="123" spans="1:8" ht="15" x14ac:dyDescent="0.25">
      <c r="A123" t="s">
        <v>331</v>
      </c>
      <c r="B123" t="s">
        <v>116</v>
      </c>
      <c r="C123" t="s">
        <v>286</v>
      </c>
      <c r="D123" t="s">
        <v>13</v>
      </c>
      <c r="E123" s="13">
        <v>860894343.46000004</v>
      </c>
      <c r="F123">
        <v>870</v>
      </c>
      <c r="G123">
        <v>2295</v>
      </c>
      <c r="H123">
        <v>-18170517.563000001</v>
      </c>
    </row>
    <row r="124" spans="1:8" ht="15" x14ac:dyDescent="0.25">
      <c r="A124" t="s">
        <v>332</v>
      </c>
      <c r="B124" t="s">
        <v>116</v>
      </c>
      <c r="C124" t="s">
        <v>286</v>
      </c>
      <c r="D124" t="s">
        <v>15</v>
      </c>
      <c r="E124" s="13">
        <v>2871193047.8200002</v>
      </c>
      <c r="F124">
        <v>3420</v>
      </c>
      <c r="G124">
        <v>10773</v>
      </c>
      <c r="H124">
        <v>-133528879.7631</v>
      </c>
    </row>
    <row r="125" spans="1:8" ht="15" x14ac:dyDescent="0.25">
      <c r="A125" t="s">
        <v>333</v>
      </c>
      <c r="B125" t="s">
        <v>116</v>
      </c>
      <c r="C125" t="s">
        <v>286</v>
      </c>
      <c r="D125" t="s">
        <v>17</v>
      </c>
      <c r="E125" s="13">
        <v>263820181.59999999</v>
      </c>
      <c r="F125">
        <v>234</v>
      </c>
      <c r="G125">
        <v>656</v>
      </c>
      <c r="H125">
        <v>-5247537.7224000003</v>
      </c>
    </row>
    <row r="126" spans="1:8" ht="15" x14ac:dyDescent="0.25">
      <c r="A126" t="s">
        <v>334</v>
      </c>
      <c r="B126" t="s">
        <v>116</v>
      </c>
      <c r="C126" t="s">
        <v>286</v>
      </c>
      <c r="D126" t="s">
        <v>19</v>
      </c>
      <c r="E126" s="13">
        <v>4970388402.1099997</v>
      </c>
      <c r="F126">
        <v>1919</v>
      </c>
      <c r="G126">
        <v>9221</v>
      </c>
      <c r="H126">
        <v>-114896876.0363</v>
      </c>
    </row>
    <row r="127" spans="1:8" ht="15" x14ac:dyDescent="0.25">
      <c r="A127" t="s">
        <v>156</v>
      </c>
      <c r="B127" t="s">
        <v>149</v>
      </c>
      <c r="C127" t="s">
        <v>6</v>
      </c>
      <c r="D127" t="s">
        <v>21</v>
      </c>
      <c r="E127" s="13">
        <v>44921779.009999998</v>
      </c>
      <c r="F127">
        <v>747</v>
      </c>
      <c r="G127">
        <v>769</v>
      </c>
      <c r="H127">
        <v>-18027158.5</v>
      </c>
    </row>
    <row r="128" spans="1:8" ht="15" x14ac:dyDescent="0.25">
      <c r="A128" t="s">
        <v>148</v>
      </c>
      <c r="B128" t="s">
        <v>149</v>
      </c>
      <c r="C128" t="s">
        <v>6</v>
      </c>
      <c r="D128" t="s">
        <v>7</v>
      </c>
      <c r="E128" s="13">
        <v>1627649389.1500001</v>
      </c>
      <c r="F128">
        <v>9724</v>
      </c>
      <c r="G128">
        <v>11342</v>
      </c>
      <c r="H128">
        <v>46800767</v>
      </c>
    </row>
    <row r="129" spans="1:8" ht="15" x14ac:dyDescent="0.25">
      <c r="A129" t="s">
        <v>150</v>
      </c>
      <c r="B129" t="s">
        <v>149</v>
      </c>
      <c r="C129" t="s">
        <v>6</v>
      </c>
      <c r="D129" t="s">
        <v>9</v>
      </c>
      <c r="E129" s="13">
        <v>48512636</v>
      </c>
      <c r="F129">
        <v>235</v>
      </c>
      <c r="G129">
        <v>499</v>
      </c>
      <c r="H129">
        <v>4058253.5</v>
      </c>
    </row>
    <row r="130" spans="1:8" ht="15" x14ac:dyDescent="0.25">
      <c r="A130" t="s">
        <v>151</v>
      </c>
      <c r="B130" t="s">
        <v>149</v>
      </c>
      <c r="C130" t="s">
        <v>6</v>
      </c>
      <c r="D130" t="s">
        <v>11</v>
      </c>
      <c r="E130" s="13">
        <v>12993732</v>
      </c>
      <c r="F130">
        <v>64</v>
      </c>
      <c r="G130">
        <v>198</v>
      </c>
      <c r="H130">
        <v>1239612</v>
      </c>
    </row>
    <row r="131" spans="1:8" ht="15" x14ac:dyDescent="0.25">
      <c r="A131" t="s">
        <v>152</v>
      </c>
      <c r="B131" t="s">
        <v>149</v>
      </c>
      <c r="C131" t="s">
        <v>6</v>
      </c>
      <c r="D131" t="s">
        <v>13</v>
      </c>
      <c r="E131" s="13">
        <v>35869941</v>
      </c>
      <c r="F131">
        <v>30</v>
      </c>
      <c r="G131">
        <v>107</v>
      </c>
      <c r="H131">
        <v>517658.5</v>
      </c>
    </row>
    <row r="132" spans="1:8" ht="15" x14ac:dyDescent="0.25">
      <c r="A132" t="s">
        <v>153</v>
      </c>
      <c r="B132" t="s">
        <v>149</v>
      </c>
      <c r="C132" t="s">
        <v>6</v>
      </c>
      <c r="D132" t="s">
        <v>15</v>
      </c>
      <c r="E132" s="13">
        <v>6924078</v>
      </c>
      <c r="F132">
        <v>16</v>
      </c>
      <c r="G132">
        <v>47</v>
      </c>
      <c r="H132">
        <v>697342</v>
      </c>
    </row>
    <row r="133" spans="1:8" ht="15" x14ac:dyDescent="0.25">
      <c r="A133" t="s">
        <v>154</v>
      </c>
      <c r="B133" t="s">
        <v>149</v>
      </c>
      <c r="C133" t="s">
        <v>6</v>
      </c>
      <c r="D133" t="s">
        <v>17</v>
      </c>
      <c r="E133" s="13">
        <v>14179450</v>
      </c>
      <c r="F133">
        <v>15</v>
      </c>
      <c r="G133">
        <v>28</v>
      </c>
      <c r="H133">
        <v>291448</v>
      </c>
    </row>
    <row r="134" spans="1:8" ht="15" x14ac:dyDescent="0.25">
      <c r="A134" t="s">
        <v>155</v>
      </c>
      <c r="B134" t="s">
        <v>149</v>
      </c>
      <c r="C134" t="s">
        <v>6</v>
      </c>
      <c r="D134" t="s">
        <v>19</v>
      </c>
      <c r="E134" s="13">
        <v>11167740</v>
      </c>
      <c r="F134">
        <v>15</v>
      </c>
      <c r="G134">
        <v>62</v>
      </c>
      <c r="H134">
        <v>640358.5</v>
      </c>
    </row>
    <row r="135" spans="1:8" ht="15" x14ac:dyDescent="0.25">
      <c r="A135" t="s">
        <v>164</v>
      </c>
      <c r="B135" t="s">
        <v>149</v>
      </c>
      <c r="C135" t="s">
        <v>23</v>
      </c>
      <c r="D135" t="s">
        <v>21</v>
      </c>
      <c r="E135" s="13">
        <v>12314745</v>
      </c>
      <c r="F135">
        <v>251</v>
      </c>
      <c r="G135">
        <v>258</v>
      </c>
      <c r="H135">
        <v>-4479338.5</v>
      </c>
    </row>
    <row r="136" spans="1:8" ht="15" x14ac:dyDescent="0.25">
      <c r="A136" t="s">
        <v>157</v>
      </c>
      <c r="B136" t="s">
        <v>149</v>
      </c>
      <c r="C136" t="s">
        <v>23</v>
      </c>
      <c r="D136" t="s">
        <v>7</v>
      </c>
      <c r="E136" s="13">
        <v>544393349.54999995</v>
      </c>
      <c r="F136">
        <v>3328</v>
      </c>
      <c r="G136">
        <v>3766</v>
      </c>
      <c r="H136">
        <v>15291337</v>
      </c>
    </row>
    <row r="137" spans="1:8" ht="15" x14ac:dyDescent="0.25">
      <c r="A137" t="s">
        <v>158</v>
      </c>
      <c r="B137" t="s">
        <v>149</v>
      </c>
      <c r="C137" t="s">
        <v>23</v>
      </c>
      <c r="D137" t="s">
        <v>9</v>
      </c>
      <c r="E137" s="13">
        <v>10872344</v>
      </c>
      <c r="F137">
        <v>71</v>
      </c>
      <c r="G137">
        <v>144</v>
      </c>
      <c r="H137">
        <v>1103742.5</v>
      </c>
    </row>
    <row r="138" spans="1:8" ht="15" x14ac:dyDescent="0.25">
      <c r="A138" t="s">
        <v>159</v>
      </c>
      <c r="B138" t="s">
        <v>149</v>
      </c>
      <c r="C138" t="s">
        <v>23</v>
      </c>
      <c r="D138" t="s">
        <v>11</v>
      </c>
      <c r="E138" s="13">
        <v>2698786</v>
      </c>
      <c r="F138">
        <v>19</v>
      </c>
      <c r="G138">
        <v>56</v>
      </c>
      <c r="H138">
        <v>413480</v>
      </c>
    </row>
    <row r="139" spans="1:8" ht="15" x14ac:dyDescent="0.25">
      <c r="A139" t="s">
        <v>160</v>
      </c>
      <c r="B139" t="s">
        <v>149</v>
      </c>
      <c r="C139" t="s">
        <v>23</v>
      </c>
      <c r="D139" t="s">
        <v>13</v>
      </c>
      <c r="E139" s="13">
        <v>4691266</v>
      </c>
      <c r="F139">
        <v>15</v>
      </c>
      <c r="G139">
        <v>52</v>
      </c>
      <c r="H139">
        <v>179962.5</v>
      </c>
    </row>
    <row r="140" spans="1:8" ht="15" x14ac:dyDescent="0.25">
      <c r="A140" t="s">
        <v>161</v>
      </c>
      <c r="B140" t="s">
        <v>149</v>
      </c>
      <c r="C140" t="s">
        <v>23</v>
      </c>
      <c r="D140" t="s">
        <v>15</v>
      </c>
      <c r="E140" s="13">
        <v>1027100</v>
      </c>
      <c r="F140">
        <v>7</v>
      </c>
      <c r="G140">
        <v>23</v>
      </c>
      <c r="H140">
        <v>204575</v>
      </c>
    </row>
    <row r="141" spans="1:8" ht="15" x14ac:dyDescent="0.25">
      <c r="A141" t="s">
        <v>162</v>
      </c>
      <c r="B141" t="s">
        <v>149</v>
      </c>
      <c r="C141" t="s">
        <v>23</v>
      </c>
      <c r="D141" t="s">
        <v>17</v>
      </c>
      <c r="E141" s="13">
        <v>1250000</v>
      </c>
      <c r="F141">
        <v>1</v>
      </c>
      <c r="G141">
        <v>1</v>
      </c>
      <c r="H141">
        <v>3740</v>
      </c>
    </row>
    <row r="142" spans="1:8" ht="15" x14ac:dyDescent="0.25">
      <c r="A142" t="s">
        <v>163</v>
      </c>
      <c r="B142" t="s">
        <v>149</v>
      </c>
      <c r="C142" t="s">
        <v>23</v>
      </c>
      <c r="D142" t="s">
        <v>19</v>
      </c>
      <c r="E142" s="13">
        <v>1105245</v>
      </c>
      <c r="F142">
        <v>5</v>
      </c>
      <c r="G142">
        <v>17</v>
      </c>
      <c r="H142">
        <v>124968</v>
      </c>
    </row>
    <row r="143" spans="1:8" ht="15" x14ac:dyDescent="0.25">
      <c r="A143" t="s">
        <v>172</v>
      </c>
      <c r="B143" t="s">
        <v>149</v>
      </c>
      <c r="C143" t="s">
        <v>32</v>
      </c>
      <c r="D143" t="s">
        <v>21</v>
      </c>
      <c r="E143" s="13">
        <v>57265764.549999997</v>
      </c>
      <c r="F143">
        <v>1338</v>
      </c>
      <c r="G143">
        <v>1402</v>
      </c>
      <c r="H143">
        <v>-18896895</v>
      </c>
    </row>
    <row r="144" spans="1:8" ht="15" x14ac:dyDescent="0.25">
      <c r="A144" t="s">
        <v>165</v>
      </c>
      <c r="B144" t="s">
        <v>149</v>
      </c>
      <c r="C144" t="s">
        <v>32</v>
      </c>
      <c r="D144" t="s">
        <v>7</v>
      </c>
      <c r="E144" s="13">
        <v>1803548256.79</v>
      </c>
      <c r="F144">
        <v>18200</v>
      </c>
      <c r="G144">
        <v>20855</v>
      </c>
      <c r="H144">
        <v>16419486</v>
      </c>
    </row>
    <row r="145" spans="1:8" ht="15" x14ac:dyDescent="0.25">
      <c r="A145" t="s">
        <v>166</v>
      </c>
      <c r="B145" t="s">
        <v>149</v>
      </c>
      <c r="C145" t="s">
        <v>32</v>
      </c>
      <c r="D145" t="s">
        <v>9</v>
      </c>
      <c r="E145" s="13">
        <v>62466732.649999999</v>
      </c>
      <c r="F145">
        <v>446</v>
      </c>
      <c r="G145">
        <v>904</v>
      </c>
      <c r="H145">
        <v>1699812</v>
      </c>
    </row>
    <row r="146" spans="1:8" ht="15" x14ac:dyDescent="0.25">
      <c r="A146" t="s">
        <v>167</v>
      </c>
      <c r="B146" t="s">
        <v>149</v>
      </c>
      <c r="C146" t="s">
        <v>32</v>
      </c>
      <c r="D146" t="s">
        <v>11</v>
      </c>
      <c r="E146" s="13">
        <v>24297975</v>
      </c>
      <c r="F146">
        <v>140</v>
      </c>
      <c r="G146">
        <v>396</v>
      </c>
      <c r="H146">
        <v>309010</v>
      </c>
    </row>
    <row r="147" spans="1:8" ht="15" x14ac:dyDescent="0.25">
      <c r="A147" t="s">
        <v>168</v>
      </c>
      <c r="B147" t="s">
        <v>149</v>
      </c>
      <c r="C147" t="s">
        <v>32</v>
      </c>
      <c r="D147" t="s">
        <v>13</v>
      </c>
      <c r="E147" s="13">
        <v>20135742</v>
      </c>
      <c r="F147">
        <v>70</v>
      </c>
      <c r="G147">
        <v>244</v>
      </c>
      <c r="H147">
        <v>-150125.5</v>
      </c>
    </row>
    <row r="148" spans="1:8" ht="15" x14ac:dyDescent="0.25">
      <c r="A148" t="s">
        <v>169</v>
      </c>
      <c r="B148" t="s">
        <v>149</v>
      </c>
      <c r="C148" t="s">
        <v>32</v>
      </c>
      <c r="D148" t="s">
        <v>15</v>
      </c>
      <c r="E148" s="13">
        <v>11235007</v>
      </c>
      <c r="F148">
        <v>38</v>
      </c>
      <c r="G148">
        <v>138</v>
      </c>
      <c r="H148">
        <v>228989</v>
      </c>
    </row>
    <row r="149" spans="1:8" ht="15" x14ac:dyDescent="0.25">
      <c r="A149" t="s">
        <v>170</v>
      </c>
      <c r="B149" t="s">
        <v>149</v>
      </c>
      <c r="C149" t="s">
        <v>32</v>
      </c>
      <c r="D149" t="s">
        <v>17</v>
      </c>
      <c r="E149" s="13">
        <v>7828941</v>
      </c>
      <c r="F149">
        <v>14</v>
      </c>
      <c r="G149">
        <v>42</v>
      </c>
      <c r="H149">
        <v>-103604</v>
      </c>
    </row>
    <row r="150" spans="1:8" ht="15" x14ac:dyDescent="0.25">
      <c r="A150" t="s">
        <v>171</v>
      </c>
      <c r="B150" t="s">
        <v>149</v>
      </c>
      <c r="C150" t="s">
        <v>32</v>
      </c>
      <c r="D150" t="s">
        <v>19</v>
      </c>
      <c r="E150" s="13">
        <v>17006967</v>
      </c>
      <c r="F150">
        <v>31</v>
      </c>
      <c r="G150">
        <v>195</v>
      </c>
      <c r="H150">
        <v>29096</v>
      </c>
    </row>
    <row r="151" spans="1:8" ht="15" x14ac:dyDescent="0.25">
      <c r="A151" t="s">
        <v>180</v>
      </c>
      <c r="B151" t="s">
        <v>149</v>
      </c>
      <c r="C151" t="s">
        <v>41</v>
      </c>
      <c r="D151" t="s">
        <v>21</v>
      </c>
      <c r="E151" s="13">
        <v>146360806.37</v>
      </c>
      <c r="F151">
        <v>3291</v>
      </c>
      <c r="G151">
        <v>3456</v>
      </c>
      <c r="H151">
        <v>-23877697.390000001</v>
      </c>
    </row>
    <row r="152" spans="1:8" ht="15" x14ac:dyDescent="0.25">
      <c r="A152" t="s">
        <v>173</v>
      </c>
      <c r="B152" t="s">
        <v>149</v>
      </c>
      <c r="C152" t="s">
        <v>41</v>
      </c>
      <c r="D152" t="s">
        <v>7</v>
      </c>
      <c r="E152" s="13">
        <v>7802091533.0100002</v>
      </c>
      <c r="F152">
        <v>79018</v>
      </c>
      <c r="G152">
        <v>99154</v>
      </c>
      <c r="H152">
        <v>-760681111.38</v>
      </c>
    </row>
    <row r="153" spans="1:8" ht="15" x14ac:dyDescent="0.25">
      <c r="A153" t="s">
        <v>174</v>
      </c>
      <c r="B153" t="s">
        <v>149</v>
      </c>
      <c r="C153" t="s">
        <v>41</v>
      </c>
      <c r="D153" t="s">
        <v>9</v>
      </c>
      <c r="E153" s="13">
        <v>370870819.37</v>
      </c>
      <c r="F153">
        <v>2993</v>
      </c>
      <c r="G153">
        <v>7073</v>
      </c>
      <c r="H153">
        <v>-72887685.120000005</v>
      </c>
    </row>
    <row r="154" spans="1:8" ht="15" x14ac:dyDescent="0.25">
      <c r="A154" t="s">
        <v>175</v>
      </c>
      <c r="B154" t="s">
        <v>149</v>
      </c>
      <c r="C154" t="s">
        <v>41</v>
      </c>
      <c r="D154" t="s">
        <v>11</v>
      </c>
      <c r="E154" s="13">
        <v>130671413.36</v>
      </c>
      <c r="F154">
        <v>930</v>
      </c>
      <c r="G154">
        <v>3001</v>
      </c>
      <c r="H154">
        <v>-33542972.149999999</v>
      </c>
    </row>
    <row r="155" spans="1:8" ht="15" x14ac:dyDescent="0.25">
      <c r="A155" t="s">
        <v>176</v>
      </c>
      <c r="B155" t="s">
        <v>149</v>
      </c>
      <c r="C155" t="s">
        <v>41</v>
      </c>
      <c r="D155" t="s">
        <v>13</v>
      </c>
      <c r="E155" s="13">
        <v>88789666.790000007</v>
      </c>
      <c r="F155">
        <v>508</v>
      </c>
      <c r="G155">
        <v>2049</v>
      </c>
      <c r="H155">
        <v>-23073628.84</v>
      </c>
    </row>
    <row r="156" spans="1:8" ht="15" x14ac:dyDescent="0.25">
      <c r="A156" t="s">
        <v>177</v>
      </c>
      <c r="B156" t="s">
        <v>149</v>
      </c>
      <c r="C156" t="s">
        <v>41</v>
      </c>
      <c r="D156" t="s">
        <v>15</v>
      </c>
      <c r="E156" s="13">
        <v>40083068.600000001</v>
      </c>
      <c r="F156">
        <v>203</v>
      </c>
      <c r="G156">
        <v>824</v>
      </c>
      <c r="H156">
        <v>-10598355</v>
      </c>
    </row>
    <row r="157" spans="1:8" ht="15" x14ac:dyDescent="0.25">
      <c r="A157" t="s">
        <v>178</v>
      </c>
      <c r="B157" t="s">
        <v>149</v>
      </c>
      <c r="C157" t="s">
        <v>41</v>
      </c>
      <c r="D157" t="s">
        <v>17</v>
      </c>
      <c r="E157" s="13">
        <v>35132751.899999999</v>
      </c>
      <c r="F157">
        <v>93</v>
      </c>
      <c r="G157">
        <v>420</v>
      </c>
      <c r="H157">
        <v>-5051373.5</v>
      </c>
    </row>
    <row r="158" spans="1:8" ht="15" x14ac:dyDescent="0.25">
      <c r="A158" t="s">
        <v>179</v>
      </c>
      <c r="B158" t="s">
        <v>149</v>
      </c>
      <c r="C158" t="s">
        <v>41</v>
      </c>
      <c r="D158" t="s">
        <v>19</v>
      </c>
      <c r="E158" s="13">
        <v>67013446.850000001</v>
      </c>
      <c r="F158">
        <v>135</v>
      </c>
      <c r="G158">
        <v>834</v>
      </c>
      <c r="H158">
        <v>-10008694</v>
      </c>
    </row>
    <row r="159" spans="1:8" ht="15" x14ac:dyDescent="0.25">
      <c r="A159" t="s">
        <v>343</v>
      </c>
      <c r="B159" t="s">
        <v>149</v>
      </c>
      <c r="C159" t="s">
        <v>286</v>
      </c>
      <c r="D159" t="s">
        <v>21</v>
      </c>
      <c r="E159" s="13">
        <v>223011206.06999999</v>
      </c>
      <c r="F159">
        <v>6100</v>
      </c>
      <c r="G159">
        <v>6315</v>
      </c>
      <c r="H159">
        <v>-9415996.4000000004</v>
      </c>
    </row>
    <row r="160" spans="1:8" ht="15" x14ac:dyDescent="0.25">
      <c r="A160" t="s">
        <v>336</v>
      </c>
      <c r="B160" t="s">
        <v>149</v>
      </c>
      <c r="C160" t="s">
        <v>286</v>
      </c>
      <c r="D160" t="s">
        <v>7</v>
      </c>
      <c r="E160" s="13">
        <v>12129819620.66</v>
      </c>
      <c r="F160">
        <v>131642</v>
      </c>
      <c r="G160">
        <v>155135</v>
      </c>
      <c r="H160">
        <v>-424793141.17000002</v>
      </c>
    </row>
    <row r="161" spans="1:8" ht="15" x14ac:dyDescent="0.25">
      <c r="A161" t="s">
        <v>337</v>
      </c>
      <c r="B161" t="s">
        <v>149</v>
      </c>
      <c r="C161" t="s">
        <v>286</v>
      </c>
      <c r="D161" t="s">
        <v>9</v>
      </c>
      <c r="E161" s="13">
        <v>608278239.77999997</v>
      </c>
      <c r="F161">
        <v>4476</v>
      </c>
      <c r="G161">
        <v>8877</v>
      </c>
      <c r="H161">
        <v>-46364005.899999999</v>
      </c>
    </row>
    <row r="162" spans="1:8" ht="15" x14ac:dyDescent="0.25">
      <c r="A162" t="s">
        <v>338</v>
      </c>
      <c r="B162" t="s">
        <v>149</v>
      </c>
      <c r="C162" t="s">
        <v>286</v>
      </c>
      <c r="D162" t="s">
        <v>11</v>
      </c>
      <c r="E162" s="13">
        <v>215141009.24000001</v>
      </c>
      <c r="F162">
        <v>1245</v>
      </c>
      <c r="G162">
        <v>3284</v>
      </c>
      <c r="H162">
        <v>-20738055.66</v>
      </c>
    </row>
    <row r="163" spans="1:8" ht="15" x14ac:dyDescent="0.25">
      <c r="A163" t="s">
        <v>339</v>
      </c>
      <c r="B163" t="s">
        <v>149</v>
      </c>
      <c r="C163" t="s">
        <v>286</v>
      </c>
      <c r="D163" t="s">
        <v>13</v>
      </c>
      <c r="E163" s="13">
        <v>195243478.19</v>
      </c>
      <c r="F163">
        <v>631</v>
      </c>
      <c r="G163">
        <v>2123</v>
      </c>
      <c r="H163">
        <v>-13566786.810000001</v>
      </c>
    </row>
    <row r="164" spans="1:8" ht="15" x14ac:dyDescent="0.25">
      <c r="A164" t="s">
        <v>340</v>
      </c>
      <c r="B164" t="s">
        <v>149</v>
      </c>
      <c r="C164" t="s">
        <v>286</v>
      </c>
      <c r="D164" t="s">
        <v>15</v>
      </c>
      <c r="E164" s="13">
        <v>69250755.099999994</v>
      </c>
      <c r="F164">
        <v>261</v>
      </c>
      <c r="G164">
        <v>830</v>
      </c>
      <c r="H164">
        <v>-5264423</v>
      </c>
    </row>
    <row r="165" spans="1:8" ht="15" x14ac:dyDescent="0.25">
      <c r="A165" t="s">
        <v>341</v>
      </c>
      <c r="B165" t="s">
        <v>149</v>
      </c>
      <c r="C165" t="s">
        <v>286</v>
      </c>
      <c r="D165" t="s">
        <v>17</v>
      </c>
      <c r="E165" s="13">
        <v>74151321.829999998</v>
      </c>
      <c r="F165">
        <v>182</v>
      </c>
      <c r="G165">
        <v>568</v>
      </c>
      <c r="H165">
        <v>-2574918</v>
      </c>
    </row>
    <row r="166" spans="1:8" ht="15" x14ac:dyDescent="0.25">
      <c r="A166" t="s">
        <v>342</v>
      </c>
      <c r="B166" t="s">
        <v>149</v>
      </c>
      <c r="C166" t="s">
        <v>286</v>
      </c>
      <c r="D166" t="s">
        <v>19</v>
      </c>
      <c r="E166" s="13">
        <v>147615974.5</v>
      </c>
      <c r="F166">
        <v>196</v>
      </c>
      <c r="G166">
        <v>1074</v>
      </c>
      <c r="H166">
        <v>-6056293.5</v>
      </c>
    </row>
  </sheetData>
  <sortState ref="A7:H166">
    <sortCondition ref="A7:A166"/>
  </sortState>
  <mergeCells count="1"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 Summary</vt:lpstr>
      <vt:lpstr>BU Breakdown</vt:lpstr>
      <vt:lpstr>Check Sheet</vt:lpstr>
      <vt:lpstr>BU Pivot</vt:lpstr>
      <vt:lpstr>BU Raw Before</vt:lpstr>
      <vt:lpstr>BU Raw 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Refly Maliangkay (Lazada Indonesia)</cp:lastModifiedBy>
  <dcterms:created xsi:type="dcterms:W3CDTF">2017-01-23T12:57:03Z</dcterms:created>
  <dcterms:modified xsi:type="dcterms:W3CDTF">2017-03-21T07:56:26Z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807dd86d-b365-4f67-9719-0d92f3db0210</vt:lpwstr>
  </property>
</Properties>
</file>