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How much for a marginal baby/"/>
    </mc:Choice>
  </mc:AlternateContent>
  <xr:revisionPtr revIDLastSave="157" documentId="13_ncr:1_{B4F62F10-A0DC-4FCB-ADD9-2195D2A28E98}" xr6:coauthVersionLast="47" xr6:coauthVersionMax="47" xr10:uidLastSave="{E34024C7-E273-4707-B679-13E89D1304FD}"/>
  <bookViews>
    <workbookView xWindow="-108" yWindow="-108" windowWidth="23256" windowHeight="12456" xr2:uid="{FC178724-7C78-4EEA-B88D-5EDD94E2D4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6" i="1"/>
  <c r="C35" i="1"/>
  <c r="C37" i="1" s="1"/>
  <c r="C30" i="1"/>
  <c r="C19" i="1"/>
  <c r="C6" i="1"/>
  <c r="C26" i="1" s="1"/>
  <c r="C18" i="1"/>
  <c r="C10" i="1"/>
  <c r="C22" i="1" s="1"/>
  <c r="C38" i="1" l="1"/>
  <c r="C39" i="1" s="1"/>
  <c r="C25" i="1"/>
  <c r="C20" i="1"/>
  <c r="C21" i="1"/>
  <c r="C23" i="1" l="1"/>
  <c r="C28" i="1" s="1"/>
</calcChain>
</file>

<file path=xl/sharedStrings.xml><?xml version="1.0" encoding="utf-8"?>
<sst xmlns="http://schemas.openxmlformats.org/spreadsheetml/2006/main" count="34" uniqueCount="34">
  <si>
    <t>Cost of retrieval</t>
  </si>
  <si>
    <t>Cost of fertilization + implantation</t>
  </si>
  <si>
    <t>Percent increase in # of egg freezing cycles as result of program</t>
  </si>
  <si>
    <t>retrieval rate for women who would've done cycle anyways</t>
  </si>
  <si>
    <t>retrieval rate for women who wouldn't have done cycle anyways</t>
  </si>
  <si>
    <t>percentage of women who fully buy back unused eggs</t>
  </si>
  <si>
    <t>cost of retrieval</t>
  </si>
  <si>
    <t>cost of fertilization and implantation</t>
  </si>
  <si>
    <t>Percent of participants who would've done it anyways</t>
  </si>
  <si>
    <t>overall utilization rate</t>
  </si>
  <si>
    <t>50% clawback</t>
  </si>
  <si>
    <t>100% clawback</t>
  </si>
  <si>
    <t>percentage of women who don’t pay claw back</t>
  </si>
  <si>
    <t>total cost per participant</t>
  </si>
  <si>
    <t>Item</t>
  </si>
  <si>
    <t>marginal # of babies per participant</t>
  </si>
  <si>
    <t>cost per year of storage</t>
  </si>
  <si>
    <t>% of storage costs paid until 40</t>
  </si>
  <si>
    <t>estimated years of subsidized storage per participant</t>
  </si>
  <si>
    <t>cost of storage</t>
  </si>
  <si>
    <t>chance of live birth per attempted fertilization/implantation</t>
  </si>
  <si>
    <t>cost per marginal baby</t>
  </si>
  <si>
    <t># of babies per participant</t>
  </si>
  <si>
    <t>retrieval rate for women who would've done cycle anyways if IVF wasn't free</t>
  </si>
  <si>
    <t>Estimated cost per participant</t>
  </si>
  <si>
    <t>Current # of egg + embryo freezing cycles done annually (for fertility preservation)</t>
  </si>
  <si>
    <t>number of babies born per year</t>
  </si>
  <si>
    <t>number of babies born per year to women aged 35-44</t>
  </si>
  <si>
    <t>number of women aged 35-44</t>
  </si>
  <si>
    <t>additional expected babies per year</t>
  </si>
  <si>
    <t>fertility rate (babies per 1000 women) ages 35-44</t>
  </si>
  <si>
    <t>fertility rate w. program ages 35-44 (assuming all marginal babies born to this age range)</t>
  </si>
  <si>
    <t>Estimated % of women who will freeze eggs or embryos (assuming women do this while 35-39)</t>
  </si>
  <si>
    <t>Number of women 35-39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</si>
</sst>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5" formatCode="0.0%"/>
    <numFmt numFmtId="166" formatCode="0.0000%"/>
    <numFmt numFmtId="167" formatCode="&quot;$&quot;#,##0.00"/>
    <numFmt numFmtId="175" formatCode="#,##0.0_);\(#,##0.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38" fontId="0" fillId="0" borderId="0" xfId="0" applyNumberFormat="1"/>
    <xf numFmtId="9" fontId="0" fillId="0" borderId="0" xfId="2" applyFont="1"/>
    <xf numFmtId="165" fontId="0" fillId="0" borderId="0" xfId="2" applyNumberFormat="1" applyFont="1"/>
    <xf numFmtId="166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9" fontId="0" fillId="0" borderId="4" xfId="0" applyNumberFormat="1" applyBorder="1"/>
    <xf numFmtId="0" fontId="0" fillId="0" borderId="4" xfId="0" applyBorder="1"/>
    <xf numFmtId="0" fontId="2" fillId="0" borderId="6" xfId="0" applyFont="1" applyBorder="1"/>
    <xf numFmtId="0" fontId="2" fillId="0" borderId="1" xfId="0" applyFont="1" applyBorder="1"/>
    <xf numFmtId="0" fontId="0" fillId="0" borderId="6" xfId="0" applyBorder="1"/>
    <xf numFmtId="3" fontId="0" fillId="0" borderId="1" xfId="0" applyNumberFormat="1" applyBorder="1"/>
    <xf numFmtId="167" fontId="2" fillId="0" borderId="1" xfId="1" applyNumberFormat="1" applyFont="1" applyBorder="1"/>
    <xf numFmtId="10" fontId="0" fillId="0" borderId="0" xfId="2" applyNumberFormat="1" applyFont="1"/>
    <xf numFmtId="1" fontId="0" fillId="0" borderId="4" xfId="0" applyNumberFormat="1" applyBorder="1"/>
    <xf numFmtId="1" fontId="0" fillId="0" borderId="5" xfId="0" applyNumberFormat="1" applyBorder="1"/>
    <xf numFmtId="165" fontId="0" fillId="0" borderId="4" xfId="0" applyNumberFormat="1" applyBorder="1"/>
    <xf numFmtId="0" fontId="2" fillId="0" borderId="7" xfId="0" applyFont="1" applyFill="1" applyBorder="1"/>
    <xf numFmtId="0" fontId="0" fillId="0" borderId="2" xfId="0" applyFont="1" applyFill="1" applyBorder="1"/>
    <xf numFmtId="0" fontId="0" fillId="0" borderId="3" xfId="0" applyFill="1" applyBorder="1"/>
    <xf numFmtId="167" fontId="2" fillId="0" borderId="8" xfId="1" applyNumberFormat="1" applyFont="1" applyFill="1" applyBorder="1"/>
    <xf numFmtId="37" fontId="1" fillId="0" borderId="4" xfId="1" applyNumberFormat="1" applyFont="1" applyFill="1" applyBorder="1"/>
    <xf numFmtId="37" fontId="3" fillId="0" borderId="4" xfId="3" applyNumberFormat="1" applyFill="1" applyBorder="1"/>
    <xf numFmtId="37" fontId="1" fillId="0" borderId="0" xfId="1" applyNumberFormat="1" applyFont="1" applyFill="1" applyBorder="1"/>
    <xf numFmtId="0" fontId="0" fillId="0" borderId="2" xfId="0" applyFill="1" applyBorder="1"/>
    <xf numFmtId="175" fontId="1" fillId="0" borderId="4" xfId="1" applyNumberFormat="1" applyFont="1" applyFill="1" applyBorder="1"/>
    <xf numFmtId="175" fontId="1" fillId="0" borderId="5" xfId="1" applyNumberFormat="1" applyFont="1" applyFill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dc.gov/nchs/data/vsrr/vsrr020.pdf" TargetMode="External"/><Relationship Id="rId2" Type="http://schemas.openxmlformats.org/officeDocument/2006/relationships/hyperlink" Target="https://www.cdc.gov/nchs/data/vsrr/vsrr020.pdf" TargetMode="External"/><Relationship Id="rId1" Type="http://schemas.openxmlformats.org/officeDocument/2006/relationships/hyperlink" Target="https://www.sartcorsonline.com/rptCSR_PublicMultYear.aspx?reportingYear=202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dc.gov/nchs/data/vsrr/vsrr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45DC-386B-45B6-88F6-273334E13A9F}">
  <dimension ref="A1:F40"/>
  <sheetViews>
    <sheetView tabSelected="1" zoomScale="70" zoomScaleNormal="70" workbookViewId="0">
      <selection activeCell="I32" sqref="I32"/>
    </sheetView>
  </sheetViews>
  <sheetFormatPr defaultRowHeight="14.4" x14ac:dyDescent="0.3"/>
  <cols>
    <col min="2" max="2" width="84.6640625" bestFit="1" customWidth="1"/>
    <col min="3" max="3" width="26.44140625" bestFit="1" customWidth="1"/>
    <col min="5" max="5" width="72.88671875" bestFit="1" customWidth="1"/>
    <col min="6" max="6" width="11.44140625" bestFit="1" customWidth="1"/>
  </cols>
  <sheetData>
    <row r="1" spans="1:6" x14ac:dyDescent="0.3">
      <c r="A1" s="5"/>
      <c r="B1" s="5"/>
      <c r="C1" s="5"/>
      <c r="D1" s="5"/>
    </row>
    <row r="2" spans="1:6" x14ac:dyDescent="0.3">
      <c r="A2" s="5"/>
      <c r="B2" s="12" t="s">
        <v>14</v>
      </c>
      <c r="C2" s="13" t="s">
        <v>24</v>
      </c>
      <c r="D2" s="5"/>
    </row>
    <row r="3" spans="1:6" x14ac:dyDescent="0.3">
      <c r="A3" s="5"/>
      <c r="B3" s="7" t="s">
        <v>0</v>
      </c>
      <c r="C3" s="9">
        <v>17000</v>
      </c>
      <c r="D3" s="5"/>
      <c r="F3" s="1"/>
    </row>
    <row r="4" spans="1:6" x14ac:dyDescent="0.3">
      <c r="A4" s="5"/>
      <c r="B4" s="7" t="s">
        <v>1</v>
      </c>
      <c r="C4" s="9">
        <v>13000</v>
      </c>
      <c r="D4" s="5"/>
    </row>
    <row r="5" spans="1:6" x14ac:dyDescent="0.3">
      <c r="A5" s="5"/>
      <c r="B5" s="7" t="s">
        <v>2</v>
      </c>
      <c r="C5" s="10">
        <v>2</v>
      </c>
      <c r="D5" s="5"/>
    </row>
    <row r="6" spans="1:6" x14ac:dyDescent="0.3">
      <c r="A6" s="5"/>
      <c r="B6" s="7" t="s">
        <v>8</v>
      </c>
      <c r="C6" s="10">
        <f>100%/(100%+C5)</f>
        <v>0.33333333333333331</v>
      </c>
      <c r="D6" s="5"/>
      <c r="F6" s="1"/>
    </row>
    <row r="7" spans="1:6" x14ac:dyDescent="0.3">
      <c r="A7" s="5"/>
      <c r="B7" s="7" t="s">
        <v>3</v>
      </c>
      <c r="C7" s="10">
        <v>0.6</v>
      </c>
      <c r="D7" s="5"/>
    </row>
    <row r="8" spans="1:6" x14ac:dyDescent="0.3">
      <c r="A8" s="5"/>
      <c r="B8" s="7" t="s">
        <v>4</v>
      </c>
      <c r="C8" s="10">
        <v>0.3</v>
      </c>
      <c r="D8" s="5"/>
      <c r="F8" s="1"/>
    </row>
    <row r="9" spans="1:6" x14ac:dyDescent="0.3">
      <c r="A9" s="5"/>
      <c r="B9" s="7" t="s">
        <v>23</v>
      </c>
      <c r="C9" s="10">
        <v>0.5</v>
      </c>
      <c r="D9" s="5"/>
      <c r="F9" s="1"/>
    </row>
    <row r="10" spans="1:6" x14ac:dyDescent="0.3">
      <c r="A10" s="5"/>
      <c r="B10" s="7" t="s">
        <v>9</v>
      </c>
      <c r="C10" s="10">
        <f>(C7*100%+C8*C5)/(100%+C5)</f>
        <v>0.39999999999999997</v>
      </c>
      <c r="D10" s="5"/>
      <c r="F10" s="3"/>
    </row>
    <row r="11" spans="1:6" hidden="1" x14ac:dyDescent="0.3">
      <c r="A11" s="5"/>
      <c r="B11" s="7" t="s">
        <v>5</v>
      </c>
      <c r="C11" s="10">
        <v>0</v>
      </c>
      <c r="D11" s="5"/>
      <c r="F11" s="17"/>
    </row>
    <row r="12" spans="1:6" hidden="1" x14ac:dyDescent="0.3">
      <c r="A12" s="5"/>
      <c r="B12" s="7" t="s">
        <v>12</v>
      </c>
      <c r="C12" s="10">
        <v>1</v>
      </c>
      <c r="D12" s="5"/>
    </row>
    <row r="13" spans="1:6" x14ac:dyDescent="0.3">
      <c r="A13" s="5"/>
      <c r="B13" s="7" t="s">
        <v>16</v>
      </c>
      <c r="C13" s="11">
        <v>1000</v>
      </c>
      <c r="D13" s="5"/>
      <c r="F13" s="1"/>
    </row>
    <row r="14" spans="1:6" x14ac:dyDescent="0.3">
      <c r="A14" s="5"/>
      <c r="B14" s="7" t="s">
        <v>17</v>
      </c>
      <c r="C14" s="10">
        <v>0.5</v>
      </c>
      <c r="D14" s="5"/>
      <c r="F14" s="4"/>
    </row>
    <row r="15" spans="1:6" x14ac:dyDescent="0.3">
      <c r="A15" s="5"/>
      <c r="B15" s="7" t="s">
        <v>18</v>
      </c>
      <c r="C15" s="11">
        <v>9</v>
      </c>
      <c r="D15" s="5"/>
    </row>
    <row r="16" spans="1:6" x14ac:dyDescent="0.3">
      <c r="A16" s="5"/>
      <c r="B16" s="7" t="s">
        <v>20</v>
      </c>
      <c r="C16" s="10">
        <v>0.6</v>
      </c>
      <c r="D16" s="5"/>
    </row>
    <row r="17" spans="1:6" x14ac:dyDescent="0.3">
      <c r="A17" s="5"/>
      <c r="B17" s="7"/>
      <c r="C17" s="11"/>
      <c r="D17" s="5"/>
    </row>
    <row r="18" spans="1:6" x14ac:dyDescent="0.3">
      <c r="A18" s="5"/>
      <c r="B18" s="7" t="s">
        <v>6</v>
      </c>
      <c r="C18" s="9">
        <f>C3</f>
        <v>17000</v>
      </c>
      <c r="D18" s="5"/>
    </row>
    <row r="19" spans="1:6" x14ac:dyDescent="0.3">
      <c r="A19" s="5"/>
      <c r="B19" s="7" t="s">
        <v>19</v>
      </c>
      <c r="C19" s="9">
        <f>C13*C14*C15</f>
        <v>4500</v>
      </c>
      <c r="D19" s="5"/>
    </row>
    <row r="20" spans="1:6" x14ac:dyDescent="0.3">
      <c r="A20" s="5"/>
      <c r="B20" s="7" t="s">
        <v>7</v>
      </c>
      <c r="C20" s="18">
        <f>C4*C10</f>
        <v>5200</v>
      </c>
      <c r="D20" s="5"/>
    </row>
    <row r="21" spans="1:6" hidden="1" x14ac:dyDescent="0.3">
      <c r="A21" s="5"/>
      <c r="B21" s="7" t="s">
        <v>10</v>
      </c>
      <c r="C21" s="11">
        <f>-(1-C10)*(1-C11)*C18*50%*(1-C12)</f>
        <v>0</v>
      </c>
      <c r="D21" s="5"/>
    </row>
    <row r="22" spans="1:6" hidden="1" x14ac:dyDescent="0.3">
      <c r="A22" s="5"/>
      <c r="B22" s="8" t="s">
        <v>11</v>
      </c>
      <c r="C22" s="19">
        <f>-(1-C10)*(C11)*C18*100%*(1-C12)</f>
        <v>0</v>
      </c>
      <c r="D22" s="5"/>
    </row>
    <row r="23" spans="1:6" x14ac:dyDescent="0.3">
      <c r="A23" s="5"/>
      <c r="B23" s="14" t="s">
        <v>13</v>
      </c>
      <c r="C23" s="15">
        <f>SUM(C18:C22)</f>
        <v>26700</v>
      </c>
      <c r="D23" s="5"/>
    </row>
    <row r="24" spans="1:6" x14ac:dyDescent="0.3">
      <c r="A24" s="5"/>
      <c r="B24" s="7"/>
      <c r="C24" s="11"/>
      <c r="D24" s="5"/>
    </row>
    <row r="25" spans="1:6" x14ac:dyDescent="0.3">
      <c r="A25" s="5"/>
      <c r="B25" s="7" t="s">
        <v>22</v>
      </c>
      <c r="C25" s="10">
        <f>C6*C7*C16+(1-C6)*C8*C16</f>
        <v>0.24</v>
      </c>
      <c r="D25" s="6"/>
    </row>
    <row r="26" spans="1:6" x14ac:dyDescent="0.3">
      <c r="A26" s="5"/>
      <c r="B26" s="7" t="s">
        <v>15</v>
      </c>
      <c r="C26" s="10">
        <f>(1-C6)*C8*C16+C6*(C7-C9)*C16</f>
        <v>0.13999999999999999</v>
      </c>
      <c r="D26" s="5"/>
      <c r="F26" s="2"/>
    </row>
    <row r="27" spans="1:6" x14ac:dyDescent="0.3">
      <c r="A27" s="5"/>
      <c r="B27" s="7"/>
      <c r="C27" s="11"/>
      <c r="D27" s="5"/>
    </row>
    <row r="28" spans="1:6" x14ac:dyDescent="0.3">
      <c r="A28" s="5"/>
      <c r="B28" s="12" t="s">
        <v>21</v>
      </c>
      <c r="C28" s="16">
        <f>C23/C26</f>
        <v>190714.28571428574</v>
      </c>
      <c r="D28" s="5"/>
    </row>
    <row r="29" spans="1:6" x14ac:dyDescent="0.3">
      <c r="A29" s="5"/>
      <c r="B29" s="21"/>
      <c r="C29" s="24"/>
      <c r="D29" s="5"/>
    </row>
    <row r="30" spans="1:6" x14ac:dyDescent="0.3">
      <c r="A30" s="5"/>
      <c r="B30" s="22" t="s">
        <v>25</v>
      </c>
      <c r="C30" s="26">
        <f>24560+10345</f>
        <v>34905</v>
      </c>
      <c r="D30" s="5"/>
    </row>
    <row r="31" spans="1:6" x14ac:dyDescent="0.3">
      <c r="A31" s="5"/>
      <c r="B31" s="22" t="s">
        <v>33</v>
      </c>
      <c r="C31" s="26">
        <f>126138*1000/12.1</f>
        <v>10424628.099173553</v>
      </c>
      <c r="D31" s="5"/>
    </row>
    <row r="32" spans="1:6" x14ac:dyDescent="0.3">
      <c r="A32" s="5"/>
      <c r="B32" s="22" t="s">
        <v>32</v>
      </c>
      <c r="C32" s="20">
        <f>5*(C30/C31)</f>
        <v>1.6741604433239785E-2</v>
      </c>
      <c r="D32" s="5"/>
    </row>
    <row r="33" spans="1:5" x14ac:dyDescent="0.3">
      <c r="A33" s="5"/>
      <c r="B33" s="22"/>
      <c r="C33" s="26"/>
      <c r="D33" s="5"/>
    </row>
    <row r="34" spans="1:5" x14ac:dyDescent="0.3">
      <c r="A34" s="5"/>
      <c r="B34" s="22" t="s">
        <v>26</v>
      </c>
      <c r="C34" s="26">
        <v>3659289</v>
      </c>
      <c r="D34" s="5"/>
    </row>
    <row r="35" spans="1:5" x14ac:dyDescent="0.3">
      <c r="A35" s="5"/>
      <c r="B35" s="22" t="s">
        <v>27</v>
      </c>
      <c r="C35" s="26">
        <f>591377+126138</f>
        <v>717515</v>
      </c>
      <c r="D35" s="5"/>
    </row>
    <row r="36" spans="1:5" x14ac:dyDescent="0.3">
      <c r="A36" s="5"/>
      <c r="B36" s="28" t="s">
        <v>28</v>
      </c>
      <c r="C36" s="25">
        <f>591377*1000/54.2+126138*1000/12.1</f>
        <v>21335642.859321155</v>
      </c>
      <c r="D36" s="5"/>
      <c r="E36" s="27"/>
    </row>
    <row r="37" spans="1:5" x14ac:dyDescent="0.3">
      <c r="A37" s="5"/>
      <c r="B37" s="28" t="s">
        <v>30</v>
      </c>
      <c r="C37" s="29">
        <f>C35/(C36/1000)</f>
        <v>33.629874887342837</v>
      </c>
      <c r="D37" s="5"/>
    </row>
    <row r="38" spans="1:5" x14ac:dyDescent="0.3">
      <c r="A38" s="5"/>
      <c r="B38" s="28" t="s">
        <v>29</v>
      </c>
      <c r="C38" s="25">
        <f>C26*C30*(1+C5)</f>
        <v>14660.099999999999</v>
      </c>
      <c r="D38" s="5"/>
    </row>
    <row r="39" spans="1:5" x14ac:dyDescent="0.3">
      <c r="A39" s="5"/>
      <c r="B39" s="23" t="s">
        <v>31</v>
      </c>
      <c r="C39" s="30">
        <f>(C35+C38)/(C36/1000)</f>
        <v>34.316992688135763</v>
      </c>
      <c r="D39" s="5"/>
    </row>
    <row r="40" spans="1:5" x14ac:dyDescent="0.3">
      <c r="A40" s="5"/>
      <c r="B40" s="5"/>
      <c r="C40" s="5"/>
      <c r="D40" s="5"/>
    </row>
  </sheetData>
  <hyperlinks>
    <hyperlink ref="C30" r:id="rId1" display="https://www.sartcorsonline.com/rptCSR_PublicMultYear.aspx?reportingYear=2021" xr:uid="{B495750F-0A47-4642-A915-33379B4C10D4}"/>
    <hyperlink ref="C34" r:id="rId2" display="https://www.cdc.gov/nchs/data/vsrr/vsrr020.pdf" xr:uid="{E2E09BF3-BAFF-457A-A335-B6E223C33D4D}"/>
    <hyperlink ref="C35" r:id="rId3" display="https://www.cdc.gov/nchs/data/vsrr/vsrr020.pdf" xr:uid="{01119DF0-CB48-47C8-BCA0-72627468A0CB}"/>
    <hyperlink ref="C31" r:id="rId4" display="https://www.cdc.gov/nchs/data/vsrr/vsrr020.pdf" xr:uid="{DEAF80B3-0216-4D04-8EF2-6968A96B3639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2024-01-26T13:12:07Z</dcterms:created>
  <dcterms:modified xsi:type="dcterms:W3CDTF">2024-01-28T23:57:01Z</dcterms:modified>
</cp:coreProperties>
</file>