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How much for a marginal baby/"/>
    </mc:Choice>
  </mc:AlternateContent>
  <xr:revisionPtr revIDLastSave="382" documentId="8_{5D19A6F1-7954-4408-9BDA-6DEC96F9BC6C}" xr6:coauthVersionLast="47" xr6:coauthVersionMax="47" xr10:uidLastSave="{4570F88A-E858-469E-9481-A5B0A16B34A1}"/>
  <bookViews>
    <workbookView xWindow="-108" yWindow="-108" windowWidth="23256" windowHeight="12456" firstSheet="1" activeTab="4" xr2:uid="{A37D4977-2862-44AE-A92C-BAE2E5DE7CA8}"/>
  </bookViews>
  <sheets>
    <sheet name="freeze and thaw cycles in UK" sheetId="1" r:id="rId1"/>
    <sheet name="UK utilization numbers" sheetId="2" r:id="rId2"/>
    <sheet name="Sweden utilization numbers" sheetId="3" r:id="rId3"/>
    <sheet name="modeled utilization" sheetId="4" r:id="rId4"/>
    <sheet name="modeled utilization no growt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5" l="1"/>
  <c r="K14" i="5"/>
  <c r="J10" i="5"/>
  <c r="J9" i="5"/>
  <c r="E10" i="5"/>
  <c r="B16" i="5"/>
  <c r="B14" i="5"/>
  <c r="I2" i="5"/>
  <c r="H2" i="5"/>
  <c r="G2" i="5"/>
  <c r="F2" i="5"/>
  <c r="C6" i="3"/>
  <c r="B6" i="3"/>
  <c r="D9" i="2"/>
  <c r="B9" i="2"/>
  <c r="D13" i="1"/>
  <c r="D14" i="1"/>
  <c r="D15" i="1"/>
  <c r="D16" i="1"/>
  <c r="D17" i="1"/>
  <c r="D12" i="1"/>
  <c r="I2" i="4"/>
  <c r="H2" i="4"/>
  <c r="D7" i="2"/>
  <c r="D14" i="4" s="1"/>
  <c r="D13" i="4"/>
  <c r="D12" i="4"/>
  <c r="D6" i="2"/>
  <c r="C7" i="2"/>
  <c r="C6" i="2"/>
  <c r="G2" i="4"/>
  <c r="F2" i="4"/>
  <c r="D11" i="1"/>
  <c r="B10" i="4" s="1"/>
  <c r="D10" i="4" s="1"/>
  <c r="E10" i="4" s="1"/>
  <c r="D7" i="1"/>
  <c r="B6" i="4" s="1"/>
  <c r="D8" i="1"/>
  <c r="B7" i="4" s="1"/>
  <c r="D9" i="1"/>
  <c r="B8" i="4" s="1"/>
  <c r="D10" i="1"/>
  <c r="B9" i="4" s="1"/>
  <c r="D6" i="1"/>
  <c r="B4" i="3"/>
  <c r="B10" i="2"/>
  <c r="B8" i="2"/>
  <c r="B13" i="5" l="1"/>
  <c r="B15" i="5"/>
  <c r="C5" i="5"/>
  <c r="C6" i="5" s="1"/>
  <c r="C7" i="5" s="1"/>
  <c r="C8" i="5" s="1"/>
  <c r="C9" i="5" s="1"/>
  <c r="C10" i="5" s="1"/>
  <c r="E11" i="5"/>
  <c r="B12" i="5"/>
  <c r="B5" i="4"/>
  <c r="C5" i="4" s="1"/>
  <c r="D16" i="4"/>
  <c r="D15" i="4"/>
  <c r="E12" i="5" l="1"/>
  <c r="E13" i="5" s="1"/>
  <c r="E14" i="5" s="1"/>
  <c r="E15" i="5" s="1"/>
  <c r="E16" i="5" s="1"/>
  <c r="F5" i="5"/>
  <c r="F6" i="5" s="1"/>
  <c r="C11" i="5"/>
  <c r="C12" i="5" s="1"/>
  <c r="C13" i="5" s="1"/>
  <c r="C14" i="5" s="1"/>
  <c r="C15" i="5" s="1"/>
  <c r="C16" i="5" s="1"/>
  <c r="B13" i="4"/>
  <c r="B12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F5" i="4"/>
  <c r="B16" i="4"/>
  <c r="B15" i="4"/>
  <c r="B14" i="4"/>
  <c r="B11" i="4"/>
  <c r="D11" i="4" s="1"/>
  <c r="E11" i="4" s="1"/>
  <c r="G10" i="5" l="1"/>
  <c r="G11" i="5" s="1"/>
  <c r="I15" i="5" s="1"/>
  <c r="H9" i="5"/>
  <c r="F7" i="5"/>
  <c r="H10" i="5"/>
  <c r="G12" i="5"/>
  <c r="G13" i="5" s="1"/>
  <c r="G14" i="5" s="1"/>
  <c r="G15" i="5" s="1"/>
  <c r="E12" i="4"/>
  <c r="E13" i="4" s="1"/>
  <c r="E14" i="4" s="1"/>
  <c r="E15" i="4" s="1"/>
  <c r="E16" i="4" s="1"/>
  <c r="F6" i="4"/>
  <c r="H9" i="4" s="1"/>
  <c r="J9" i="4" s="1"/>
  <c r="I14" i="5" l="1"/>
  <c r="G18" i="5"/>
  <c r="F8" i="5"/>
  <c r="F9" i="5" s="1"/>
  <c r="F10" i="5" s="1"/>
  <c r="H18" i="5"/>
  <c r="F7" i="4"/>
  <c r="H10" i="4"/>
  <c r="G10" i="4"/>
  <c r="I18" i="5" l="1"/>
  <c r="F18" i="5"/>
  <c r="G11" i="4"/>
  <c r="H18" i="4"/>
  <c r="J10" i="4"/>
  <c r="F8" i="4"/>
  <c r="F9" i="4" s="1"/>
  <c r="F10" i="4" s="1"/>
  <c r="G5" i="2"/>
  <c r="F18" i="4" l="1"/>
  <c r="G12" i="4"/>
  <c r="G13" i="4" s="1"/>
  <c r="G14" i="4" s="1"/>
  <c r="I15" i="4"/>
  <c r="K15" i="4" s="1"/>
  <c r="I14" i="4"/>
  <c r="G6" i="2"/>
  <c r="G15" i="4" l="1"/>
  <c r="G18" i="4" s="1"/>
  <c r="K14" i="4"/>
  <c r="I18" i="4"/>
  <c r="G7" i="2" l="1"/>
  <c r="G8" i="2" s="1"/>
</calcChain>
</file>

<file path=xl/sharedStrings.xml><?xml version="1.0" encoding="utf-8"?>
<sst xmlns="http://schemas.openxmlformats.org/spreadsheetml/2006/main" count="63" uniqueCount="41">
  <si>
    <t>https://obgyn.onlinelibrary.wiley.com/doi/10.1111/1471-0528.16025</t>
  </si>
  <si>
    <t>source</t>
  </si>
  <si>
    <t>Numbers below are eyeballed from Appendix II</t>
  </si>
  <si>
    <t># of egg freezing cycles</t>
  </si>
  <si>
    <t>2016-2017</t>
  </si>
  <si>
    <t>2018-2019</t>
  </si>
  <si>
    <t>2020-2022</t>
  </si>
  <si>
    <t>Total</t>
  </si>
  <si>
    <t>Source</t>
  </si>
  <si>
    <t>https://www.ncbi.nlm.nih.gov/pmc/articles/PMC10342811/#B3-jcm-12-04182</t>
  </si>
  <si>
    <t># of patients</t>
  </si>
  <si>
    <t>numbers below are eyeballed from Figure 2 - note the bars don't seem to add to 184</t>
  </si>
  <si>
    <t>total from eyeballed numbers</t>
  </si>
  <si>
    <t># of retrievals</t>
  </si>
  <si>
    <t>average # of years frozen (from Table 1)</t>
  </si>
  <si>
    <t>https://obgyn.onlinelibrary.wiley.com/doi/full/10.1111/aogs.13673</t>
  </si>
  <si>
    <t>Note - below is the numbers for women who did elective egg freezing, ignoring the 16 who did it for medical purposes</t>
  </si>
  <si>
    <t># of egg freezing cycles (estimated by excluding the 16 women who froze eggs for medical purposes and considering the avg. of 1.5 cycles per woman)</t>
  </si>
  <si>
    <t>Freezing cycles</t>
  </si>
  <si>
    <t>Annual increase</t>
  </si>
  <si>
    <t>Sweden - modeled freeze cycles</t>
  </si>
  <si>
    <t>total</t>
  </si>
  <si>
    <t>years</t>
  </si>
  <si>
    <t>UK - modeled freeze cycles</t>
  </si>
  <si>
    <t>Modeled # of freezing cycles</t>
  </si>
  <si>
    <t>Assumed growth in # of cycles per year: assumed 38% growth per year after 2016 (avg of growth per year from 2010-2016) - based on freeze and thaw cycles in UK</t>
  </si>
  <si>
    <t>growth in # of cycles</t>
  </si>
  <si>
    <t>Assumed growth in # of cycles per year - based on freeze and thaw cycles in UK for 2016-2017 and on UK utilization numbers for 2018-2022</t>
  </si>
  <si>
    <t># of cycles per year if started with 100 in 2010 based on column B growth</t>
  </si>
  <si>
    <t># of cycles per year if started with 100 in 2015 based on column D growth</t>
  </si>
  <si>
    <t>per year estimate of growth in # of cycles</t>
  </si>
  <si>
    <t>Sweden - modeled retrievals</t>
  </si>
  <si>
    <t>UK - modeled retrievals</t>
  </si>
  <si>
    <t>2011-2016 (6 years, Aug 2011-Aug 2017, treating as full years from 2011 to 2016)</t>
  </si>
  <si>
    <t>2016-2021 (6 years, Jan 2016-March 2022, treating as full years from 2016 to 2021)</t>
  </si>
  <si>
    <t>Assume all retrievals occur 4 years after freezing</t>
  </si>
  <si>
    <t>Swedish - modeled utilization rate</t>
  </si>
  <si>
    <t>UK - modeled utilization rate</t>
  </si>
  <si>
    <t>% of retrievals</t>
  </si>
  <si>
    <t>% retrievals</t>
  </si>
  <si>
    <t>Assume no growth in # of cycles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</si>
</sst>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9" fontId="0" fillId="0" borderId="0" xfId="0" applyNumberFormat="1"/>
    <xf numFmtId="9" fontId="2" fillId="0" borderId="0" xfId="0" applyNumberFormat="1" applyFont="1"/>
    <xf numFmtId="1" fontId="0" fillId="0" borderId="0" xfId="0" applyNumberFormat="1"/>
    <xf numFmtId="9" fontId="0" fillId="0" borderId="2" xfId="1" applyFont="1" applyBorder="1"/>
    <xf numFmtId="1" fontId="0" fillId="0" borderId="2" xfId="0" applyNumberFormat="1" applyBorder="1"/>
    <xf numFmtId="9" fontId="0" fillId="2" borderId="0" xfId="1" applyFont="1" applyFill="1"/>
    <xf numFmtId="0" fontId="0" fillId="3" borderId="0" xfId="0" applyFill="1"/>
    <xf numFmtId="0" fontId="3" fillId="3" borderId="0" xfId="0" applyFont="1" applyFill="1"/>
    <xf numFmtId="0" fontId="0" fillId="3" borderId="2" xfId="0" applyFill="1" applyBorder="1"/>
    <xf numFmtId="0" fontId="2" fillId="3" borderId="0" xfId="0" applyFont="1" applyFill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23</xdr:col>
      <xdr:colOff>53926</xdr:colOff>
      <xdr:row>20</xdr:row>
      <xdr:rowOff>167892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CDB8B9-E20B-E206-9B4F-B87D169D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48640"/>
          <a:ext cx="6759526" cy="29110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18</xdr:col>
      <xdr:colOff>207427</xdr:colOff>
      <xdr:row>15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24C034-38D0-EEE5-BCE9-3570F90D7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4540" y="182880"/>
          <a:ext cx="6303427" cy="42291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19</xdr:row>
      <xdr:rowOff>0</xdr:rowOff>
    </xdr:from>
    <xdr:to>
      <xdr:col>18</xdr:col>
      <xdr:colOff>105453</xdr:colOff>
      <xdr:row>41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EE3C68-47D7-C2E8-47F8-071786864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4541" y="4572000"/>
          <a:ext cx="6201452" cy="40995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571-88EE-4858-B23C-B70739476D1F}">
  <dimension ref="A1:E19"/>
  <sheetViews>
    <sheetView workbookViewId="0">
      <selection activeCell="D11" sqref="D11"/>
    </sheetView>
  </sheetViews>
  <sheetFormatPr defaultRowHeight="14.4" x14ac:dyDescent="0.3"/>
  <cols>
    <col min="1" max="1" width="8.88671875" style="14"/>
    <col min="3" max="3" width="13.109375" customWidth="1"/>
    <col min="4" max="4" width="13.88671875" bestFit="1" customWidth="1"/>
    <col min="5" max="5" width="11.44140625" customWidth="1"/>
  </cols>
  <sheetData>
    <row r="1" spans="2:5" x14ac:dyDescent="0.3">
      <c r="B1" s="1" t="s">
        <v>1</v>
      </c>
      <c r="C1" s="1" t="s">
        <v>0</v>
      </c>
      <c r="D1" s="1"/>
    </row>
    <row r="2" spans="2:5" x14ac:dyDescent="0.3">
      <c r="B2" s="17"/>
      <c r="C2" s="17"/>
      <c r="D2" s="17"/>
      <c r="E2" s="14"/>
    </row>
    <row r="3" spans="2:5" x14ac:dyDescent="0.3">
      <c r="B3" s="15" t="s">
        <v>2</v>
      </c>
      <c r="D3" s="14"/>
      <c r="E3" s="14"/>
    </row>
    <row r="4" spans="2:5" x14ac:dyDescent="0.3">
      <c r="B4" s="16"/>
      <c r="C4" s="16" t="s">
        <v>18</v>
      </c>
      <c r="D4" s="16" t="s">
        <v>19</v>
      </c>
      <c r="E4" s="14"/>
    </row>
    <row r="5" spans="2:5" x14ac:dyDescent="0.3">
      <c r="B5">
        <v>2010</v>
      </c>
      <c r="C5">
        <v>200</v>
      </c>
      <c r="E5" s="14"/>
    </row>
    <row r="6" spans="2:5" x14ac:dyDescent="0.3">
      <c r="B6">
        <v>2011</v>
      </c>
      <c r="C6">
        <v>300</v>
      </c>
      <c r="D6" s="2">
        <f>C6/C5-1</f>
        <v>0.5</v>
      </c>
      <c r="E6" s="14"/>
    </row>
    <row r="7" spans="2:5" x14ac:dyDescent="0.3">
      <c r="B7">
        <v>2012</v>
      </c>
      <c r="C7">
        <v>400</v>
      </c>
      <c r="D7" s="2">
        <f t="shared" ref="D7:D10" si="0">C7/C6-1</f>
        <v>0.33333333333333326</v>
      </c>
      <c r="E7" s="14"/>
    </row>
    <row r="8" spans="2:5" x14ac:dyDescent="0.3">
      <c r="B8">
        <v>2013</v>
      </c>
      <c r="C8">
        <v>600</v>
      </c>
      <c r="D8" s="2">
        <f t="shared" si="0"/>
        <v>0.5</v>
      </c>
      <c r="E8" s="14"/>
    </row>
    <row r="9" spans="2:5" x14ac:dyDescent="0.3">
      <c r="B9">
        <v>2014</v>
      </c>
      <c r="C9">
        <v>700</v>
      </c>
      <c r="D9" s="2">
        <f t="shared" si="0"/>
        <v>0.16666666666666674</v>
      </c>
      <c r="E9" s="14"/>
    </row>
    <row r="10" spans="2:5" x14ac:dyDescent="0.3">
      <c r="B10">
        <v>2015</v>
      </c>
      <c r="C10">
        <v>1100</v>
      </c>
      <c r="D10" s="2">
        <f t="shared" si="0"/>
        <v>0.5714285714285714</v>
      </c>
      <c r="E10" s="14"/>
    </row>
    <row r="11" spans="2:5" x14ac:dyDescent="0.3">
      <c r="B11">
        <v>2016</v>
      </c>
      <c r="C11">
        <v>1300</v>
      </c>
      <c r="D11" s="2">
        <f>C11/C10-1</f>
        <v>0.18181818181818188</v>
      </c>
      <c r="E11" s="14"/>
    </row>
    <row r="12" spans="2:5" x14ac:dyDescent="0.3">
      <c r="B12">
        <v>2017</v>
      </c>
      <c r="D12" s="9">
        <f>(C$11/C$5)^(1/6)-1</f>
        <v>0.36610965094630088</v>
      </c>
      <c r="E12" s="14"/>
    </row>
    <row r="13" spans="2:5" x14ac:dyDescent="0.3">
      <c r="B13">
        <v>2018</v>
      </c>
      <c r="C13" s="2"/>
      <c r="D13" s="9">
        <f t="shared" ref="D13:D17" si="1">(C$11/C$5)^(1/6)-1</f>
        <v>0.36610965094630088</v>
      </c>
      <c r="E13" s="14"/>
    </row>
    <row r="14" spans="2:5" x14ac:dyDescent="0.3">
      <c r="B14">
        <v>2019</v>
      </c>
      <c r="D14" s="9">
        <f t="shared" si="1"/>
        <v>0.36610965094630088</v>
      </c>
      <c r="E14" s="14"/>
    </row>
    <row r="15" spans="2:5" x14ac:dyDescent="0.3">
      <c r="B15">
        <v>2020</v>
      </c>
      <c r="D15" s="9">
        <f t="shared" si="1"/>
        <v>0.36610965094630088</v>
      </c>
      <c r="E15" s="14"/>
    </row>
    <row r="16" spans="2:5" x14ac:dyDescent="0.3">
      <c r="B16">
        <v>2021</v>
      </c>
      <c r="D16" s="9">
        <f t="shared" si="1"/>
        <v>0.36610965094630088</v>
      </c>
      <c r="E16" s="14"/>
    </row>
    <row r="17" spans="2:5" x14ac:dyDescent="0.3">
      <c r="B17">
        <v>2022</v>
      </c>
      <c r="D17" s="9">
        <f t="shared" si="1"/>
        <v>0.36610965094630088</v>
      </c>
      <c r="E17" s="14"/>
    </row>
    <row r="18" spans="2:5" x14ac:dyDescent="0.3">
      <c r="B18" s="14"/>
      <c r="C18" s="14"/>
      <c r="D18" s="14"/>
      <c r="E18" s="14"/>
    </row>
    <row r="19" spans="2:5" x14ac:dyDescent="0.3">
      <c r="B19" s="14"/>
      <c r="C19" s="14"/>
      <c r="D19" s="14"/>
      <c r="E19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AB0D-B755-4759-B16E-C8274E1B59F8}">
  <dimension ref="A1:G10"/>
  <sheetViews>
    <sheetView workbookViewId="0">
      <selection activeCell="D6" sqref="D6"/>
    </sheetView>
  </sheetViews>
  <sheetFormatPr defaultRowHeight="14.4" x14ac:dyDescent="0.3"/>
  <cols>
    <col min="1" max="1" width="25.44140625" bestFit="1" customWidth="1"/>
    <col min="2" max="2" width="14.88671875" bestFit="1" customWidth="1"/>
    <col min="3" max="5" width="14.88671875" customWidth="1"/>
    <col min="6" max="6" width="12.21875" bestFit="1" customWidth="1"/>
    <col min="7" max="7" width="15" customWidth="1"/>
  </cols>
  <sheetData>
    <row r="1" spans="1:7" x14ac:dyDescent="0.3">
      <c r="A1" s="1" t="s">
        <v>8</v>
      </c>
      <c r="B1" s="1" t="s">
        <v>9</v>
      </c>
      <c r="C1" s="1"/>
      <c r="D1" s="1"/>
    </row>
    <row r="2" spans="1:7" ht="57.6" x14ac:dyDescent="0.3">
      <c r="A2" s="5"/>
      <c r="B2" s="6" t="s">
        <v>3</v>
      </c>
      <c r="C2" s="6" t="s">
        <v>26</v>
      </c>
      <c r="D2" s="6" t="s">
        <v>30</v>
      </c>
      <c r="E2" s="5" t="s">
        <v>10</v>
      </c>
      <c r="F2" s="5" t="s">
        <v>13</v>
      </c>
      <c r="G2" s="6" t="s">
        <v>24</v>
      </c>
    </row>
    <row r="3" spans="1:7" x14ac:dyDescent="0.3">
      <c r="A3" s="5" t="s">
        <v>7</v>
      </c>
      <c r="B3" s="6">
        <v>184</v>
      </c>
      <c r="C3" s="6"/>
      <c r="D3" s="6"/>
      <c r="E3" s="7">
        <v>167</v>
      </c>
      <c r="F3" s="7">
        <v>27</v>
      </c>
      <c r="G3" s="5"/>
    </row>
    <row r="4" spans="1:7" ht="86.4" x14ac:dyDescent="0.3">
      <c r="A4" s="5"/>
      <c r="B4" s="6" t="s">
        <v>11</v>
      </c>
      <c r="C4" s="6"/>
      <c r="D4" s="6"/>
      <c r="E4" s="7"/>
      <c r="F4" s="7"/>
      <c r="G4" s="5"/>
    </row>
    <row r="5" spans="1:7" x14ac:dyDescent="0.3">
      <c r="A5" t="s">
        <v>4</v>
      </c>
      <c r="B5">
        <v>40</v>
      </c>
      <c r="G5" s="10">
        <f>'modeled utilization'!G10+'modeled utilization'!G11</f>
        <v>42.41150038681424</v>
      </c>
    </row>
    <row r="6" spans="1:7" x14ac:dyDescent="0.3">
      <c r="A6" t="s">
        <v>5</v>
      </c>
      <c r="B6">
        <v>57</v>
      </c>
      <c r="C6" s="2">
        <f>B6/B5-1</f>
        <v>0.42500000000000004</v>
      </c>
      <c r="D6" s="2">
        <f>(1+C6)^(1/2)-1</f>
        <v>0.19373363863133219</v>
      </c>
      <c r="G6" s="10">
        <f>'modeled utilization'!G12+'modeled utilization'!G13</f>
        <v>64.311107647837616</v>
      </c>
    </row>
    <row r="7" spans="1:7" x14ac:dyDescent="0.3">
      <c r="A7" t="s">
        <v>6</v>
      </c>
      <c r="B7">
        <v>65</v>
      </c>
      <c r="C7" s="11">
        <f>B7/B6-1</f>
        <v>0.14035087719298245</v>
      </c>
      <c r="D7" s="11">
        <f>(1+C7)^(1/2)-1</f>
        <v>6.7872125861978994E-2</v>
      </c>
      <c r="E7" s="5"/>
      <c r="F7" s="5"/>
      <c r="G7" s="12">
        <f>'modeled utilization'!G14+'modeled utilization'!G15</f>
        <v>77.277391965348158</v>
      </c>
    </row>
    <row r="8" spans="1:7" x14ac:dyDescent="0.3">
      <c r="A8" s="4" t="s">
        <v>12</v>
      </c>
      <c r="B8" s="4">
        <f>SUM(B5:B7)</f>
        <v>162</v>
      </c>
      <c r="G8" s="4">
        <f>SUM(G5:G7)</f>
        <v>184</v>
      </c>
    </row>
    <row r="9" spans="1:7" x14ac:dyDescent="0.3">
      <c r="A9" s="18" t="s">
        <v>38</v>
      </c>
      <c r="B9" s="2">
        <f>F3/B3</f>
        <v>0.14673913043478262</v>
      </c>
      <c r="D9" s="2">
        <f>F3/E3</f>
        <v>0.16167664670658682</v>
      </c>
    </row>
    <row r="10" spans="1:7" ht="28.8" x14ac:dyDescent="0.3">
      <c r="A10" s="3" t="s">
        <v>14</v>
      </c>
      <c r="B10">
        <f>5.46*0.56+3.1*0.44</f>
        <v>4.4216000000000006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43D4-4BE6-416D-BCA4-AA20E306B904}">
  <dimension ref="A1:D6"/>
  <sheetViews>
    <sheetView workbookViewId="0">
      <selection activeCell="B6" sqref="B6:C6"/>
    </sheetView>
  </sheetViews>
  <sheetFormatPr defaultRowHeight="14.4" x14ac:dyDescent="0.3"/>
  <cols>
    <col min="2" max="4" width="14.88671875" customWidth="1"/>
  </cols>
  <sheetData>
    <row r="1" spans="1:4" x14ac:dyDescent="0.3">
      <c r="A1" s="1" t="s">
        <v>8</v>
      </c>
      <c r="B1" s="1" t="s">
        <v>15</v>
      </c>
    </row>
    <row r="2" spans="1:4" x14ac:dyDescent="0.3">
      <c r="A2" s="1" t="s">
        <v>16</v>
      </c>
      <c r="B2" s="1"/>
    </row>
    <row r="3" spans="1:4" ht="172.8" x14ac:dyDescent="0.3">
      <c r="A3" s="5"/>
      <c r="B3" s="6" t="s">
        <v>17</v>
      </c>
      <c r="C3" s="5" t="s">
        <v>10</v>
      </c>
      <c r="D3" s="5" t="s">
        <v>13</v>
      </c>
    </row>
    <row r="4" spans="1:4" x14ac:dyDescent="0.3">
      <c r="A4" s="5" t="s">
        <v>7</v>
      </c>
      <c r="B4" s="6">
        <f>357-16*1.5</f>
        <v>333</v>
      </c>
      <c r="C4" s="7">
        <v>254</v>
      </c>
      <c r="D4" s="7">
        <v>38</v>
      </c>
    </row>
    <row r="6" spans="1:4" x14ac:dyDescent="0.3">
      <c r="A6" t="s">
        <v>39</v>
      </c>
      <c r="B6" s="2">
        <f>D4/B4</f>
        <v>0.11411411411411411</v>
      </c>
      <c r="C6" s="2">
        <f>D4/C4</f>
        <v>0.14960629921259844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6EE8-558E-4622-92C3-3696A6280A1F}">
  <dimension ref="A1:K18"/>
  <sheetViews>
    <sheetView workbookViewId="0">
      <selection activeCell="H1" sqref="H1"/>
    </sheetView>
  </sheetViews>
  <sheetFormatPr defaultRowHeight="14.4" x14ac:dyDescent="0.3"/>
  <cols>
    <col min="2" max="2" width="21.5546875" customWidth="1"/>
    <col min="3" max="3" width="14.88671875" customWidth="1"/>
    <col min="4" max="4" width="21.5546875" customWidth="1"/>
    <col min="5" max="5" width="15.77734375" customWidth="1"/>
    <col min="6" max="9" width="14.88671875" customWidth="1"/>
  </cols>
  <sheetData>
    <row r="1" spans="1:11" ht="115.2" x14ac:dyDescent="0.3">
      <c r="B1" s="3" t="s">
        <v>25</v>
      </c>
      <c r="C1" s="3" t="s">
        <v>28</v>
      </c>
      <c r="D1" s="3" t="s">
        <v>27</v>
      </c>
      <c r="E1" s="3" t="s">
        <v>29</v>
      </c>
      <c r="F1" s="3" t="s">
        <v>20</v>
      </c>
      <c r="G1" s="3" t="s">
        <v>23</v>
      </c>
      <c r="H1" s="3" t="s">
        <v>31</v>
      </c>
      <c r="I1" s="3" t="s">
        <v>32</v>
      </c>
      <c r="J1" s="3" t="s">
        <v>36</v>
      </c>
      <c r="K1" s="3" t="s">
        <v>37</v>
      </c>
    </row>
    <row r="2" spans="1:11" x14ac:dyDescent="0.3">
      <c r="A2" t="s">
        <v>21</v>
      </c>
      <c r="F2" s="3">
        <f>'Sweden utilization numbers'!B4</f>
        <v>333</v>
      </c>
      <c r="G2">
        <f>'UK utilization numbers'!B3</f>
        <v>184</v>
      </c>
      <c r="H2">
        <f>'Sweden utilization numbers'!D4</f>
        <v>38</v>
      </c>
      <c r="I2">
        <f>'UK utilization numbers'!F3</f>
        <v>27</v>
      </c>
    </row>
    <row r="3" spans="1:11" ht="86.4" x14ac:dyDescent="0.3">
      <c r="A3" t="s">
        <v>22</v>
      </c>
      <c r="F3" s="3" t="s">
        <v>33</v>
      </c>
      <c r="G3" s="3" t="s">
        <v>34</v>
      </c>
      <c r="H3" s="3" t="s">
        <v>35</v>
      </c>
      <c r="I3" s="3" t="s">
        <v>35</v>
      </c>
    </row>
    <row r="4" spans="1:11" x14ac:dyDescent="0.3">
      <c r="A4">
        <v>2010</v>
      </c>
      <c r="C4">
        <v>100</v>
      </c>
    </row>
    <row r="5" spans="1:11" x14ac:dyDescent="0.3">
      <c r="A5">
        <v>2011</v>
      </c>
      <c r="B5" s="8">
        <f>'freeze and thaw cycles in UK'!D6</f>
        <v>0.5</v>
      </c>
      <c r="C5">
        <f t="shared" ref="C5:C16" si="0">C4*(1+B5)</f>
        <v>150</v>
      </c>
      <c r="D5" s="8"/>
      <c r="F5" s="10">
        <f>F2*(C5/SUM(C5:C10))</f>
        <v>22.704545454545453</v>
      </c>
      <c r="H5">
        <v>0</v>
      </c>
    </row>
    <row r="6" spans="1:11" x14ac:dyDescent="0.3">
      <c r="A6">
        <v>2012</v>
      </c>
      <c r="B6" s="8">
        <f>'freeze and thaw cycles in UK'!D7</f>
        <v>0.33333333333333326</v>
      </c>
      <c r="C6">
        <f t="shared" si="0"/>
        <v>200</v>
      </c>
      <c r="D6" s="8"/>
      <c r="F6" s="10">
        <f>F5*(1+B6)</f>
        <v>30.27272727272727</v>
      </c>
      <c r="H6">
        <v>0</v>
      </c>
    </row>
    <row r="7" spans="1:11" x14ac:dyDescent="0.3">
      <c r="A7">
        <v>2013</v>
      </c>
      <c r="B7" s="8">
        <f>'freeze and thaw cycles in UK'!D8</f>
        <v>0.5</v>
      </c>
      <c r="C7">
        <f t="shared" si="0"/>
        <v>300</v>
      </c>
      <c r="D7" s="8"/>
      <c r="F7" s="10">
        <f>F6*(1+B7)</f>
        <v>45.409090909090907</v>
      </c>
      <c r="H7">
        <v>0</v>
      </c>
    </row>
    <row r="8" spans="1:11" x14ac:dyDescent="0.3">
      <c r="A8">
        <v>2014</v>
      </c>
      <c r="B8" s="8">
        <f>'freeze and thaw cycles in UK'!D9</f>
        <v>0.16666666666666674</v>
      </c>
      <c r="C8">
        <f t="shared" si="0"/>
        <v>350</v>
      </c>
      <c r="D8" s="8"/>
      <c r="F8" s="10">
        <f>F7*(1+B8)</f>
        <v>52.977272727272727</v>
      </c>
      <c r="H8">
        <v>0</v>
      </c>
    </row>
    <row r="9" spans="1:11" x14ac:dyDescent="0.3">
      <c r="A9">
        <v>2015</v>
      </c>
      <c r="B9" s="8">
        <f>'freeze and thaw cycles in UK'!D10</f>
        <v>0.5714285714285714</v>
      </c>
      <c r="C9">
        <f t="shared" si="0"/>
        <v>550</v>
      </c>
      <c r="D9" s="8"/>
      <c r="E9">
        <v>100</v>
      </c>
      <c r="F9" s="10">
        <f>F8*(1+B9)</f>
        <v>83.25</v>
      </c>
      <c r="H9" s="10">
        <f>H$2*(F5/SUM(F$5:F$6))</f>
        <v>16.285714285714288</v>
      </c>
      <c r="J9" s="13">
        <f>H9/F5</f>
        <v>0.71728871728871746</v>
      </c>
      <c r="K9" s="2"/>
    </row>
    <row r="10" spans="1:11" x14ac:dyDescent="0.3">
      <c r="A10">
        <v>2016</v>
      </c>
      <c r="B10" s="8">
        <f>'freeze and thaw cycles in UK'!D11</f>
        <v>0.18181818181818188</v>
      </c>
      <c r="C10">
        <f t="shared" si="0"/>
        <v>650</v>
      </c>
      <c r="D10" s="8">
        <f>B10</f>
        <v>0.18181818181818188</v>
      </c>
      <c r="E10" s="10">
        <f t="shared" ref="E10:E16" si="1">E9*(1+D10)</f>
        <v>118.18181818181819</v>
      </c>
      <c r="F10" s="10">
        <f>F9*(1+B10)</f>
        <v>98.38636363636364</v>
      </c>
      <c r="G10" s="10">
        <f>G2*(E10/SUM(E10:E15))</f>
        <v>17.853406085383305</v>
      </c>
      <c r="H10" s="10">
        <f>H$2*(F6/SUM(F$5:F$6))</f>
        <v>21.714285714285719</v>
      </c>
      <c r="I10">
        <v>0</v>
      </c>
      <c r="J10" s="13">
        <f>H10/F6</f>
        <v>0.71728871728871746</v>
      </c>
      <c r="K10" s="2"/>
    </row>
    <row r="11" spans="1:11" x14ac:dyDescent="0.3">
      <c r="A11">
        <v>2017</v>
      </c>
      <c r="B11" s="9">
        <f>AVERAGE($B$5:$B$10)</f>
        <v>0.37554112554112545</v>
      </c>
      <c r="C11" s="10">
        <f t="shared" si="0"/>
        <v>894.10173160173156</v>
      </c>
      <c r="D11" s="9">
        <f>B11</f>
        <v>0.37554112554112545</v>
      </c>
      <c r="E11" s="10">
        <f t="shared" si="1"/>
        <v>162.56395120031482</v>
      </c>
      <c r="F11" s="10"/>
      <c r="G11" s="10">
        <f>G10*(1+D11)</f>
        <v>24.558094301430931</v>
      </c>
      <c r="I11">
        <v>0</v>
      </c>
      <c r="J11" s="2"/>
      <c r="K11" s="2"/>
    </row>
    <row r="12" spans="1:11" x14ac:dyDescent="0.3">
      <c r="A12">
        <v>2018</v>
      </c>
      <c r="B12" s="9">
        <f t="shared" ref="B12:B16" si="2">AVERAGE($B$5:$B$10)</f>
        <v>0.37554112554112545</v>
      </c>
      <c r="C12" s="10">
        <f t="shared" si="0"/>
        <v>1229.873702235715</v>
      </c>
      <c r="D12" s="9">
        <f>'UK utilization numbers'!D6</f>
        <v>0.19373363863133219</v>
      </c>
      <c r="E12" s="10">
        <f t="shared" si="1"/>
        <v>194.05805697663814</v>
      </c>
      <c r="G12" s="10">
        <f t="shared" ref="G12:G15" si="3">G11*(1+D12)</f>
        <v>29.31582326829853</v>
      </c>
      <c r="I12">
        <v>0</v>
      </c>
      <c r="J12" s="2"/>
      <c r="K12" s="2"/>
    </row>
    <row r="13" spans="1:11" x14ac:dyDescent="0.3">
      <c r="A13">
        <v>2019</v>
      </c>
      <c r="B13" s="9">
        <f t="shared" si="2"/>
        <v>0.37554112554112545</v>
      </c>
      <c r="C13" s="10">
        <f t="shared" si="0"/>
        <v>1691.7418566467463</v>
      </c>
      <c r="D13" s="9">
        <f>'UK utilization numbers'!D6</f>
        <v>0.19373363863133219</v>
      </c>
      <c r="E13" s="10">
        <f t="shared" si="1"/>
        <v>231.65363046044862</v>
      </c>
      <c r="G13" s="10">
        <f t="shared" si="3"/>
        <v>34.995284379539079</v>
      </c>
      <c r="I13">
        <v>0</v>
      </c>
      <c r="J13" s="2"/>
      <c r="K13" s="2"/>
    </row>
    <row r="14" spans="1:11" x14ac:dyDescent="0.3">
      <c r="A14">
        <v>2020</v>
      </c>
      <c r="B14" s="9">
        <f t="shared" si="2"/>
        <v>0.37554112554112545</v>
      </c>
      <c r="C14" s="10">
        <f t="shared" si="0"/>
        <v>2327.0604976168988</v>
      </c>
      <c r="D14" s="9">
        <f>'UK utilization numbers'!D7</f>
        <v>6.7872125861978994E-2</v>
      </c>
      <c r="E14" s="10">
        <f t="shared" si="1"/>
        <v>247.37645482344456</v>
      </c>
      <c r="G14" s="10">
        <f t="shared" si="3"/>
        <v>37.370488725522904</v>
      </c>
      <c r="I14" s="10">
        <f>I$2*(G10/SUM(G$10:G$11))</f>
        <v>11.365831435079725</v>
      </c>
      <c r="J14" s="2"/>
      <c r="K14" s="13">
        <f>I14/G10</f>
        <v>0.63661977892190569</v>
      </c>
    </row>
    <row r="15" spans="1:11" x14ac:dyDescent="0.3">
      <c r="A15">
        <v>2021</v>
      </c>
      <c r="B15" s="9">
        <f t="shared" si="2"/>
        <v>0.37554112554112545</v>
      </c>
      <c r="C15" s="10">
        <f t="shared" si="0"/>
        <v>3200.9674160942404</v>
      </c>
      <c r="D15" s="9">
        <f>'UK utilization numbers'!D7</f>
        <v>6.7872125861978994E-2</v>
      </c>
      <c r="E15" s="10">
        <f t="shared" si="1"/>
        <v>264.16642070051154</v>
      </c>
      <c r="G15" s="10">
        <f t="shared" si="3"/>
        <v>39.906903239825262</v>
      </c>
      <c r="I15" s="10">
        <f>I$2*(G11/SUM(G$10:G$11))</f>
        <v>15.634168564920271</v>
      </c>
      <c r="J15" s="2"/>
      <c r="K15" s="13">
        <f>I15/G11</f>
        <v>0.63661977892190569</v>
      </c>
    </row>
    <row r="16" spans="1:11" x14ac:dyDescent="0.3">
      <c r="A16">
        <v>2022</v>
      </c>
      <c r="B16" s="9">
        <f t="shared" si="2"/>
        <v>0.37554112554112545</v>
      </c>
      <c r="C16" s="10">
        <f t="shared" si="0"/>
        <v>4403.0623223547391</v>
      </c>
      <c r="D16" s="9">
        <f>'UK utilization numbers'!D7</f>
        <v>6.7872125861978994E-2</v>
      </c>
      <c r="E16" s="10">
        <f t="shared" si="1"/>
        <v>282.09595725480517</v>
      </c>
    </row>
    <row r="18" spans="1:9" x14ac:dyDescent="0.3">
      <c r="A18" t="s">
        <v>7</v>
      </c>
      <c r="F18" s="10">
        <f>SUM(F5:F10)</f>
        <v>333</v>
      </c>
      <c r="G18">
        <f>SUM(G10:G16)</f>
        <v>184</v>
      </c>
      <c r="H18" s="10">
        <f>SUM(H5:H10)</f>
        <v>38.000000000000007</v>
      </c>
      <c r="I18">
        <f>SUM(I10:I16)</f>
        <v>26.999999999999996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0385-FB2E-4BA1-976C-FA6823F67479}">
  <dimension ref="A1:K18"/>
  <sheetViews>
    <sheetView tabSelected="1" topLeftCell="A2" workbookViewId="0">
      <selection activeCell="D19" sqref="D19"/>
    </sheetView>
  </sheetViews>
  <sheetFormatPr defaultRowHeight="14.4" x14ac:dyDescent="0.3"/>
  <cols>
    <col min="2" max="2" width="21.5546875" customWidth="1"/>
    <col min="3" max="3" width="14.88671875" customWidth="1"/>
    <col min="4" max="4" width="21.5546875" customWidth="1"/>
    <col min="5" max="5" width="15.77734375" customWidth="1"/>
    <col min="6" max="9" width="14.88671875" customWidth="1"/>
  </cols>
  <sheetData>
    <row r="1" spans="1:11" ht="72" x14ac:dyDescent="0.3">
      <c r="B1" s="3" t="s">
        <v>40</v>
      </c>
      <c r="C1" s="3" t="s">
        <v>28</v>
      </c>
      <c r="D1" s="3" t="s">
        <v>40</v>
      </c>
      <c r="E1" s="3" t="s">
        <v>29</v>
      </c>
      <c r="F1" s="3" t="s">
        <v>20</v>
      </c>
      <c r="G1" s="3" t="s">
        <v>23</v>
      </c>
      <c r="H1" s="3" t="s">
        <v>31</v>
      </c>
      <c r="I1" s="3" t="s">
        <v>32</v>
      </c>
      <c r="J1" s="3" t="s">
        <v>36</v>
      </c>
      <c r="K1" s="3" t="s">
        <v>37</v>
      </c>
    </row>
    <row r="2" spans="1:11" x14ac:dyDescent="0.3">
      <c r="A2" t="s">
        <v>21</v>
      </c>
      <c r="F2" s="3">
        <f>'Sweden utilization numbers'!B4</f>
        <v>333</v>
      </c>
      <c r="G2">
        <f>'UK utilization numbers'!B3</f>
        <v>184</v>
      </c>
      <c r="H2">
        <f>'Sweden utilization numbers'!D4</f>
        <v>38</v>
      </c>
      <c r="I2">
        <f>'UK utilization numbers'!F3</f>
        <v>27</v>
      </c>
    </row>
    <row r="3" spans="1:11" ht="86.4" x14ac:dyDescent="0.3">
      <c r="A3" t="s">
        <v>22</v>
      </c>
      <c r="F3" s="3" t="s">
        <v>33</v>
      </c>
      <c r="G3" s="3" t="s">
        <v>34</v>
      </c>
      <c r="H3" s="3" t="s">
        <v>35</v>
      </c>
      <c r="I3" s="3" t="s">
        <v>35</v>
      </c>
    </row>
    <row r="4" spans="1:11" x14ac:dyDescent="0.3">
      <c r="A4">
        <v>2010</v>
      </c>
      <c r="C4">
        <v>100</v>
      </c>
    </row>
    <row r="5" spans="1:11" x14ac:dyDescent="0.3">
      <c r="A5">
        <v>2011</v>
      </c>
      <c r="B5" s="8">
        <v>0</v>
      </c>
      <c r="C5">
        <f t="shared" ref="C5:C16" si="0">C4*(1+B5)</f>
        <v>100</v>
      </c>
      <c r="D5" s="8"/>
      <c r="F5" s="10">
        <f>F2*(C5/SUM(C5:C10))</f>
        <v>55.5</v>
      </c>
      <c r="H5">
        <v>0</v>
      </c>
    </row>
    <row r="6" spans="1:11" x14ac:dyDescent="0.3">
      <c r="A6">
        <v>2012</v>
      </c>
      <c r="B6" s="8">
        <v>0</v>
      </c>
      <c r="C6">
        <f t="shared" si="0"/>
        <v>100</v>
      </c>
      <c r="D6" s="8"/>
      <c r="F6" s="10">
        <f>F5*(1+B6)</f>
        <v>55.5</v>
      </c>
      <c r="H6">
        <v>0</v>
      </c>
    </row>
    <row r="7" spans="1:11" x14ac:dyDescent="0.3">
      <c r="A7">
        <v>2013</v>
      </c>
      <c r="B7" s="8">
        <v>0</v>
      </c>
      <c r="C7">
        <f t="shared" si="0"/>
        <v>100</v>
      </c>
      <c r="D7" s="8"/>
      <c r="F7" s="10">
        <f>F6*(1+B7)</f>
        <v>55.5</v>
      </c>
      <c r="H7">
        <v>0</v>
      </c>
    </row>
    <row r="8" spans="1:11" x14ac:dyDescent="0.3">
      <c r="A8">
        <v>2014</v>
      </c>
      <c r="B8" s="8">
        <v>0</v>
      </c>
      <c r="C8">
        <f t="shared" si="0"/>
        <v>100</v>
      </c>
      <c r="D8" s="8"/>
      <c r="F8" s="10">
        <f>F7*(1+B8)</f>
        <v>55.5</v>
      </c>
      <c r="H8">
        <v>0</v>
      </c>
    </row>
    <row r="9" spans="1:11" x14ac:dyDescent="0.3">
      <c r="A9">
        <v>2015</v>
      </c>
      <c r="B9" s="8">
        <v>0</v>
      </c>
      <c r="C9">
        <f t="shared" si="0"/>
        <v>100</v>
      </c>
      <c r="D9" s="8"/>
      <c r="E9">
        <v>100</v>
      </c>
      <c r="F9" s="10">
        <f>F8*(1+B9)</f>
        <v>55.5</v>
      </c>
      <c r="H9" s="10">
        <f>H$2*(F5/SUM(F$5:F$6))</f>
        <v>19</v>
      </c>
      <c r="J9" s="13">
        <f>H9/F5</f>
        <v>0.34234234234234234</v>
      </c>
      <c r="K9" s="2"/>
    </row>
    <row r="10" spans="1:11" x14ac:dyDescent="0.3">
      <c r="A10">
        <v>2016</v>
      </c>
      <c r="B10" s="8">
        <v>0</v>
      </c>
      <c r="C10">
        <f t="shared" si="0"/>
        <v>100</v>
      </c>
      <c r="D10" s="8">
        <v>0</v>
      </c>
      <c r="E10" s="10">
        <f t="shared" ref="E10:E16" si="1">E9*(1+D10)</f>
        <v>100</v>
      </c>
      <c r="F10" s="10">
        <f>F9*(1+B10)</f>
        <v>55.5</v>
      </c>
      <c r="G10" s="10">
        <f>G2*(E10/SUM(E10:E15))</f>
        <v>30.666666666666664</v>
      </c>
      <c r="H10" s="10">
        <f>H$2*(F6/SUM(F$5:F$6))</f>
        <v>19</v>
      </c>
      <c r="I10">
        <v>0</v>
      </c>
      <c r="J10" s="13">
        <f>H10/F6</f>
        <v>0.34234234234234234</v>
      </c>
      <c r="K10" s="2"/>
    </row>
    <row r="11" spans="1:11" x14ac:dyDescent="0.3">
      <c r="A11">
        <v>2017</v>
      </c>
      <c r="B11" s="9">
        <v>0</v>
      </c>
      <c r="C11" s="10">
        <f t="shared" si="0"/>
        <v>100</v>
      </c>
      <c r="D11" s="9">
        <v>0</v>
      </c>
      <c r="E11" s="10">
        <f t="shared" si="1"/>
        <v>100</v>
      </c>
      <c r="F11" s="10"/>
      <c r="G11" s="10">
        <f>G10*(1+D11)</f>
        <v>30.666666666666664</v>
      </c>
      <c r="I11">
        <v>0</v>
      </c>
      <c r="J11" s="2"/>
      <c r="K11" s="2"/>
    </row>
    <row r="12" spans="1:11" x14ac:dyDescent="0.3">
      <c r="A12">
        <v>2018</v>
      </c>
      <c r="B12" s="9">
        <f t="shared" ref="B12:B16" si="2">AVERAGE($B$5:$B$10)</f>
        <v>0</v>
      </c>
      <c r="C12" s="10">
        <f t="shared" si="0"/>
        <v>100</v>
      </c>
      <c r="D12" s="9">
        <v>0</v>
      </c>
      <c r="E12" s="10">
        <f t="shared" si="1"/>
        <v>100</v>
      </c>
      <c r="G12" s="10">
        <f t="shared" ref="G12:G15" si="3">G11*(1+D12)</f>
        <v>30.666666666666664</v>
      </c>
      <c r="I12">
        <v>0</v>
      </c>
      <c r="J12" s="2"/>
      <c r="K12" s="2"/>
    </row>
    <row r="13" spans="1:11" x14ac:dyDescent="0.3">
      <c r="A13">
        <v>2019</v>
      </c>
      <c r="B13" s="9">
        <f t="shared" si="2"/>
        <v>0</v>
      </c>
      <c r="C13" s="10">
        <f t="shared" si="0"/>
        <v>100</v>
      </c>
      <c r="D13" s="9">
        <v>0</v>
      </c>
      <c r="E13" s="10">
        <f t="shared" si="1"/>
        <v>100</v>
      </c>
      <c r="G13" s="10">
        <f t="shared" si="3"/>
        <v>30.666666666666664</v>
      </c>
      <c r="I13">
        <v>0</v>
      </c>
      <c r="J13" s="2"/>
      <c r="K13" s="2"/>
    </row>
    <row r="14" spans="1:11" x14ac:dyDescent="0.3">
      <c r="A14">
        <v>2020</v>
      </c>
      <c r="B14" s="9">
        <f t="shared" si="2"/>
        <v>0</v>
      </c>
      <c r="C14" s="10">
        <f t="shared" si="0"/>
        <v>100</v>
      </c>
      <c r="D14" s="9">
        <v>0</v>
      </c>
      <c r="E14" s="10">
        <f t="shared" si="1"/>
        <v>100</v>
      </c>
      <c r="G14" s="10">
        <f t="shared" si="3"/>
        <v>30.666666666666664</v>
      </c>
      <c r="I14" s="10">
        <f>I$2*(G10/SUM(G$10:G$11))</f>
        <v>13.5</v>
      </c>
      <c r="J14" s="2"/>
      <c r="K14" s="13">
        <f>I14/G10</f>
        <v>0.44021739130434784</v>
      </c>
    </row>
    <row r="15" spans="1:11" x14ac:dyDescent="0.3">
      <c r="A15">
        <v>2021</v>
      </c>
      <c r="B15" s="9">
        <f t="shared" si="2"/>
        <v>0</v>
      </c>
      <c r="C15" s="10">
        <f t="shared" si="0"/>
        <v>100</v>
      </c>
      <c r="D15" s="9">
        <v>0</v>
      </c>
      <c r="E15" s="10">
        <f t="shared" si="1"/>
        <v>100</v>
      </c>
      <c r="G15" s="10">
        <f t="shared" si="3"/>
        <v>30.666666666666664</v>
      </c>
      <c r="I15" s="10">
        <f>I$2*(G11/SUM(G$10:G$11))</f>
        <v>13.5</v>
      </c>
      <c r="J15" s="2"/>
      <c r="K15" s="13">
        <f>I15/G11</f>
        <v>0.44021739130434784</v>
      </c>
    </row>
    <row r="16" spans="1:11" x14ac:dyDescent="0.3">
      <c r="A16">
        <v>2022</v>
      </c>
      <c r="B16" s="9">
        <f t="shared" si="2"/>
        <v>0</v>
      </c>
      <c r="C16" s="10">
        <f t="shared" si="0"/>
        <v>100</v>
      </c>
      <c r="D16" s="9">
        <v>0</v>
      </c>
      <c r="E16" s="10">
        <f t="shared" si="1"/>
        <v>100</v>
      </c>
    </row>
    <row r="18" spans="1:9" x14ac:dyDescent="0.3">
      <c r="A18" t="s">
        <v>7</v>
      </c>
      <c r="F18" s="10">
        <f>SUM(F5:F10)</f>
        <v>333</v>
      </c>
      <c r="G18">
        <f>SUM(G10:G16)</f>
        <v>183.99999999999997</v>
      </c>
      <c r="H18" s="10">
        <f>SUM(H5:H10)</f>
        <v>38</v>
      </c>
      <c r="I18">
        <f>SUM(I10:I16)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freeze and thaw cycles in UK</vt:lpstr>
      <vt:lpstr>UK utilization numbers</vt:lpstr>
      <vt:lpstr>Sweden utilization numbers</vt:lpstr>
      <vt:lpstr>modeled utilization</vt:lpstr>
      <vt:lpstr>modeled utilization no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2024-01-26T04:07:49Z</dcterms:created>
  <dcterms:modified xsi:type="dcterms:W3CDTF">2024-01-27T21:17:59Z</dcterms:modified>
</cp:coreProperties>
</file>