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gin\Desktop\PEN_USB\BIBLIO\Contadores\"/>
    </mc:Choice>
  </mc:AlternateContent>
  <xr:revisionPtr revIDLastSave="0" documentId="13_ncr:1_{00FEDBA8-CD14-4AC8-9E25-538CDD0D18F8}" xr6:coauthVersionLast="47" xr6:coauthVersionMax="47" xr10:uidLastSave="{00000000-0000-0000-0000-000000000000}"/>
  <workbookProtection lockStructure="1"/>
  <bookViews>
    <workbookView xWindow="-98" yWindow="-98" windowWidth="21795" windowHeight="12975" xr2:uid="{00000000-000D-0000-FFFF-FFFF00000000}"/>
  </bookViews>
  <sheets>
    <sheet name="biggers above 3000" sheetId="1" r:id="rId1"/>
    <sheet name="Considerações" sheetId="2" r:id="rId2"/>
  </sheets>
  <definedNames>
    <definedName name="_xlnm._FilterDatabase" localSheetId="0" hidden="1">'biggers above 3000'!$A$1:$Q$58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3" i="1" l="1"/>
  <c r="L3" i="1" s="1"/>
  <c r="M4" i="1"/>
  <c r="L4" i="1" s="1"/>
  <c r="M5" i="1"/>
  <c r="M6" i="1"/>
  <c r="M7" i="1"/>
  <c r="M8" i="1"/>
  <c r="M9" i="1"/>
  <c r="M10" i="1"/>
  <c r="L10" i="1" s="1"/>
  <c r="M11" i="1"/>
  <c r="L11" i="1" s="1"/>
  <c r="M12" i="1"/>
  <c r="M13" i="1"/>
  <c r="L13" i="1" s="1"/>
  <c r="N13" i="1" s="1"/>
  <c r="M14" i="1"/>
  <c r="M15" i="1"/>
  <c r="M16" i="1"/>
  <c r="M17" i="1"/>
  <c r="M18" i="1"/>
  <c r="L18" i="1" s="1"/>
  <c r="M19" i="1"/>
  <c r="L19" i="1" s="1"/>
  <c r="M20" i="1"/>
  <c r="L20" i="1" s="1"/>
  <c r="M21" i="1"/>
  <c r="M22" i="1"/>
  <c r="M23" i="1"/>
  <c r="M24" i="1"/>
  <c r="M25" i="1"/>
  <c r="M26" i="1"/>
  <c r="M27" i="1"/>
  <c r="L27" i="1" s="1"/>
  <c r="M28" i="1"/>
  <c r="L28" i="1" s="1"/>
  <c r="M29" i="1"/>
  <c r="L29" i="1" s="1"/>
  <c r="N29" i="1" s="1"/>
  <c r="M30" i="1"/>
  <c r="M31" i="1"/>
  <c r="M32" i="1"/>
  <c r="M33" i="1"/>
  <c r="M34" i="1"/>
  <c r="L34" i="1" s="1"/>
  <c r="M35" i="1"/>
  <c r="L35" i="1" s="1"/>
  <c r="M36" i="1"/>
  <c r="L36" i="1" s="1"/>
  <c r="M37" i="1"/>
  <c r="L37" i="1" s="1"/>
  <c r="N37" i="1" s="1"/>
  <c r="M38" i="1"/>
  <c r="M39" i="1"/>
  <c r="M40" i="1"/>
  <c r="M41" i="1"/>
  <c r="M42" i="1"/>
  <c r="M43" i="1"/>
  <c r="L43" i="1" s="1"/>
  <c r="M44" i="1"/>
  <c r="L44" i="1" s="1"/>
  <c r="M45" i="1"/>
  <c r="L45" i="1" s="1"/>
  <c r="M46" i="1"/>
  <c r="M47" i="1"/>
  <c r="M48" i="1"/>
  <c r="M49" i="1"/>
  <c r="M50" i="1"/>
  <c r="M51" i="1"/>
  <c r="L51" i="1" s="1"/>
  <c r="M52" i="1"/>
  <c r="L52" i="1" s="1"/>
  <c r="M53" i="1"/>
  <c r="L53" i="1" s="1"/>
  <c r="N53" i="1" s="1"/>
  <c r="M54" i="1"/>
  <c r="M55" i="1"/>
  <c r="M2" i="1"/>
  <c r="H58" i="1"/>
  <c r="H57" i="1"/>
  <c r="I56" i="1"/>
  <c r="J3" i="1"/>
  <c r="K3" i="1"/>
  <c r="O3" i="1" s="1"/>
  <c r="P3" i="1" s="1"/>
  <c r="Q3" i="1" s="1"/>
  <c r="J4" i="1"/>
  <c r="K4" i="1" s="1"/>
  <c r="J5" i="1"/>
  <c r="K5" i="1" s="1"/>
  <c r="J6" i="1"/>
  <c r="K6" i="1"/>
  <c r="J7" i="1"/>
  <c r="K7" i="1"/>
  <c r="O7" i="1" s="1"/>
  <c r="P7" i="1" s="1"/>
  <c r="Q7" i="1" s="1"/>
  <c r="J8" i="1"/>
  <c r="K8" i="1" s="1"/>
  <c r="J9" i="1"/>
  <c r="K9" i="1"/>
  <c r="J10" i="1"/>
  <c r="K10" i="1"/>
  <c r="J11" i="1"/>
  <c r="K11" i="1"/>
  <c r="O11" i="1" s="1"/>
  <c r="P11" i="1" s="1"/>
  <c r="Q11" i="1" s="1"/>
  <c r="J12" i="1"/>
  <c r="K12" i="1" s="1"/>
  <c r="J13" i="1"/>
  <c r="K13" i="1"/>
  <c r="J14" i="1"/>
  <c r="K14" i="1"/>
  <c r="J15" i="1"/>
  <c r="K15" i="1"/>
  <c r="N15" i="1" s="1"/>
  <c r="J16" i="1"/>
  <c r="K16" i="1" s="1"/>
  <c r="N16" i="1" s="1"/>
  <c r="J17" i="1"/>
  <c r="K17" i="1"/>
  <c r="J18" i="1"/>
  <c r="K18" i="1"/>
  <c r="J19" i="1"/>
  <c r="K19" i="1"/>
  <c r="N19" i="1" s="1"/>
  <c r="J20" i="1"/>
  <c r="K20" i="1" s="1"/>
  <c r="J21" i="1"/>
  <c r="K21" i="1"/>
  <c r="J22" i="1"/>
  <c r="K22" i="1"/>
  <c r="N22" i="1" s="1"/>
  <c r="J23" i="1"/>
  <c r="K23" i="1"/>
  <c r="O23" i="1" s="1"/>
  <c r="P23" i="1" s="1"/>
  <c r="Q23" i="1" s="1"/>
  <c r="J24" i="1"/>
  <c r="K24" i="1" s="1"/>
  <c r="N24" i="1" s="1"/>
  <c r="J25" i="1"/>
  <c r="K25" i="1"/>
  <c r="J26" i="1"/>
  <c r="K26" i="1"/>
  <c r="J27" i="1"/>
  <c r="K27" i="1"/>
  <c r="N27" i="1" s="1"/>
  <c r="J28" i="1"/>
  <c r="K28" i="1" s="1"/>
  <c r="J29" i="1"/>
  <c r="K29" i="1"/>
  <c r="J30" i="1"/>
  <c r="K30" i="1"/>
  <c r="J31" i="1"/>
  <c r="K31" i="1"/>
  <c r="J32" i="1"/>
  <c r="K32" i="1" s="1"/>
  <c r="N32" i="1" s="1"/>
  <c r="J33" i="1"/>
  <c r="K33" i="1"/>
  <c r="J34" i="1"/>
  <c r="K34" i="1"/>
  <c r="J35" i="1"/>
  <c r="K35" i="1"/>
  <c r="N35" i="1" s="1"/>
  <c r="J36" i="1"/>
  <c r="K36" i="1" s="1"/>
  <c r="J37" i="1"/>
  <c r="K37" i="1"/>
  <c r="J38" i="1"/>
  <c r="K38" i="1"/>
  <c r="O38" i="1" s="1"/>
  <c r="P38" i="1" s="1"/>
  <c r="Q38" i="1" s="1"/>
  <c r="J39" i="1"/>
  <c r="K39" i="1"/>
  <c r="N39" i="1" s="1"/>
  <c r="J40" i="1"/>
  <c r="K40" i="1" s="1"/>
  <c r="J41" i="1"/>
  <c r="K41" i="1"/>
  <c r="J42" i="1"/>
  <c r="K42" i="1"/>
  <c r="J43" i="1"/>
  <c r="K43" i="1"/>
  <c r="N43" i="1" s="1"/>
  <c r="J44" i="1"/>
  <c r="K44" i="1" s="1"/>
  <c r="J45" i="1"/>
  <c r="K45" i="1"/>
  <c r="J46" i="1"/>
  <c r="K46" i="1"/>
  <c r="O46" i="1" s="1"/>
  <c r="P46" i="1" s="1"/>
  <c r="Q46" i="1" s="1"/>
  <c r="J47" i="1"/>
  <c r="K47" i="1"/>
  <c r="O47" i="1" s="1"/>
  <c r="P47" i="1" s="1"/>
  <c r="Q47" i="1" s="1"/>
  <c r="J48" i="1"/>
  <c r="K48" i="1" s="1"/>
  <c r="N48" i="1" s="1"/>
  <c r="J49" i="1"/>
  <c r="K49" i="1"/>
  <c r="J50" i="1"/>
  <c r="K50" i="1"/>
  <c r="J51" i="1"/>
  <c r="K51" i="1"/>
  <c r="O51" i="1" s="1"/>
  <c r="P51" i="1" s="1"/>
  <c r="Q51" i="1" s="1"/>
  <c r="J52" i="1"/>
  <c r="K52" i="1" s="1"/>
  <c r="J53" i="1"/>
  <c r="K53" i="1"/>
  <c r="J54" i="1"/>
  <c r="K54" i="1"/>
  <c r="J55" i="1"/>
  <c r="K55" i="1"/>
  <c r="J2" i="1"/>
  <c r="K2" i="1" s="1"/>
  <c r="L22" i="1"/>
  <c r="L23" i="1"/>
  <c r="L24" i="1"/>
  <c r="L25" i="1"/>
  <c r="N25" i="1" s="1"/>
  <c r="L26" i="1"/>
  <c r="L30" i="1"/>
  <c r="L31" i="1"/>
  <c r="L32" i="1"/>
  <c r="L33" i="1"/>
  <c r="O33" i="1" s="1"/>
  <c r="P33" i="1" s="1"/>
  <c r="Q33" i="1" s="1"/>
  <c r="L38" i="1"/>
  <c r="L39" i="1"/>
  <c r="L40" i="1"/>
  <c r="L41" i="1"/>
  <c r="N41" i="1" s="1"/>
  <c r="L42" i="1"/>
  <c r="L46" i="1"/>
  <c r="L47" i="1"/>
  <c r="L48" i="1"/>
  <c r="L49" i="1"/>
  <c r="O49" i="1" s="1"/>
  <c r="P49" i="1" s="1"/>
  <c r="Q49" i="1" s="1"/>
  <c r="L50" i="1"/>
  <c r="L54" i="1"/>
  <c r="L55" i="1"/>
  <c r="L6" i="1"/>
  <c r="O6" i="1" s="1"/>
  <c r="P6" i="1" s="1"/>
  <c r="Q6" i="1" s="1"/>
  <c r="L7" i="1"/>
  <c r="L8" i="1"/>
  <c r="L9" i="1"/>
  <c r="L14" i="1"/>
  <c r="N14" i="1"/>
  <c r="L15" i="1"/>
  <c r="L16" i="1"/>
  <c r="L17" i="1"/>
  <c r="L2" i="1"/>
  <c r="N46" i="1"/>
  <c r="N17" i="1"/>
  <c r="N9" i="1"/>
  <c r="O22" i="1"/>
  <c r="P22" i="1" s="1"/>
  <c r="Q22" i="1" s="1"/>
  <c r="O17" i="1"/>
  <c r="P17" i="1" s="1"/>
  <c r="Q17" i="1" s="1"/>
  <c r="O9" i="1"/>
  <c r="P9" i="1"/>
  <c r="Q9" i="1" s="1"/>
  <c r="B9" i="2"/>
  <c r="B8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7" i="2"/>
  <c r="B6" i="2"/>
  <c r="O8" i="1" l="1"/>
  <c r="P8" i="1" s="1"/>
  <c r="Q8" i="1" s="1"/>
  <c r="N8" i="1"/>
  <c r="O40" i="1"/>
  <c r="P40" i="1" s="1"/>
  <c r="Q40" i="1" s="1"/>
  <c r="N10" i="1"/>
  <c r="N30" i="1"/>
  <c r="N26" i="1"/>
  <c r="O14" i="1"/>
  <c r="P14" i="1" s="1"/>
  <c r="Q14" i="1" s="1"/>
  <c r="N38" i="1"/>
  <c r="O24" i="1"/>
  <c r="P24" i="1" s="1"/>
  <c r="Q24" i="1" s="1"/>
  <c r="N2" i="1"/>
  <c r="N49" i="1"/>
  <c r="N33" i="1"/>
  <c r="O25" i="1"/>
  <c r="P25" i="1" s="1"/>
  <c r="Q25" i="1" s="1"/>
  <c r="N31" i="1"/>
  <c r="O15" i="1"/>
  <c r="P15" i="1" s="1"/>
  <c r="Q15" i="1" s="1"/>
  <c r="N36" i="1"/>
  <c r="N54" i="1"/>
  <c r="N50" i="1"/>
  <c r="O42" i="1"/>
  <c r="P42" i="1" s="1"/>
  <c r="Q42" i="1" s="1"/>
  <c r="O34" i="1"/>
  <c r="P34" i="1" s="1"/>
  <c r="Q34" i="1" s="1"/>
  <c r="O18" i="1"/>
  <c r="P18" i="1" s="1"/>
  <c r="Q18" i="1" s="1"/>
  <c r="N6" i="1"/>
  <c r="O50" i="1"/>
  <c r="P50" i="1" s="1"/>
  <c r="Q50" i="1" s="1"/>
  <c r="N52" i="1"/>
  <c r="N18" i="1"/>
  <c r="O48" i="1"/>
  <c r="P48" i="1" s="1"/>
  <c r="Q48" i="1" s="1"/>
  <c r="O32" i="1"/>
  <c r="P32" i="1" s="1"/>
  <c r="Q32" i="1" s="1"/>
  <c r="O5" i="1"/>
  <c r="P5" i="1" s="1"/>
  <c r="Q5" i="1" s="1"/>
  <c r="O2" i="1"/>
  <c r="P2" i="1" s="1"/>
  <c r="Q2" i="1" s="1"/>
  <c r="N55" i="1"/>
  <c r="N44" i="1"/>
  <c r="N40" i="1"/>
  <c r="O19" i="1"/>
  <c r="P19" i="1" s="1"/>
  <c r="Q19" i="1" s="1"/>
  <c r="N11" i="1"/>
  <c r="N3" i="1"/>
  <c r="O37" i="1"/>
  <c r="P37" i="1" s="1"/>
  <c r="Q37" i="1" s="1"/>
  <c r="O29" i="1"/>
  <c r="P29" i="1" s="1"/>
  <c r="Q29" i="1" s="1"/>
  <c r="N4" i="1"/>
  <c r="O4" i="1"/>
  <c r="P4" i="1" s="1"/>
  <c r="Q4" i="1" s="1"/>
  <c r="N45" i="1"/>
  <c r="O45" i="1"/>
  <c r="P45" i="1" s="1"/>
  <c r="Q45" i="1" s="1"/>
  <c r="O28" i="1"/>
  <c r="P28" i="1" s="1"/>
  <c r="Q28" i="1" s="1"/>
  <c r="N28" i="1"/>
  <c r="N20" i="1"/>
  <c r="O20" i="1"/>
  <c r="P20" i="1" s="1"/>
  <c r="Q20" i="1" s="1"/>
  <c r="O12" i="1"/>
  <c r="P12" i="1" s="1"/>
  <c r="Q12" i="1" s="1"/>
  <c r="O31" i="1"/>
  <c r="P31" i="1" s="1"/>
  <c r="Q31" i="1" s="1"/>
  <c r="O30" i="1"/>
  <c r="P30" i="1" s="1"/>
  <c r="Q30" i="1" s="1"/>
  <c r="L5" i="1"/>
  <c r="N5" i="1" s="1"/>
  <c r="O16" i="1"/>
  <c r="P16" i="1" s="1"/>
  <c r="Q16" i="1" s="1"/>
  <c r="O27" i="1"/>
  <c r="P27" i="1" s="1"/>
  <c r="Q27" i="1" s="1"/>
  <c r="O55" i="1"/>
  <c r="P55" i="1" s="1"/>
  <c r="Q55" i="1" s="1"/>
  <c r="O44" i="1"/>
  <c r="P44" i="1" s="1"/>
  <c r="Q44" i="1" s="1"/>
  <c r="O36" i="1"/>
  <c r="P36" i="1" s="1"/>
  <c r="Q36" i="1" s="1"/>
  <c r="N42" i="1"/>
  <c r="N51" i="1"/>
  <c r="L21" i="1"/>
  <c r="N21" i="1" s="1"/>
  <c r="O10" i="1"/>
  <c r="P10" i="1" s="1"/>
  <c r="Q10" i="1" s="1"/>
  <c r="O35" i="1"/>
  <c r="P35" i="1" s="1"/>
  <c r="Q35" i="1" s="1"/>
  <c r="O41" i="1"/>
  <c r="P41" i="1" s="1"/>
  <c r="Q41" i="1" s="1"/>
  <c r="O43" i="1"/>
  <c r="P43" i="1" s="1"/>
  <c r="Q43" i="1" s="1"/>
  <c r="O53" i="1"/>
  <c r="P53" i="1" s="1"/>
  <c r="Q53" i="1" s="1"/>
  <c r="N23" i="1"/>
  <c r="O52" i="1"/>
  <c r="P52" i="1" s="1"/>
  <c r="Q52" i="1" s="1"/>
  <c r="N34" i="1"/>
  <c r="L12" i="1"/>
  <c r="N12" i="1" s="1"/>
  <c r="O26" i="1"/>
  <c r="P26" i="1" s="1"/>
  <c r="Q26" i="1" s="1"/>
  <c r="N7" i="1"/>
  <c r="N47" i="1"/>
  <c r="O13" i="1"/>
  <c r="P13" i="1" s="1"/>
  <c r="Q13" i="1" s="1"/>
  <c r="O39" i="1"/>
  <c r="P39" i="1" s="1"/>
  <c r="Q39" i="1" s="1"/>
  <c r="O54" i="1"/>
  <c r="P54" i="1" s="1"/>
  <c r="Q54" i="1" s="1"/>
  <c r="O21" i="1" l="1"/>
  <c r="P21" i="1" s="1"/>
  <c r="Q21" i="1" s="1"/>
  <c r="Q56" i="1" s="1"/>
  <c r="P56" i="1" l="1"/>
  <c r="O56" i="1" s="1"/>
</calcChain>
</file>

<file path=xl/sharedStrings.xml><?xml version="1.0" encoding="utf-8"?>
<sst xmlns="http://schemas.openxmlformats.org/spreadsheetml/2006/main" count="340" uniqueCount="156">
  <si>
    <r>
      <rPr>
        <b/>
        <sz val="11"/>
        <color theme="1"/>
        <rFont val="Calibri"/>
        <family val="2"/>
        <scheme val="minor"/>
      </rPr>
      <t>(*)  Além de todos os fatores relativos à condições de funcionamento a que o contador é sujeito, e</t>
    </r>
    <r>
      <rPr>
        <sz val="11"/>
        <color theme="1"/>
        <rFont val="Calibri"/>
        <family val="2"/>
        <scheme val="minor"/>
      </rPr>
      <t>ste valor também pode depender muito do fabricante dos contadores em questão.</t>
    </r>
  </si>
  <si>
    <t>Por exemplo, para o mesmo contador, o volume de água medido e o caldal a que a mesma passou, também são factores determinantes no rendimento do contador.</t>
  </si>
  <si>
    <t>Estes valores têm em consideração os consumos elevados que os contadores da listagem apresentam.</t>
  </si>
  <si>
    <t>AVENIDA SA CARNEIRO NR 43475</t>
  </si>
  <si>
    <t>ATL/15/4</t>
  </si>
  <si>
    <t>SITIO CAMPINA BAIXO</t>
  </si>
  <si>
    <t>JV400/20/4</t>
  </si>
  <si>
    <t>RUA D DINIS NR 40001 ESCOLA</t>
  </si>
  <si>
    <t>TAG/40/4</t>
  </si>
  <si>
    <t>LOTEAMENTO INDUSTRIAL DE LOULE LOT 1</t>
  </si>
  <si>
    <t>PRACA MANUEL ARRIAGA</t>
  </si>
  <si>
    <t>SITIO OLIVAIS SANTO ANTONIO NR 44450 RC-</t>
  </si>
  <si>
    <t>HAI/50/6</t>
  </si>
  <si>
    <t>LARGO MERCADO</t>
  </si>
  <si>
    <t>SITIO S JOAO DA VENDA NR 44513 N/A-</t>
  </si>
  <si>
    <t>URBANIZACAO BOA ENTRADA LT NR 79 A</t>
  </si>
  <si>
    <t>SITIO CAMPINA DE BAIXO</t>
  </si>
  <si>
    <t>AVENIDA CEUTA NR 40017 BP</t>
  </si>
  <si>
    <t>TOR</t>
  </si>
  <si>
    <t>ESTRADA VENDAS NOVAS NR 43167 LAR 3 IDAD N/A-</t>
  </si>
  <si>
    <t>650 - UTIL. PUBLICA</t>
  </si>
  <si>
    <t>URBANIZACAO QUINTA DO ROMAO NR 40001 JARDIM CML</t>
  </si>
  <si>
    <t>TAG/20/6</t>
  </si>
  <si>
    <t>AVENIDA ENG DUARTE PACHECO NR 70</t>
  </si>
  <si>
    <t>931 -  SERVIÇOS CAE</t>
  </si>
  <si>
    <t>RUA NOSSA SENHORA FATIMA NR 43438 N/A-</t>
  </si>
  <si>
    <t>RUA MAURICIO SERAFIM MONTEIRO BLT 43486 BL A</t>
  </si>
  <si>
    <t>URBANIZAÇaO QUINTA DO ROMAO NR 45118 N/A-</t>
  </si>
  <si>
    <t>Considerações:</t>
  </si>
  <si>
    <t>Perda de eficiência dos contadores em função da idade.</t>
  </si>
  <si>
    <t>anos</t>
  </si>
  <si>
    <r>
      <t xml:space="preserve">Consumo médio diário </t>
    </r>
    <r>
      <rPr>
        <b/>
        <sz val="8"/>
        <color theme="9"/>
        <rFont val="Calibri"/>
        <family val="2"/>
        <scheme val="minor"/>
      </rPr>
      <t>(m3)</t>
    </r>
  </si>
  <si>
    <r>
      <t>Caudal médio</t>
    </r>
    <r>
      <rPr>
        <b/>
        <sz val="8"/>
        <color theme="9"/>
        <rFont val="Calibri"/>
        <family val="2"/>
        <scheme val="minor"/>
      </rPr>
      <t xml:space="preserve"> (m3/h)</t>
    </r>
  </si>
  <si>
    <t>Erros de medição associados ao dimensionamento</t>
  </si>
  <si>
    <t>Dimensionamento</t>
  </si>
  <si>
    <t>Se caudal médio &lt; Q2:</t>
  </si>
  <si>
    <t>Anos</t>
  </si>
  <si>
    <t>Perda de eficiência</t>
  </si>
  <si>
    <t>Data. Contador</t>
  </si>
  <si>
    <t>Modelo. Contador</t>
  </si>
  <si>
    <t>Marca. Contador</t>
  </si>
  <si>
    <t>até</t>
  </si>
  <si>
    <t>1.º escalão</t>
  </si>
  <si>
    <t>m3</t>
  </si>
  <si>
    <t>2º escalºao</t>
  </si>
  <si>
    <t>3º escalão</t>
  </si>
  <si>
    <t>4º escalao</t>
  </si>
  <si>
    <t>&gt;</t>
  </si>
  <si>
    <t>Volume perdido / ano</t>
  </si>
  <si>
    <t>Perda anual em €</t>
  </si>
  <si>
    <r>
      <t xml:space="preserve">Q2 do contador </t>
    </r>
    <r>
      <rPr>
        <b/>
        <sz val="8"/>
        <color theme="9"/>
        <rFont val="Calibri"/>
        <family val="2"/>
        <scheme val="minor"/>
      </rPr>
      <t>(m3/h)</t>
    </r>
  </si>
  <si>
    <r>
      <t>Q3 do contador</t>
    </r>
    <r>
      <rPr>
        <b/>
        <sz val="8"/>
        <color theme="9"/>
        <rFont val="Calibri"/>
        <family val="2"/>
        <scheme val="minor"/>
      </rPr>
      <t xml:space="preserve"> (m3/h)</t>
    </r>
  </si>
  <si>
    <t>Rácio considerado:</t>
  </si>
  <si>
    <t>5 a 7</t>
  </si>
  <si>
    <t>8 a 10</t>
  </si>
  <si>
    <t>11 a 12</t>
  </si>
  <si>
    <t>13 a 14</t>
  </si>
  <si>
    <t>15 a 16</t>
  </si>
  <si>
    <t>Superior a 16</t>
  </si>
  <si>
    <t>Contadores com menos de:</t>
  </si>
  <si>
    <t>Consumo no Ano 2018</t>
  </si>
  <si>
    <t>calibre contador</t>
  </si>
  <si>
    <r>
      <t>Agua</t>
    </r>
    <r>
      <rPr>
        <b/>
        <sz val="8"/>
        <color theme="1"/>
        <rFont val="Calibri"/>
        <family val="2"/>
        <scheme val="minor"/>
      </rPr>
      <t xml:space="preserve"> (€/m3)</t>
    </r>
  </si>
  <si>
    <r>
      <t>Saneamento</t>
    </r>
    <r>
      <rPr>
        <b/>
        <sz val="8"/>
        <color theme="1"/>
        <rFont val="Calibri"/>
        <family val="2"/>
        <scheme val="minor"/>
      </rPr>
      <t xml:space="preserve">  (€/m3)</t>
    </r>
  </si>
  <si>
    <r>
      <t xml:space="preserve">Residuos </t>
    </r>
    <r>
      <rPr>
        <b/>
        <sz val="8"/>
        <color theme="1"/>
        <rFont val="Calibri"/>
        <family val="2"/>
        <scheme val="minor"/>
      </rPr>
      <t>(€/m3)</t>
    </r>
  </si>
  <si>
    <t>R=(Q3/Q1)</t>
  </si>
  <si>
    <t>Q3 dos contadores em função do calibre do contador</t>
  </si>
  <si>
    <t>Q3</t>
  </si>
  <si>
    <t>DN</t>
  </si>
  <si>
    <t>Escalões</t>
  </si>
  <si>
    <t>Perda rend.</t>
  </si>
  <si>
    <t>Número médio de horas no dia em que ocorre consumo</t>
  </si>
  <si>
    <t>horas</t>
  </si>
  <si>
    <t>3 a 4</t>
  </si>
  <si>
    <t>1 a 2</t>
  </si>
  <si>
    <t>Instalacao</t>
  </si>
  <si>
    <t>Freguesia.Instalacao</t>
  </si>
  <si>
    <t>Morada.Instalacao</t>
  </si>
  <si>
    <t>Tarifa</t>
  </si>
  <si>
    <t>ALMANCIL</t>
  </si>
  <si>
    <t>AVENIDA ALGARVE C COMERCIAL MAR SHOPPING NR 45680 IKEA CC N/A-</t>
  </si>
  <si>
    <t>860 - OBRAS</t>
  </si>
  <si>
    <t>MEI</t>
  </si>
  <si>
    <t>MEI/100/6</t>
  </si>
  <si>
    <t>SAO CLEMENTE</t>
  </si>
  <si>
    <t>AVENIDA PARQUE DAS CIDADES NR 45960 N/A-</t>
  </si>
  <si>
    <t>770 - CONSUMOS PRÓPRIOS</t>
  </si>
  <si>
    <t>null</t>
  </si>
  <si>
    <t>DIEHL</t>
  </si>
  <si>
    <t>DIEHL 30/5</t>
  </si>
  <si>
    <t>QUARTEIRA</t>
  </si>
  <si>
    <t>AVENIDA CEUTA NR 45518 CML REGA N/A-</t>
  </si>
  <si>
    <t>ATL</t>
  </si>
  <si>
    <t>ATL/40/6</t>
  </si>
  <si>
    <t>RUA MARIA JOSE ESTANCO NR 41262 EB 1/JI N6 N/A-</t>
  </si>
  <si>
    <t>AVENIDA LAGINHA SERAFIM NR 42651</t>
  </si>
  <si>
    <t>830 - PUBLICO</t>
  </si>
  <si>
    <t>ATL/25/4</t>
  </si>
  <si>
    <t>RUA SEBASTIAO CORDEIRO</t>
  </si>
  <si>
    <t>ATL/30/6</t>
  </si>
  <si>
    <t>AVENIDA INFANTE SAGRES</t>
  </si>
  <si>
    <t>840 -  INDÚSTRIA</t>
  </si>
  <si>
    <t>AVENIDA SA CARNEIRO NR 43477 HOTEL ATIS</t>
  </si>
  <si>
    <t>AVENIDA ALGARVE NR 45478 IKEA LJ LOJA</t>
  </si>
  <si>
    <t>820 -  COMÉRCIO</t>
  </si>
  <si>
    <t>HAI</t>
  </si>
  <si>
    <t>HAI/65/6</t>
  </si>
  <si>
    <t>AVENIDA 5 DE OUTUBRO NR 271 RC</t>
  </si>
  <si>
    <t>BJZ</t>
  </si>
  <si>
    <t>BJZ/80/6</t>
  </si>
  <si>
    <t>AVENIDA SA CARNEIRO NR 43478 HOTEL QUAR</t>
  </si>
  <si>
    <t>RUA MARIA CAMPINA NR 43090 PINGO DOCE</t>
  </si>
  <si>
    <t>AVENIDA ALGARVE DESIGNER OUTLET ALGARVE NR 45937 OBRAS N/A-</t>
  </si>
  <si>
    <t>DI/40/5</t>
  </si>
  <si>
    <t>RUA GARCIA DOMINGUES NR 40005 CML</t>
  </si>
  <si>
    <t>TAG</t>
  </si>
  <si>
    <t>TAG/30/6</t>
  </si>
  <si>
    <t>SITIO FIGUEIRAL</t>
  </si>
  <si>
    <t>SITIO SEMINO NR 40000</t>
  </si>
  <si>
    <t>930 - SERVIÇOS</t>
  </si>
  <si>
    <t>ATL/20/4</t>
  </si>
  <si>
    <t>ESTRADA FONTE SANTA HOTEL ZODIACO</t>
  </si>
  <si>
    <t>LARGO GAGO COUTINHO</t>
  </si>
  <si>
    <t>JV400</t>
  </si>
  <si>
    <t>JV400/15/4</t>
  </si>
  <si>
    <t>RUA FORTE NOVO ESCOLA</t>
  </si>
  <si>
    <t>ATL/25/6</t>
  </si>
  <si>
    <t>SAO SEBASTIAO</t>
  </si>
  <si>
    <t>RUA PROFESSOR CARLOS RAMOS</t>
  </si>
  <si>
    <t>AVENIDA LAGINHA SERAFIM</t>
  </si>
  <si>
    <t>MENEK</t>
  </si>
  <si>
    <t>MEN65/5</t>
  </si>
  <si>
    <t>SITIO PEREIRAS NR 41293 N/A-</t>
  </si>
  <si>
    <t>TAG/20/4</t>
  </si>
  <si>
    <t>BOLIQUEIME</t>
  </si>
  <si>
    <t>SITIO BOLIQUEIME NR 42999 N/A-</t>
  </si>
  <si>
    <t>MEI/15/4</t>
  </si>
  <si>
    <t>AVENIDA ALGARVE NR 45938 LEROY MERL N/A-</t>
  </si>
  <si>
    <t>DI/65/5</t>
  </si>
  <si>
    <t>RUA ABELHEIRA NR 45471 AG ESCOLAR 3º CI</t>
  </si>
  <si>
    <t>ATL/30/4</t>
  </si>
  <si>
    <t>SITIO SEMINO NR 42624 N/A-</t>
  </si>
  <si>
    <t>LARGO POETA CLEMENTINO DOMINGUES BAETA</t>
  </si>
  <si>
    <t>ATL/30/5</t>
  </si>
  <si>
    <t>SITIO FONTE DE BOLIQUEIME</t>
  </si>
  <si>
    <t>BJZ/30/6</t>
  </si>
  <si>
    <t>SALIR</t>
  </si>
  <si>
    <t>RUA ARTUR MARCOS GUERREIRO NR 40003 ESC EB1/2</t>
  </si>
  <si>
    <t>630 - PUBLICA E UTIL. PUBLICA</t>
  </si>
  <si>
    <t>SITIO SEMINO NR 42704 PINGO DOCE N/A-</t>
  </si>
  <si>
    <t>FIC</t>
  </si>
  <si>
    <t>FIC/40/4</t>
  </si>
  <si>
    <t>AVENIDA 5 DE OUTUBRO NR 271 RC-</t>
  </si>
  <si>
    <t>BJZ/25/4</t>
  </si>
  <si>
    <t>Se caudal médio &gt; Q3:</t>
  </si>
  <si>
    <t>Nota: os três primeiros anos estão sem perda de eficiência associada pelo que na formula atribuida à coluna "O" surge (2020-data de contador) &lt;17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</si>
</sst>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0.0%"/>
    <numFmt numFmtId="165" formatCode="General&quot; anos&quot;"/>
    <numFmt numFmtId="166" formatCode="0.0&quot; m3/h&quot;"/>
    <numFmt numFmtId="167" formatCode="&quot;DN&quot;General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8"/>
      <color theme="9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Verdana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4" fontId="0" fillId="0" borderId="0" xfId="0" applyNumberFormat="1"/>
    <xf numFmtId="9" fontId="0" fillId="0" borderId="0" xfId="0" applyNumberFormat="1"/>
    <xf numFmtId="9" fontId="0" fillId="0" borderId="0" xfId="0" applyNumberFormat="1" applyAlignment="1">
      <alignment horizontal="center" vertical="center"/>
    </xf>
    <xf numFmtId="0" fontId="0" fillId="34" borderId="0" xfId="0" applyFill="1"/>
    <xf numFmtId="2" fontId="20" fillId="0" borderId="0" xfId="0" applyNumberFormat="1" applyFont="1" applyAlignment="1">
      <alignment horizontal="right"/>
    </xf>
    <xf numFmtId="0" fontId="20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right"/>
    </xf>
    <xf numFmtId="164" fontId="0" fillId="0" borderId="0" xfId="1" applyNumberFormat="1" applyFont="1"/>
    <xf numFmtId="0" fontId="18" fillId="33" borderId="10" xfId="0" applyFont="1" applyFill="1" applyBorder="1" applyAlignment="1">
      <alignment horizontal="center" vertical="center" wrapText="1"/>
    </xf>
    <xf numFmtId="0" fontId="13" fillId="33" borderId="10" xfId="0" applyFont="1" applyFill="1" applyBorder="1" applyAlignment="1">
      <alignment vertical="center"/>
    </xf>
    <xf numFmtId="0" fontId="13" fillId="33" borderId="10" xfId="0" applyFont="1" applyFill="1" applyBorder="1" applyAlignment="1">
      <alignment horizontal="center" vertical="center" wrapText="1"/>
    </xf>
    <xf numFmtId="0" fontId="21" fillId="0" borderId="0" xfId="0" applyFont="1"/>
    <xf numFmtId="0" fontId="18" fillId="33" borderId="11" xfId="0" applyFont="1" applyFill="1" applyBorder="1" applyAlignment="1">
      <alignment horizontal="center" vertical="center" wrapText="1"/>
    </xf>
    <xf numFmtId="164" fontId="20" fillId="0" borderId="0" xfId="1" applyNumberFormat="1" applyFont="1"/>
    <xf numFmtId="0" fontId="22" fillId="0" borderId="0" xfId="0" applyFont="1" applyAlignment="1">
      <alignment horizontal="center"/>
    </xf>
    <xf numFmtId="0" fontId="16" fillId="36" borderId="0" xfId="0" applyFont="1" applyFill="1"/>
    <xf numFmtId="0" fontId="0" fillId="36" borderId="0" xfId="0" applyFill="1"/>
    <xf numFmtId="0" fontId="16" fillId="0" borderId="0" xfId="0" applyFont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20" fillId="0" borderId="0" xfId="0" applyNumberFormat="1" applyFont="1"/>
    <xf numFmtId="4" fontId="20" fillId="0" borderId="0" xfId="0" applyNumberFormat="1" applyFont="1"/>
    <xf numFmtId="164" fontId="16" fillId="0" borderId="0" xfId="1" applyNumberFormat="1" applyFont="1"/>
    <xf numFmtId="3" fontId="16" fillId="0" borderId="0" xfId="0" applyNumberFormat="1" applyFont="1"/>
    <xf numFmtId="4" fontId="16" fillId="0" borderId="0" xfId="0" applyNumberFormat="1" applyFont="1"/>
    <xf numFmtId="0" fontId="16" fillId="0" borderId="12" xfId="0" applyFont="1" applyBorder="1"/>
    <xf numFmtId="167" fontId="0" fillId="0" borderId="12" xfId="0" applyNumberFormat="1" applyBorder="1" applyAlignment="1">
      <alignment horizontal="left"/>
    </xf>
    <xf numFmtId="0" fontId="0" fillId="0" borderId="0" xfId="0" applyProtection="1">
      <protection locked="0"/>
    </xf>
    <xf numFmtId="0" fontId="0" fillId="0" borderId="0" xfId="0" applyAlignment="1" applyProtection="1">
      <alignment horizontal="right"/>
      <protection locked="0"/>
    </xf>
    <xf numFmtId="0" fontId="16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35" borderId="0" xfId="0" applyFill="1" applyProtection="1">
      <protection locked="0"/>
    </xf>
    <xf numFmtId="0" fontId="16" fillId="36" borderId="13" xfId="0" applyFont="1" applyFill="1" applyBorder="1"/>
    <xf numFmtId="0" fontId="16" fillId="36" borderId="13" xfId="0" applyFont="1" applyFill="1" applyBorder="1" applyAlignment="1">
      <alignment horizontal="center" vertical="center" wrapText="1"/>
    </xf>
    <xf numFmtId="0" fontId="0" fillId="0" borderId="12" xfId="0" applyBorder="1"/>
    <xf numFmtId="0" fontId="0" fillId="35" borderId="0" xfId="0" applyFill="1"/>
    <xf numFmtId="9" fontId="0" fillId="35" borderId="0" xfId="0" applyNumberFormat="1" applyFill="1" applyProtection="1">
      <protection locked="0"/>
    </xf>
    <xf numFmtId="0" fontId="0" fillId="35" borderId="12" xfId="0" applyFill="1" applyBorder="1" applyProtection="1">
      <protection locked="0"/>
    </xf>
    <xf numFmtId="8" fontId="0" fillId="35" borderId="12" xfId="0" applyNumberFormat="1" applyFill="1" applyBorder="1" applyProtection="1">
      <protection locked="0"/>
    </xf>
    <xf numFmtId="0" fontId="16" fillId="0" borderId="0" xfId="0" applyFont="1" applyAlignment="1">
      <alignment horizontal="right"/>
    </xf>
    <xf numFmtId="0" fontId="0" fillId="0" borderId="0" xfId="0" applyAlignment="1" applyProtection="1">
      <alignment horizontal="right"/>
      <protection locked="0"/>
    </xf>
    <xf numFmtId="8" fontId="0" fillId="35" borderId="12" xfId="0" applyNumberFormat="1" applyFill="1" applyBorder="1" applyAlignment="1" applyProtection="1">
      <alignment horizontal="center" vertical="center"/>
      <protection locked="0"/>
    </xf>
    <xf numFmtId="0" fontId="0" fillId="35" borderId="12" xfId="0" applyFill="1" applyBorder="1" applyAlignment="1" applyProtection="1">
      <alignment horizontal="center" vertical="center"/>
      <protection locked="0"/>
    </xf>
    <xf numFmtId="0" fontId="16" fillId="36" borderId="0" xfId="0" applyFont="1" applyFill="1" applyAlignment="1">
      <alignment horizontal="center"/>
    </xf>
    <xf numFmtId="0" fontId="16" fillId="0" borderId="12" xfId="0" applyFont="1" applyBorder="1" applyAlignment="1">
      <alignment horizontal="center"/>
    </xf>
    <xf numFmtId="166" fontId="0" fillId="35" borderId="12" xfId="0" applyNumberFormat="1" applyFill="1" applyBorder="1" applyAlignment="1" applyProtection="1">
      <alignment horizontal="center"/>
      <protection locked="0"/>
    </xf>
    <xf numFmtId="0" fontId="16" fillId="36" borderId="13" xfId="0" applyFont="1" applyFill="1" applyBorder="1" applyAlignment="1">
      <alignment horizontal="center" vertical="center"/>
    </xf>
    <xf numFmtId="0" fontId="16" fillId="36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43">
    <cellStyle name="20% - Cor1" xfId="20" builtinId="30" customBuiltin="1"/>
    <cellStyle name="20% - Cor2" xfId="24" builtinId="34" customBuiltin="1"/>
    <cellStyle name="20% - Cor3" xfId="28" builtinId="38" customBuiltin="1"/>
    <cellStyle name="20% - Cor4" xfId="32" builtinId="42" customBuiltin="1"/>
    <cellStyle name="20% - Cor5" xfId="36" builtinId="46" customBuiltin="1"/>
    <cellStyle name="20% - Cor6" xfId="40" builtinId="50" customBuiltin="1"/>
    <cellStyle name="40% - Cor1" xfId="21" builtinId="31" customBuiltin="1"/>
    <cellStyle name="40% - Cor2" xfId="25" builtinId="35" customBuiltin="1"/>
    <cellStyle name="40% - Cor3" xfId="29" builtinId="39" customBuiltin="1"/>
    <cellStyle name="40% - Cor4" xfId="33" builtinId="43" customBuiltin="1"/>
    <cellStyle name="40% - Cor5" xfId="37" builtinId="47" customBuiltin="1"/>
    <cellStyle name="40% - Cor6" xfId="41" builtinId="51" customBuiltin="1"/>
    <cellStyle name="60% - Cor1" xfId="22" builtinId="32" customBuiltin="1"/>
    <cellStyle name="60% - Cor2" xfId="26" builtinId="36" customBuiltin="1"/>
    <cellStyle name="60% - Cor3" xfId="30" builtinId="40" customBuiltin="1"/>
    <cellStyle name="60% - Cor4" xfId="34" builtinId="44" customBuiltin="1"/>
    <cellStyle name="60% - Cor5" xfId="38" builtinId="48" customBuiltin="1"/>
    <cellStyle name="60% - Cor6" xfId="42" builtinId="52" customBuiltin="1"/>
    <cellStyle name="Cabeçalho 1" xfId="3" builtinId="16" customBuiltin="1"/>
    <cellStyle name="Cabeçalho 2" xfId="4" builtinId="17" customBuiltin="1"/>
    <cellStyle name="Cabeçalho 3" xfId="5" builtinId="18" customBuiltin="1"/>
    <cellStyle name="Cabeçalho 4" xfId="6" builtinId="19" customBuiltin="1"/>
    <cellStyle name="Cálculo" xfId="12" builtinId="22" customBuiltin="1"/>
    <cellStyle name="Célula Ligada" xfId="13" builtinId="24" customBuiltin="1"/>
    <cellStyle name="Cor1" xfId="19" builtinId="29" customBuiltin="1"/>
    <cellStyle name="Cor2" xfId="23" builtinId="33" customBuiltin="1"/>
    <cellStyle name="Cor3" xfId="27" builtinId="37" customBuiltin="1"/>
    <cellStyle name="Cor4" xfId="31" builtinId="41" customBuiltin="1"/>
    <cellStyle name="Cor5" xfId="35" builtinId="45" customBuiltin="1"/>
    <cellStyle name="Cor6" xfId="39" builtinId="49" customBuiltin="1"/>
    <cellStyle name="Correto" xfId="7" builtinId="26" customBuiltin="1"/>
    <cellStyle name="Entrada" xfId="10" builtinId="20" customBuiltin="1"/>
    <cellStyle name="Incorreto" xfId="8" builtinId="27" customBuiltin="1"/>
    <cellStyle name="Neutro" xfId="9" builtinId="28" customBuiltin="1"/>
    <cellStyle name="Normal" xfId="0" builtinId="0"/>
    <cellStyle name="Nota" xfId="16" builtinId="10" customBuiltin="1"/>
    <cellStyle name="Pe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otal" xfId="18" builtinId="25" customBuiltin="1"/>
    <cellStyle name="Verificar Célula" xfId="14" builtinId="23" customBuiltin="1"/>
  </cellStyles>
  <dxfs count="2"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</dxfs>
  <tableStyles count="0" defaultTableStyle="TableStyleMedium2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9"/>
  <sheetViews>
    <sheetView tabSelected="1" topLeftCell="D1" zoomScale="80" zoomScaleNormal="80" zoomScalePageLayoutView="80" workbookViewId="0">
      <selection activeCell="L17" sqref="L17"/>
    </sheetView>
  </sheetViews>
  <sheetFormatPr defaultColWidth="8.796875" defaultRowHeight="14.25" x14ac:dyDescent="0.45"/>
  <cols>
    <col min="1" max="1" width="9.46484375" style="29" bestFit="1" customWidth="1"/>
    <col min="2" max="2" width="18.1328125" style="29" bestFit="1" customWidth="1"/>
    <col min="3" max="3" width="62.46484375" style="29" bestFit="1" customWidth="1"/>
    <col min="4" max="4" width="26.796875" style="29" bestFit="1" customWidth="1"/>
    <col min="5" max="5" width="9.33203125" style="29" customWidth="1"/>
    <col min="6" max="6" width="11.46484375" style="29" customWidth="1"/>
    <col min="7" max="7" width="10.796875" style="29" customWidth="1"/>
    <col min="8" max="8" width="10.46484375" style="29" customWidth="1"/>
    <col min="9" max="9" width="11.46484375" style="29" customWidth="1"/>
    <col min="10" max="10" width="15.46484375" style="29" customWidth="1"/>
    <col min="11" max="11" width="13.46484375" style="29" customWidth="1"/>
    <col min="12" max="12" width="14.1328125" style="29" bestFit="1" customWidth="1"/>
    <col min="13" max="13" width="15.6640625" style="29" customWidth="1"/>
    <col min="14" max="14" width="17.46484375" style="29" customWidth="1"/>
    <col min="15" max="15" width="14" style="29" customWidth="1"/>
    <col min="16" max="16" width="13.46484375" style="29" customWidth="1"/>
    <col min="17" max="17" width="11.1328125" style="29" customWidth="1"/>
    <col min="18" max="16384" width="8.796875" style="29"/>
  </cols>
  <sheetData>
    <row r="1" spans="1:20" ht="29.55" customHeight="1" x14ac:dyDescent="0.45">
      <c r="A1" s="11" t="s">
        <v>75</v>
      </c>
      <c r="B1" s="11" t="s">
        <v>76</v>
      </c>
      <c r="C1" s="11" t="s">
        <v>77</v>
      </c>
      <c r="D1" s="12" t="s">
        <v>78</v>
      </c>
      <c r="E1" s="12" t="s">
        <v>61</v>
      </c>
      <c r="F1" s="12" t="s">
        <v>40</v>
      </c>
      <c r="G1" s="12" t="s">
        <v>39</v>
      </c>
      <c r="H1" s="12" t="s">
        <v>38</v>
      </c>
      <c r="I1" s="12" t="s">
        <v>60</v>
      </c>
      <c r="J1" s="10" t="s">
        <v>31</v>
      </c>
      <c r="K1" s="10" t="s">
        <v>32</v>
      </c>
      <c r="L1" s="10" t="s">
        <v>50</v>
      </c>
      <c r="M1" s="10" t="s">
        <v>51</v>
      </c>
      <c r="N1" s="10" t="s">
        <v>34</v>
      </c>
      <c r="O1" s="10" t="s">
        <v>37</v>
      </c>
      <c r="P1" s="14" t="s">
        <v>48</v>
      </c>
      <c r="Q1" s="14" t="s">
        <v>49</v>
      </c>
    </row>
    <row r="2" spans="1:20" x14ac:dyDescent="0.45">
      <c r="A2">
        <v>106628</v>
      </c>
      <c r="B2" t="s">
        <v>79</v>
      </c>
      <c r="C2" t="s">
        <v>80</v>
      </c>
      <c r="D2" t="s">
        <v>81</v>
      </c>
      <c r="E2" s="4">
        <v>100</v>
      </c>
      <c r="F2" t="s">
        <v>82</v>
      </c>
      <c r="G2" t="s">
        <v>83</v>
      </c>
      <c r="H2">
        <v>2016</v>
      </c>
      <c r="I2" s="1">
        <v>87554.3</v>
      </c>
      <c r="J2" s="5">
        <f t="shared" ref="J2:J33" si="0">I2/365</f>
        <v>239.87479452054797</v>
      </c>
      <c r="K2" s="5">
        <f>+J2/Considerações!$G$53</f>
        <v>23.987479452054796</v>
      </c>
      <c r="L2" s="5">
        <f>+((M2*1000)/Considerações!$D$30)*1.6/1000</f>
        <v>0.8</v>
      </c>
      <c r="M2" s="6">
        <f>+VLOOKUP(E2,Considerações!$A$35:$C$43,2,FALSE)</f>
        <v>100</v>
      </c>
      <c r="N2" s="16" t="str">
        <f t="shared" ref="N2:N33" si="1">+IF(K2&lt;L2,"Sobredimensionado",IF(K2&gt;M2,"Subdimensionado","OK"))</f>
        <v>OK</v>
      </c>
      <c r="O2" s="15">
        <f>IF((2020-H2)&lt;17,VLOOKUP((2020-H2),Considerações!$A$5:$B$22,2,FALSE),Considerações!$B$22)+IF(K2&gt;M2,Considerações!$D$27,IF(K2&lt;L2,Considerações!$D$26,0))</f>
        <v>0</v>
      </c>
      <c r="P2" s="22">
        <f t="shared" ref="P2:P33" si="2">O2*I2</f>
        <v>0</v>
      </c>
      <c r="Q2" s="23">
        <f>+IF(I2/12&lt;Considerações!$C$47,Considerações!$E$47,IF('biggers above 3000'!I2/12&lt;Considerações!$C$48,Considerações!$E$48,IF('biggers above 3000'!I2/12&lt;Considerações!$C$49,Considerações!$E$49,Considerações!$E$50)))*P2+Considerações!$F$47*P2+Considerações!$G$47*P2</f>
        <v>0</v>
      </c>
      <c r="R2" s="30"/>
      <c r="T2" s="31"/>
    </row>
    <row r="3" spans="1:20" x14ac:dyDescent="0.45">
      <c r="A3">
        <v>106987</v>
      </c>
      <c r="B3" t="s">
        <v>84</v>
      </c>
      <c r="C3" t="s">
        <v>85</v>
      </c>
      <c r="D3" t="s">
        <v>86</v>
      </c>
      <c r="E3" s="4">
        <v>30</v>
      </c>
      <c r="F3" t="s">
        <v>87</v>
      </c>
      <c r="G3" t="s">
        <v>87</v>
      </c>
      <c r="H3">
        <v>2018</v>
      </c>
      <c r="I3" s="1">
        <v>70270</v>
      </c>
      <c r="J3" s="5">
        <f t="shared" si="0"/>
        <v>192.52054794520549</v>
      </c>
      <c r="K3" s="5">
        <f>+J3/Considerações!$G$53</f>
        <v>19.25205479452055</v>
      </c>
      <c r="L3" s="5">
        <f>+((M3*1000)/Considerações!$D$30)*1.6/1000</f>
        <v>0.08</v>
      </c>
      <c r="M3" s="6">
        <f>+VLOOKUP(E3,Considerações!$A$35:$C$43,2,FALSE)</f>
        <v>10</v>
      </c>
      <c r="N3" s="16" t="str">
        <f t="shared" si="1"/>
        <v>Subdimensionado</v>
      </c>
      <c r="O3" s="15">
        <f>IF((2020-H3)&lt;17,VLOOKUP((2020-H3),Considerações!$A$5:$B$22,2,FALSE),Considerações!$B$22)+IF(K3&gt;M3,Considerações!$D$27,IF(K3&lt;L3,Considerações!$D$26,0))</f>
        <v>-0.08</v>
      </c>
      <c r="P3" s="22">
        <f t="shared" si="2"/>
        <v>-5621.6</v>
      </c>
      <c r="Q3" s="23">
        <f>+IF(I3/12&lt;Considerações!$C$47,Considerações!$E$47,IF('biggers above 3000'!I3/12&lt;Considerações!$C$48,Considerações!$E$48,IF('biggers above 3000'!I3/12&lt;Considerações!$C$49,Considerações!$E$49,Considerações!$E$50)))*P3+Considerações!$F$47*P3+Considerações!$G$47*P3</f>
        <v>-16414.509839999999</v>
      </c>
      <c r="S3" s="32"/>
    </row>
    <row r="4" spans="1:20" x14ac:dyDescent="0.45">
      <c r="A4">
        <v>106987</v>
      </c>
      <c r="B4" t="s">
        <v>84</v>
      </c>
      <c r="C4" t="s">
        <v>85</v>
      </c>
      <c r="D4" t="s">
        <v>86</v>
      </c>
      <c r="E4" s="4">
        <v>30</v>
      </c>
      <c r="F4" t="s">
        <v>88</v>
      </c>
      <c r="G4" t="s">
        <v>89</v>
      </c>
      <c r="H4">
        <v>2018</v>
      </c>
      <c r="I4" s="1">
        <v>70270</v>
      </c>
      <c r="J4" s="5">
        <f t="shared" si="0"/>
        <v>192.52054794520549</v>
      </c>
      <c r="K4" s="5">
        <f>+J4/Considerações!$G$53</f>
        <v>19.25205479452055</v>
      </c>
      <c r="L4" s="5">
        <f>+((M4*1000)/Considerações!$D$30)*1.6/1000</f>
        <v>0.08</v>
      </c>
      <c r="M4" s="6">
        <f>+VLOOKUP(E4,Considerações!$A$35:$C$43,2,FALSE)</f>
        <v>10</v>
      </c>
      <c r="N4" s="16" t="str">
        <f t="shared" si="1"/>
        <v>Subdimensionado</v>
      </c>
      <c r="O4" s="15">
        <f>IF((2020-H4)&lt;17,VLOOKUP((2020-H4),Considerações!$A$5:$B$22,2,FALSE),Considerações!$B$22)+IF(K4&gt;M4,Considerações!$D$27,IF(K4&lt;L4,Considerações!$D$26,0))</f>
        <v>-0.08</v>
      </c>
      <c r="P4" s="22">
        <f t="shared" si="2"/>
        <v>-5621.6</v>
      </c>
      <c r="Q4" s="23">
        <f>+IF(I4/12&lt;Considerações!$C$47,Considerações!$E$47,IF('biggers above 3000'!I4/12&lt;Considerações!$C$48,Considerações!$E$48,IF('biggers above 3000'!I4/12&lt;Considerações!$C$49,Considerações!$E$49,Considerações!$E$50)))*P4+Considerações!$F$47*P4+Considerações!$G$47*P4</f>
        <v>-16414.509839999999</v>
      </c>
      <c r="S4" s="32"/>
    </row>
    <row r="5" spans="1:20" x14ac:dyDescent="0.45">
      <c r="A5">
        <v>106340</v>
      </c>
      <c r="B5" t="s">
        <v>90</v>
      </c>
      <c r="C5" t="s">
        <v>91</v>
      </c>
      <c r="D5" t="s">
        <v>86</v>
      </c>
      <c r="E5" s="4">
        <v>40</v>
      </c>
      <c r="F5" t="s">
        <v>92</v>
      </c>
      <c r="G5" t="s">
        <v>93</v>
      </c>
      <c r="H5">
        <v>2010</v>
      </c>
      <c r="I5" s="1">
        <v>59507</v>
      </c>
      <c r="J5" s="5">
        <f t="shared" si="0"/>
        <v>163.03287671232877</v>
      </c>
      <c r="K5" s="5">
        <f>+J5/Considerações!$G$53</f>
        <v>16.303287671232876</v>
      </c>
      <c r="L5" s="5">
        <f>+((M5*1000)/Considerações!$D$30)*1.6/1000</f>
        <v>0.128</v>
      </c>
      <c r="M5" s="6">
        <f>+VLOOKUP(E5,Considerações!$A$35:$C$43,2,FALSE)</f>
        <v>16</v>
      </c>
      <c r="N5" s="16" t="str">
        <f t="shared" si="1"/>
        <v>Subdimensionado</v>
      </c>
      <c r="O5" s="15">
        <f>IF((2020-H5)&lt;17,VLOOKUP((2020-H5),Considerações!$A$5:$B$22,2,FALSE),Considerações!$B$22)+IF(K5&gt;M5,Considerações!$D$27,IF(K5&lt;L5,Considerações!$D$26,0))</f>
        <v>-0.22999999999999998</v>
      </c>
      <c r="P5" s="22">
        <f t="shared" si="2"/>
        <v>-13686.609999999999</v>
      </c>
      <c r="Q5" s="23">
        <f>+IF(I5/12&lt;Considerações!$C$47,Considerações!$E$47,IF('biggers above 3000'!I5/12&lt;Considerações!$C$48,Considerações!$E$48,IF('biggers above 3000'!I5/12&lt;Considerações!$C$49,Considerações!$E$49,Considerações!$E$50)))*P5+Considerações!$F$47*P5+Considerações!$G$47*P5</f>
        <v>-39963.532539</v>
      </c>
      <c r="S5" s="32"/>
    </row>
    <row r="6" spans="1:20" x14ac:dyDescent="0.45">
      <c r="A6">
        <v>100682</v>
      </c>
      <c r="B6" t="s">
        <v>84</v>
      </c>
      <c r="C6" t="s">
        <v>94</v>
      </c>
      <c r="D6" t="s">
        <v>86</v>
      </c>
      <c r="E6" s="4">
        <v>30</v>
      </c>
      <c r="F6" t="s">
        <v>87</v>
      </c>
      <c r="G6" t="s">
        <v>87</v>
      </c>
      <c r="H6">
        <v>2018</v>
      </c>
      <c r="I6" s="1">
        <v>30782</v>
      </c>
      <c r="J6" s="5">
        <f t="shared" si="0"/>
        <v>84.334246575342462</v>
      </c>
      <c r="K6" s="5">
        <f>+J6/Considerações!$G$53</f>
        <v>8.4334246575342462</v>
      </c>
      <c r="L6" s="5">
        <f>+((M6*1000)/Considerações!$D$30)*1.6/1000</f>
        <v>0.08</v>
      </c>
      <c r="M6" s="6">
        <f>+VLOOKUP(E6,Considerações!$A$35:$C$43,2,FALSE)</f>
        <v>10</v>
      </c>
      <c r="N6" s="16" t="str">
        <f t="shared" si="1"/>
        <v>OK</v>
      </c>
      <c r="O6" s="15">
        <f>IF((2020-H6)&lt;17,VLOOKUP((2020-H6),Considerações!$A$5:$B$22,2,FALSE),Considerações!$B$22)+IF(K6&gt;M6,Considerações!$D$27,IF(K6&lt;L6,Considerações!$D$26,0))</f>
        <v>0</v>
      </c>
      <c r="P6" s="22">
        <f t="shared" si="2"/>
        <v>0</v>
      </c>
      <c r="Q6" s="23">
        <f>+IF(I6/12&lt;Considerações!$C$47,Considerações!$E$47,IF('biggers above 3000'!I6/12&lt;Considerações!$C$48,Considerações!$E$48,IF('biggers above 3000'!I6/12&lt;Considerações!$C$49,Considerações!$E$49,Considerações!$E$50)))*P6+Considerações!$F$47*P6+Considerações!$G$47*P6</f>
        <v>0</v>
      </c>
      <c r="S6" s="32"/>
    </row>
    <row r="7" spans="1:20" x14ac:dyDescent="0.45">
      <c r="A7">
        <v>100682</v>
      </c>
      <c r="B7" t="s">
        <v>84</v>
      </c>
      <c r="C7" t="s">
        <v>94</v>
      </c>
      <c r="D7" t="s">
        <v>86</v>
      </c>
      <c r="E7" s="4">
        <v>30</v>
      </c>
      <c r="F7" t="s">
        <v>88</v>
      </c>
      <c r="G7" t="s">
        <v>89</v>
      </c>
      <c r="H7">
        <v>2018</v>
      </c>
      <c r="I7" s="1">
        <v>30782</v>
      </c>
      <c r="J7" s="5">
        <f t="shared" si="0"/>
        <v>84.334246575342462</v>
      </c>
      <c r="K7" s="5">
        <f>+J7/Considerações!$G$53</f>
        <v>8.4334246575342462</v>
      </c>
      <c r="L7" s="5">
        <f>+((M7*1000)/Considerações!$D$30)*1.6/1000</f>
        <v>0.08</v>
      </c>
      <c r="M7" s="6">
        <f>+VLOOKUP(E7,Considerações!$A$35:$C$43,2,FALSE)</f>
        <v>10</v>
      </c>
      <c r="N7" s="16" t="str">
        <f t="shared" si="1"/>
        <v>OK</v>
      </c>
      <c r="O7" s="15">
        <f>IF((2020-H7)&lt;17,VLOOKUP((2020-H7),Considerações!$A$5:$B$22,2,FALSE),Considerações!$B$22)+IF(K7&gt;M7,Considerações!$D$27,IF(K7&lt;L7,Considerações!$D$26,0))</f>
        <v>0</v>
      </c>
      <c r="P7" s="22">
        <f t="shared" si="2"/>
        <v>0</v>
      </c>
      <c r="Q7" s="23">
        <f>+IF(I7/12&lt;Considerações!$C$47,Considerações!$E$47,IF('biggers above 3000'!I7/12&lt;Considerações!$C$48,Considerações!$E$48,IF('biggers above 3000'!I7/12&lt;Considerações!$C$49,Considerações!$E$49,Considerações!$E$50)))*P7+Considerações!$F$47*P7+Considerações!$G$47*P7</f>
        <v>0</v>
      </c>
      <c r="S7" s="32"/>
    </row>
    <row r="8" spans="1:20" x14ac:dyDescent="0.45">
      <c r="A8">
        <v>18569</v>
      </c>
      <c r="B8" t="s">
        <v>84</v>
      </c>
      <c r="C8" t="s">
        <v>95</v>
      </c>
      <c r="D8" t="s">
        <v>96</v>
      </c>
      <c r="E8" s="4">
        <v>25</v>
      </c>
      <c r="F8" t="s">
        <v>92</v>
      </c>
      <c r="G8" t="s">
        <v>97</v>
      </c>
      <c r="H8">
        <v>2015</v>
      </c>
      <c r="I8" s="1">
        <v>22946</v>
      </c>
      <c r="J8" s="5">
        <f t="shared" si="0"/>
        <v>62.865753424657534</v>
      </c>
      <c r="K8" s="5">
        <f>+J8/Considerações!$G$53</f>
        <v>6.2865753424657536</v>
      </c>
      <c r="L8" s="5">
        <f>+((M8*1000)/Considerações!$D$30)*1.6/1000</f>
        <v>5.0400000000000007E-2</v>
      </c>
      <c r="M8" s="6">
        <f>+VLOOKUP(E8,Considerações!$A$35:$C$43,2,FALSE)</f>
        <v>6.3</v>
      </c>
      <c r="N8" s="16" t="str">
        <f t="shared" si="1"/>
        <v>OK</v>
      </c>
      <c r="O8" s="15">
        <f>IF((2020-H8)&lt;17,VLOOKUP((2020-H8),Considerações!$A$5:$B$22,2,FALSE),Considerações!$B$22)+IF(K8&gt;M8,Considerações!$D$27,IF(K8&lt;L8,Considerações!$D$26,0))</f>
        <v>-7.0000000000000007E-2</v>
      </c>
      <c r="P8" s="22">
        <f t="shared" si="2"/>
        <v>-1606.2200000000003</v>
      </c>
      <c r="Q8" s="23">
        <f>+IF(I8/12&lt;Considerações!$C$47,Considerações!$E$47,IF('biggers above 3000'!I8/12&lt;Considerações!$C$48,Considerações!$E$48,IF('biggers above 3000'!I8/12&lt;Considerações!$C$49,Considerações!$E$49,Considerações!$E$50)))*P8+Considerações!$F$47*P8+Considerações!$G$47*P8</f>
        <v>-4690.0017780000007</v>
      </c>
      <c r="S8" s="32"/>
    </row>
    <row r="9" spans="1:20" x14ac:dyDescent="0.45">
      <c r="A9">
        <v>45684</v>
      </c>
      <c r="B9" t="s">
        <v>84</v>
      </c>
      <c r="C9" t="s">
        <v>98</v>
      </c>
      <c r="D9" t="s">
        <v>86</v>
      </c>
      <c r="E9" s="4">
        <v>30</v>
      </c>
      <c r="F9" t="s">
        <v>92</v>
      </c>
      <c r="G9" t="s">
        <v>99</v>
      </c>
      <c r="H9">
        <v>2018</v>
      </c>
      <c r="I9" s="1">
        <v>21126</v>
      </c>
      <c r="J9" s="5">
        <f t="shared" si="0"/>
        <v>57.87945205479452</v>
      </c>
      <c r="K9" s="5">
        <f>+J9/Considerações!$G$53</f>
        <v>5.7879452054794518</v>
      </c>
      <c r="L9" s="5">
        <f>+((M9*1000)/Considerações!$D$30)*1.6/1000</f>
        <v>0.08</v>
      </c>
      <c r="M9" s="6">
        <f>+VLOOKUP(E9,Considerações!$A$35:$C$43,2,FALSE)</f>
        <v>10</v>
      </c>
      <c r="N9" s="16" t="str">
        <f t="shared" si="1"/>
        <v>OK</v>
      </c>
      <c r="O9" s="15">
        <f>IF((2020-H9)&lt;17,VLOOKUP((2020-H9),Considerações!$A$5:$B$22,2,FALSE),Considerações!$B$22)+IF(K9&gt;M9,Considerações!$D$27,IF(K9&lt;L9,Considerações!$D$26,0))</f>
        <v>0</v>
      </c>
      <c r="P9" s="22">
        <f t="shared" si="2"/>
        <v>0</v>
      </c>
      <c r="Q9" s="23">
        <f>+IF(I9/12&lt;Considerações!$C$47,Considerações!$E$47,IF('biggers above 3000'!I9/12&lt;Considerações!$C$48,Considerações!$E$48,IF('biggers above 3000'!I9/12&lt;Considerações!$C$49,Considerações!$E$49,Considerações!$E$50)))*P9+Considerações!$F$47*P9+Considerações!$G$47*P9</f>
        <v>0</v>
      </c>
      <c r="S9" s="32"/>
    </row>
    <row r="10" spans="1:20" x14ac:dyDescent="0.45">
      <c r="A10">
        <v>4773</v>
      </c>
      <c r="B10" t="s">
        <v>90</v>
      </c>
      <c r="C10" t="s">
        <v>100</v>
      </c>
      <c r="D10" t="s">
        <v>101</v>
      </c>
      <c r="E10" s="4">
        <v>40</v>
      </c>
      <c r="F10" t="s">
        <v>92</v>
      </c>
      <c r="G10" t="s">
        <v>93</v>
      </c>
      <c r="H10">
        <v>2013</v>
      </c>
      <c r="I10" s="1">
        <v>17025</v>
      </c>
      <c r="J10" s="5">
        <f t="shared" si="0"/>
        <v>46.643835616438359</v>
      </c>
      <c r="K10" s="5">
        <f>+J10/Considerações!$G$53</f>
        <v>4.6643835616438363</v>
      </c>
      <c r="L10" s="5">
        <f>+((M10*1000)/Considerações!$D$30)*1.6/1000</f>
        <v>0.128</v>
      </c>
      <c r="M10" s="6">
        <f>+VLOOKUP(E10,Considerações!$A$35:$C$43,2,FALSE)</f>
        <v>16</v>
      </c>
      <c r="N10" s="16" t="str">
        <f t="shared" si="1"/>
        <v>OK</v>
      </c>
      <c r="O10" s="15">
        <f>IF((2020-H10)&lt;17,VLOOKUP((2020-H10),Considerações!$A$5:$B$22,2,FALSE),Considerações!$B$22)+IF(K10&gt;M10,Considerações!$D$27,IF(K10&lt;L10,Considerações!$D$26,0))</f>
        <v>-7.0000000000000007E-2</v>
      </c>
      <c r="P10" s="22">
        <f t="shared" si="2"/>
        <v>-1191.75</v>
      </c>
      <c r="Q10" s="23">
        <f>+IF(I10/12&lt;Considerações!$C$47,Considerações!$E$47,IF('biggers above 3000'!I10/12&lt;Considerações!$C$48,Considerações!$E$48,IF('biggers above 3000'!I10/12&lt;Considerações!$C$49,Considerações!$E$49,Considerações!$E$50)))*P10+Considerações!$F$47*P10+Considerações!$G$47*P10</f>
        <v>-3479.790825</v>
      </c>
      <c r="S10" s="32"/>
    </row>
    <row r="11" spans="1:20" x14ac:dyDescent="0.45">
      <c r="A11">
        <v>23165</v>
      </c>
      <c r="B11" t="s">
        <v>90</v>
      </c>
      <c r="C11" t="s">
        <v>102</v>
      </c>
      <c r="D11" t="s">
        <v>101</v>
      </c>
      <c r="E11" s="4">
        <v>40</v>
      </c>
      <c r="F11" t="s">
        <v>92</v>
      </c>
      <c r="G11" t="s">
        <v>93</v>
      </c>
      <c r="H11">
        <v>2002</v>
      </c>
      <c r="I11" s="1">
        <v>13100</v>
      </c>
      <c r="J11" s="5">
        <f t="shared" si="0"/>
        <v>35.890410958904113</v>
      </c>
      <c r="K11" s="5">
        <f>+J11/Considerações!$G$53</f>
        <v>3.5890410958904111</v>
      </c>
      <c r="L11" s="5">
        <f>+((M11*1000)/Considerações!$D$30)*1.6/1000</f>
        <v>0.128</v>
      </c>
      <c r="M11" s="6">
        <f>+VLOOKUP(E11,Considerações!$A$35:$C$43,2,FALSE)</f>
        <v>16</v>
      </c>
      <c r="N11" s="16" t="str">
        <f t="shared" si="1"/>
        <v>OK</v>
      </c>
      <c r="O11" s="15">
        <f>IF((2020-H11)&lt;17,VLOOKUP((2020-H11),Considerações!$A$5:$B$22,2,FALSE),Considerações!$B$22)+IF(K11&gt;M11,Considerações!$D$27,IF(K11&lt;L11,Considerações!$D$26,0))</f>
        <v>-0.4</v>
      </c>
      <c r="P11" s="22">
        <f t="shared" si="2"/>
        <v>-5240</v>
      </c>
      <c r="Q11" s="23">
        <f>+IF(I11/12&lt;Considerações!$C$47,Considerações!$E$47,IF('biggers above 3000'!I11/12&lt;Considerações!$C$48,Considerações!$E$48,IF('biggers above 3000'!I11/12&lt;Considerações!$C$49,Considerações!$E$49,Considerações!$E$50)))*P11+Considerações!$F$47*P11+Considerações!$G$47*P11</f>
        <v>-15300.275999999998</v>
      </c>
      <c r="S11" s="32"/>
    </row>
    <row r="12" spans="1:20" x14ac:dyDescent="0.45">
      <c r="A12">
        <v>106352</v>
      </c>
      <c r="B12" t="s">
        <v>79</v>
      </c>
      <c r="C12" t="s">
        <v>103</v>
      </c>
      <c r="D12" t="s">
        <v>104</v>
      </c>
      <c r="E12" s="4">
        <v>65</v>
      </c>
      <c r="F12" t="s">
        <v>105</v>
      </c>
      <c r="G12" t="s">
        <v>106</v>
      </c>
      <c r="H12">
        <v>2016</v>
      </c>
      <c r="I12" s="1">
        <v>12485</v>
      </c>
      <c r="J12" s="5">
        <f t="shared" si="0"/>
        <v>34.205479452054796</v>
      </c>
      <c r="K12" s="5">
        <f>+J12/Considerações!$G$53</f>
        <v>3.4205479452054797</v>
      </c>
      <c r="L12" s="5">
        <f>+((M12*1000)/Considerações!$D$30)*1.6/1000</f>
        <v>0.32</v>
      </c>
      <c r="M12" s="6">
        <f>+VLOOKUP(E12,Considerações!$A$35:$C$43,2,FALSE)</f>
        <v>40</v>
      </c>
      <c r="N12" s="16" t="str">
        <f t="shared" si="1"/>
        <v>OK</v>
      </c>
      <c r="O12" s="15">
        <f>IF((2020-H12)&lt;17,VLOOKUP((2020-H12),Considerações!$A$5:$B$22,2,FALSE),Considerações!$B$22)+IF(K12&gt;M12,Considerações!$D$27,IF(K12&lt;L12,Considerações!$D$26,0))</f>
        <v>0</v>
      </c>
      <c r="P12" s="22">
        <f t="shared" si="2"/>
        <v>0</v>
      </c>
      <c r="Q12" s="23">
        <f>+IF(I12/12&lt;Considerações!$C$47,Considerações!$E$47,IF('biggers above 3000'!I12/12&lt;Considerações!$C$48,Considerações!$E$48,IF('biggers above 3000'!I12/12&lt;Considerações!$C$49,Considerações!$E$49,Considerações!$E$50)))*P12+Considerações!$F$47*P12+Considerações!$G$47*P12</f>
        <v>0</v>
      </c>
      <c r="S12" s="32"/>
    </row>
    <row r="13" spans="1:20" x14ac:dyDescent="0.45">
      <c r="A13">
        <v>41125</v>
      </c>
      <c r="B13" t="s">
        <v>79</v>
      </c>
      <c r="C13" t="s">
        <v>107</v>
      </c>
      <c r="D13" t="s">
        <v>104</v>
      </c>
      <c r="E13" s="4">
        <v>80</v>
      </c>
      <c r="F13" t="s">
        <v>108</v>
      </c>
      <c r="G13" t="s">
        <v>109</v>
      </c>
      <c r="H13">
        <v>2015</v>
      </c>
      <c r="I13" s="1">
        <v>11255</v>
      </c>
      <c r="J13" s="5">
        <f t="shared" si="0"/>
        <v>30.835616438356166</v>
      </c>
      <c r="K13" s="5">
        <f>+J13/Considerações!$G$53</f>
        <v>3.0835616438356164</v>
      </c>
      <c r="L13" s="5">
        <f>+((M13*1000)/Considerações!$D$30)*1.6/1000</f>
        <v>0.504</v>
      </c>
      <c r="M13" s="6">
        <f>+VLOOKUP(E13,Considerações!$A$35:$C$43,2,FALSE)</f>
        <v>63</v>
      </c>
      <c r="N13" s="16" t="str">
        <f t="shared" si="1"/>
        <v>OK</v>
      </c>
      <c r="O13" s="15">
        <f>IF((2020-H13)&lt;17,VLOOKUP((2020-H13),Considerações!$A$5:$B$22,2,FALSE),Considerações!$B$22)+IF(K13&gt;M13,Considerações!$D$27,IF(K13&lt;L13,Considerações!$D$26,0))</f>
        <v>-7.0000000000000007E-2</v>
      </c>
      <c r="P13" s="22">
        <f t="shared" si="2"/>
        <v>-787.85</v>
      </c>
      <c r="Q13" s="23">
        <f>+IF(I13/12&lt;Considerações!$C$47,Considerações!$E$47,IF('biggers above 3000'!I13/12&lt;Considerações!$C$48,Considerações!$E$48,IF('biggers above 3000'!I13/12&lt;Considerações!$C$49,Considerações!$E$49,Considerações!$E$50)))*P13+Considerações!$F$47*P13+Considerações!$G$47*P13</f>
        <v>-2300.4432150000002</v>
      </c>
      <c r="S13" s="32"/>
    </row>
    <row r="14" spans="1:20" x14ac:dyDescent="0.45">
      <c r="A14">
        <v>27192</v>
      </c>
      <c r="B14" t="s">
        <v>90</v>
      </c>
      <c r="C14" t="s">
        <v>110</v>
      </c>
      <c r="D14" t="s">
        <v>101</v>
      </c>
      <c r="E14" s="4">
        <v>40</v>
      </c>
      <c r="F14" t="s">
        <v>92</v>
      </c>
      <c r="G14" t="s">
        <v>93</v>
      </c>
      <c r="H14">
        <v>2014</v>
      </c>
      <c r="I14" s="1">
        <v>9898</v>
      </c>
      <c r="J14" s="5">
        <f t="shared" si="0"/>
        <v>27.117808219178084</v>
      </c>
      <c r="K14" s="5">
        <f>+J14/Considerações!$G$53</f>
        <v>2.7117808219178086</v>
      </c>
      <c r="L14" s="5">
        <f>+((M14*1000)/Considerações!$D$30)*1.6/1000</f>
        <v>0.128</v>
      </c>
      <c r="M14" s="6">
        <f>+VLOOKUP(E14,Considerações!$A$35:$C$43,2,FALSE)</f>
        <v>16</v>
      </c>
      <c r="N14" s="16" t="str">
        <f t="shared" si="1"/>
        <v>OK</v>
      </c>
      <c r="O14" s="15">
        <f>IF((2020-H14)&lt;17,VLOOKUP((2020-H14),Considerações!$A$5:$B$22,2,FALSE),Considerações!$B$22)+IF(K14&gt;M14,Considerações!$D$27,IF(K14&lt;L14,Considerações!$D$26,0))</f>
        <v>-7.0000000000000007E-2</v>
      </c>
      <c r="P14" s="22">
        <f t="shared" si="2"/>
        <v>-692.86</v>
      </c>
      <c r="Q14" s="23">
        <f>+IF(I14/12&lt;Considerações!$C$47,Considerações!$E$47,IF('biggers above 3000'!I14/12&lt;Considerações!$C$48,Considerações!$E$48,IF('biggers above 3000'!I14/12&lt;Considerações!$C$49,Considerações!$E$49,Considerações!$E$50)))*P14+Considerações!$F$47*P14+Considerações!$G$47*P14</f>
        <v>-2023.0819139999999</v>
      </c>
      <c r="S14" s="32"/>
    </row>
    <row r="15" spans="1:20" x14ac:dyDescent="0.45">
      <c r="A15">
        <v>6040</v>
      </c>
      <c r="B15" t="s">
        <v>79</v>
      </c>
      <c r="C15" t="s">
        <v>111</v>
      </c>
      <c r="D15" t="s">
        <v>104</v>
      </c>
      <c r="E15" s="4">
        <v>40</v>
      </c>
      <c r="F15" t="s">
        <v>92</v>
      </c>
      <c r="G15" t="s">
        <v>93</v>
      </c>
      <c r="H15">
        <v>2005</v>
      </c>
      <c r="I15" s="1">
        <v>9328</v>
      </c>
      <c r="J15" s="5">
        <f t="shared" si="0"/>
        <v>25.556164383561644</v>
      </c>
      <c r="K15" s="5">
        <f>+J15/Considerações!$G$53</f>
        <v>2.5556164383561644</v>
      </c>
      <c r="L15" s="5">
        <f>+((M15*1000)/Considerações!$D$30)*1.6/1000</f>
        <v>0.128</v>
      </c>
      <c r="M15" s="6">
        <f>+VLOOKUP(E15,Considerações!$A$35:$C$43,2,FALSE)</f>
        <v>16</v>
      </c>
      <c r="N15" s="16" t="str">
        <f t="shared" si="1"/>
        <v>OK</v>
      </c>
      <c r="O15" s="15">
        <f>IF((2020-H15)&lt;17,VLOOKUP((2020-H15),Considerações!$A$5:$B$22,2,FALSE),Considerações!$B$22)+IF(K15&gt;M15,Considerações!$D$27,IF(K15&lt;L15,Considerações!$D$26,0))</f>
        <v>-0.3</v>
      </c>
      <c r="P15" s="22">
        <f t="shared" si="2"/>
        <v>-2798.4</v>
      </c>
      <c r="Q15" s="23">
        <f>+IF(I15/12&lt;Considerações!$C$47,Considerações!$E$47,IF('biggers above 3000'!I15/12&lt;Considerações!$C$48,Considerações!$E$48,IF('biggers above 3000'!I15/12&lt;Considerações!$C$49,Considerações!$E$49,Considerações!$E$50)))*P15+Considerações!$F$47*P15+Considerações!$G$47*P15</f>
        <v>-8171.0481600000003</v>
      </c>
      <c r="S15" s="32"/>
    </row>
    <row r="16" spans="1:20" x14ac:dyDescent="0.45">
      <c r="A16">
        <v>106941</v>
      </c>
      <c r="B16" t="s">
        <v>79</v>
      </c>
      <c r="C16" t="s">
        <v>112</v>
      </c>
      <c r="D16" t="s">
        <v>81</v>
      </c>
      <c r="E16" s="4">
        <v>40</v>
      </c>
      <c r="F16" t="s">
        <v>88</v>
      </c>
      <c r="G16" t="s">
        <v>113</v>
      </c>
      <c r="H16">
        <v>2017</v>
      </c>
      <c r="I16" s="1">
        <v>7956</v>
      </c>
      <c r="J16" s="5">
        <f t="shared" si="0"/>
        <v>21.797260273972604</v>
      </c>
      <c r="K16" s="5">
        <f>+J16/Considerações!$G$53</f>
        <v>2.1797260273972605</v>
      </c>
      <c r="L16" s="5">
        <f>+((M16*1000)/Considerações!$D$30)*1.6/1000</f>
        <v>0.128</v>
      </c>
      <c r="M16" s="6">
        <f>+VLOOKUP(E16,Considerações!$A$35:$C$43,2,FALSE)</f>
        <v>16</v>
      </c>
      <c r="N16" s="16" t="str">
        <f t="shared" si="1"/>
        <v>OK</v>
      </c>
      <c r="O16" s="15">
        <f>IF((2020-H16)&lt;17,VLOOKUP((2020-H16),Considerações!$A$5:$B$22,2,FALSE),Considerações!$B$22)+IF(K16&gt;M16,Considerações!$D$27,IF(K16&lt;L16,Considerações!$D$26,0))</f>
        <v>0</v>
      </c>
      <c r="P16" s="22">
        <f t="shared" si="2"/>
        <v>0</v>
      </c>
      <c r="Q16" s="23">
        <f>+IF(I16/12&lt;Considerações!$C$47,Considerações!$E$47,IF('biggers above 3000'!I16/12&lt;Considerações!$C$48,Considerações!$E$48,IF('biggers above 3000'!I16/12&lt;Considerações!$C$49,Considerações!$E$49,Considerações!$E$50)))*P16+Considerações!$F$47*P16+Considerações!$G$47*P16</f>
        <v>0</v>
      </c>
      <c r="S16" s="32"/>
    </row>
    <row r="17" spans="1:19" x14ac:dyDescent="0.45">
      <c r="A17">
        <v>48382</v>
      </c>
      <c r="B17" t="s">
        <v>84</v>
      </c>
      <c r="C17" t="s">
        <v>114</v>
      </c>
      <c r="D17" t="s">
        <v>86</v>
      </c>
      <c r="E17" s="4">
        <v>25</v>
      </c>
      <c r="F17" t="s">
        <v>92</v>
      </c>
      <c r="G17" t="s">
        <v>97</v>
      </c>
      <c r="H17">
        <v>2015</v>
      </c>
      <c r="I17" s="1">
        <v>7896</v>
      </c>
      <c r="J17" s="5">
        <f t="shared" si="0"/>
        <v>21.632876712328766</v>
      </c>
      <c r="K17" s="5">
        <f>+J17/Considerações!$G$53</f>
        <v>2.1632876712328768</v>
      </c>
      <c r="L17" s="5">
        <f>+((M17*1000)/Considerações!$D$30)*1.6/1000</f>
        <v>5.0400000000000007E-2</v>
      </c>
      <c r="M17" s="6">
        <f>+VLOOKUP(E17,Considerações!$A$35:$C$43,2,FALSE)</f>
        <v>6.3</v>
      </c>
      <c r="N17" s="16" t="str">
        <f t="shared" si="1"/>
        <v>OK</v>
      </c>
      <c r="O17" s="15">
        <f>IF((2020-H17)&lt;17,VLOOKUP((2020-H17),Considerações!$A$5:$B$22,2,FALSE),Considerações!$B$22)+IF(K17&gt;M17,Considerações!$D$27,IF(K17&lt;L17,Considerações!$D$26,0))</f>
        <v>-7.0000000000000007E-2</v>
      </c>
      <c r="P17" s="22">
        <f t="shared" si="2"/>
        <v>-552.72</v>
      </c>
      <c r="Q17" s="23">
        <f>+IF(I17/12&lt;Considerações!$C$47,Considerações!$E$47,IF('biggers above 3000'!I17/12&lt;Considerações!$C$48,Considerações!$E$48,IF('biggers above 3000'!I17/12&lt;Considerações!$C$49,Considerações!$E$49,Considerações!$E$50)))*P17+Considerações!$F$47*P17+Considerações!$G$47*P17</f>
        <v>-1613.8871280000001</v>
      </c>
      <c r="S17" s="32"/>
    </row>
    <row r="18" spans="1:19" x14ac:dyDescent="0.45">
      <c r="A18">
        <v>45685</v>
      </c>
      <c r="B18" t="s">
        <v>84</v>
      </c>
      <c r="C18" t="s">
        <v>98</v>
      </c>
      <c r="D18" t="s">
        <v>86</v>
      </c>
      <c r="E18" s="4">
        <v>30</v>
      </c>
      <c r="F18" t="s">
        <v>115</v>
      </c>
      <c r="G18" t="s">
        <v>116</v>
      </c>
      <c r="H18">
        <v>2005</v>
      </c>
      <c r="I18" s="1">
        <v>7817</v>
      </c>
      <c r="J18" s="5">
        <f t="shared" si="0"/>
        <v>21.416438356164385</v>
      </c>
      <c r="K18" s="5">
        <f>+J18/Considerações!$G$53</f>
        <v>2.1416438356164385</v>
      </c>
      <c r="L18" s="5">
        <f>+((M18*1000)/Considerações!$D$30)*1.6/1000</f>
        <v>0.08</v>
      </c>
      <c r="M18" s="6">
        <f>+VLOOKUP(E18,Considerações!$A$35:$C$43,2,FALSE)</f>
        <v>10</v>
      </c>
      <c r="N18" s="16" t="str">
        <f t="shared" si="1"/>
        <v>OK</v>
      </c>
      <c r="O18" s="15">
        <f>IF((2020-H18)&lt;17,VLOOKUP((2020-H18),Considerações!$A$5:$B$22,2,FALSE),Considerações!$B$22)+IF(K18&gt;M18,Considerações!$D$27,IF(K18&lt;L18,Considerações!$D$26,0))</f>
        <v>-0.3</v>
      </c>
      <c r="P18" s="22">
        <f t="shared" si="2"/>
        <v>-2345.1</v>
      </c>
      <c r="Q18" s="23">
        <f>+IF(I18/12&lt;Considerações!$C$47,Considerações!$E$47,IF('biggers above 3000'!I18/12&lt;Considerações!$C$48,Considerações!$E$48,IF('biggers above 3000'!I18/12&lt;Considerações!$C$49,Considerações!$E$49,Considerações!$E$50)))*P18+Considerações!$F$47*P18+Considerações!$G$47*P18</f>
        <v>-6847.4574899999998</v>
      </c>
      <c r="S18" s="32"/>
    </row>
    <row r="19" spans="1:19" x14ac:dyDescent="0.45">
      <c r="A19">
        <v>46589</v>
      </c>
      <c r="B19" t="s">
        <v>79</v>
      </c>
      <c r="C19" t="s">
        <v>117</v>
      </c>
      <c r="D19" t="s">
        <v>86</v>
      </c>
      <c r="E19" s="4">
        <v>25</v>
      </c>
      <c r="F19" t="s">
        <v>92</v>
      </c>
      <c r="G19" t="s">
        <v>97</v>
      </c>
      <c r="H19">
        <v>2016</v>
      </c>
      <c r="I19" s="1">
        <v>7620</v>
      </c>
      <c r="J19" s="5">
        <f t="shared" si="0"/>
        <v>20.876712328767123</v>
      </c>
      <c r="K19" s="5">
        <f>+J19/Considerações!$G$53</f>
        <v>2.0876712328767124</v>
      </c>
      <c r="L19" s="5">
        <f>+((M19*1000)/Considerações!$D$30)*1.6/1000</f>
        <v>5.0400000000000007E-2</v>
      </c>
      <c r="M19" s="6">
        <f>+VLOOKUP(E19,Considerações!$A$35:$C$43,2,FALSE)</f>
        <v>6.3</v>
      </c>
      <c r="N19" s="16" t="str">
        <f t="shared" si="1"/>
        <v>OK</v>
      </c>
      <c r="O19" s="15">
        <f>IF((2020-H19)&lt;17,VLOOKUP((2020-H19),Considerações!$A$5:$B$22,2,FALSE),Considerações!$B$22)+IF(K19&gt;M19,Considerações!$D$27,IF(K19&lt;L19,Considerações!$D$26,0))</f>
        <v>0</v>
      </c>
      <c r="P19" s="22">
        <f t="shared" si="2"/>
        <v>0</v>
      </c>
      <c r="Q19" s="23">
        <f>+IF(I19/12&lt;Considerações!$C$47,Considerações!$E$47,IF('biggers above 3000'!I19/12&lt;Considerações!$C$48,Considerações!$E$48,IF('biggers above 3000'!I19/12&lt;Considerações!$C$49,Considerações!$E$49,Considerações!$E$50)))*P19+Considerações!$F$47*P19+Considerações!$G$47*P19</f>
        <v>0</v>
      </c>
      <c r="S19" s="32"/>
    </row>
    <row r="20" spans="1:19" x14ac:dyDescent="0.45">
      <c r="A20">
        <v>100326</v>
      </c>
      <c r="B20" t="s">
        <v>90</v>
      </c>
      <c r="C20" t="s">
        <v>118</v>
      </c>
      <c r="D20" t="s">
        <v>119</v>
      </c>
      <c r="E20" s="4">
        <v>20</v>
      </c>
      <c r="F20" t="s">
        <v>92</v>
      </c>
      <c r="G20" t="s">
        <v>120</v>
      </c>
      <c r="H20">
        <v>2014</v>
      </c>
      <c r="I20" s="1">
        <v>7430</v>
      </c>
      <c r="J20" s="5">
        <f t="shared" si="0"/>
        <v>20.356164383561644</v>
      </c>
      <c r="K20" s="5">
        <f>+J20/Considerações!$G$53</f>
        <v>2.0356164383561643</v>
      </c>
      <c r="L20" s="5">
        <f>+((M20*1000)/Considerações!$D$30)*1.6/1000</f>
        <v>3.2000000000000001E-2</v>
      </c>
      <c r="M20" s="6">
        <f>+VLOOKUP(E20,Considerações!$A$35:$C$43,2,FALSE)</f>
        <v>4</v>
      </c>
      <c r="N20" s="16" t="str">
        <f t="shared" si="1"/>
        <v>OK</v>
      </c>
      <c r="O20" s="15">
        <f>IF((2020-H20)&lt;17,VLOOKUP((2020-H20),Considerações!$A$5:$B$22,2,FALSE),Considerações!$B$22)+IF(K20&gt;M20,Considerações!$D$27,IF(K20&lt;L20,Considerações!$D$26,0))</f>
        <v>-7.0000000000000007E-2</v>
      </c>
      <c r="P20" s="22">
        <f t="shared" si="2"/>
        <v>-520.1</v>
      </c>
      <c r="Q20" s="23">
        <f>+IF(I20/12&lt;Considerações!$C$47,Considerações!$E$47,IF('biggers above 3000'!I20/12&lt;Considerações!$C$48,Considerações!$E$48,IF('biggers above 3000'!I20/12&lt;Considerações!$C$49,Considerações!$E$49,Considerações!$E$50)))*P20+Considerações!$F$47*P20+Considerações!$G$47*P20</f>
        <v>-1518.6399900000001</v>
      </c>
    </row>
    <row r="21" spans="1:19" x14ac:dyDescent="0.45">
      <c r="A21">
        <v>14025</v>
      </c>
      <c r="B21" t="s">
        <v>90</v>
      </c>
      <c r="C21" t="s">
        <v>121</v>
      </c>
      <c r="D21" t="s">
        <v>101</v>
      </c>
      <c r="E21" s="4">
        <v>30</v>
      </c>
      <c r="F21" t="s">
        <v>92</v>
      </c>
      <c r="G21" t="s">
        <v>99</v>
      </c>
      <c r="H21">
        <v>2002</v>
      </c>
      <c r="I21" s="1">
        <v>6968</v>
      </c>
      <c r="J21" s="5">
        <f t="shared" si="0"/>
        <v>19.090410958904108</v>
      </c>
      <c r="K21" s="5">
        <f>+J21/Considerações!$G$53</f>
        <v>1.9090410958904109</v>
      </c>
      <c r="L21" s="5">
        <f>+((M21*1000)/Considerações!$D$30)*1.6/1000</f>
        <v>0.08</v>
      </c>
      <c r="M21" s="6">
        <f>+VLOOKUP(E21,Considerações!$A$35:$C$43,2,FALSE)</f>
        <v>10</v>
      </c>
      <c r="N21" s="16" t="str">
        <f t="shared" si="1"/>
        <v>OK</v>
      </c>
      <c r="O21" s="15">
        <f>IF((2020-H21)&lt;17,VLOOKUP((2020-H21),Considerações!$A$5:$B$22,2,FALSE),Considerações!$B$22)+IF(K21&gt;M21,Considerações!$D$27,IF(K21&lt;L21,Considerações!$D$26,0))</f>
        <v>-0.4</v>
      </c>
      <c r="P21" s="22">
        <f t="shared" si="2"/>
        <v>-2787.2000000000003</v>
      </c>
      <c r="Q21" s="23">
        <f>+IF(I21/12&lt;Considerações!$C$47,Considerações!$E$47,IF('biggers above 3000'!I21/12&lt;Considerações!$C$48,Considerações!$E$48,IF('biggers above 3000'!I21/12&lt;Considerações!$C$49,Considerações!$E$49,Considerações!$E$50)))*P21+Considerações!$F$47*P21+Considerações!$G$47*P21</f>
        <v>-8138.3452800000014</v>
      </c>
    </row>
    <row r="22" spans="1:19" x14ac:dyDescent="0.45">
      <c r="A22">
        <v>46587</v>
      </c>
      <c r="B22" t="s">
        <v>84</v>
      </c>
      <c r="C22" t="s">
        <v>122</v>
      </c>
      <c r="D22" t="s">
        <v>86</v>
      </c>
      <c r="E22" s="4">
        <v>15</v>
      </c>
      <c r="F22" t="s">
        <v>123</v>
      </c>
      <c r="G22" t="s">
        <v>124</v>
      </c>
      <c r="H22">
        <v>2016</v>
      </c>
      <c r="I22" s="1">
        <v>6819</v>
      </c>
      <c r="J22" s="5">
        <f t="shared" si="0"/>
        <v>18.682191780821917</v>
      </c>
      <c r="K22" s="5">
        <f>+J22/Considerações!$G$53</f>
        <v>1.8682191780821917</v>
      </c>
      <c r="L22" s="5">
        <f>+((M22*1000)/Considerações!$D$30)*1.6/1000</f>
        <v>0.02</v>
      </c>
      <c r="M22" s="6">
        <f>+VLOOKUP(E22,Considerações!$A$35:$C$43,2,FALSE)</f>
        <v>2.5</v>
      </c>
      <c r="N22" s="16" t="str">
        <f t="shared" si="1"/>
        <v>OK</v>
      </c>
      <c r="O22" s="15">
        <f>IF((2020-H22)&lt;17,VLOOKUP((2020-H22),Considerações!$A$5:$B$22,2,FALSE),Considerações!$B$22)+IF(K22&gt;M22,Considerações!$D$27,IF(K22&lt;L22,Considerações!$D$26,0))</f>
        <v>0</v>
      </c>
      <c r="P22" s="22">
        <f t="shared" si="2"/>
        <v>0</v>
      </c>
      <c r="Q22" s="23">
        <f>+IF(I22/12&lt;Considerações!$C$47,Considerações!$E$47,IF('biggers above 3000'!I22/12&lt;Considerações!$C$48,Considerações!$E$48,IF('biggers above 3000'!I22/12&lt;Considerações!$C$49,Considerações!$E$49,Considerações!$E$50)))*P22+Considerações!$F$47*P22+Considerações!$G$47*P22</f>
        <v>0</v>
      </c>
    </row>
    <row r="23" spans="1:19" x14ac:dyDescent="0.45">
      <c r="A23">
        <v>43583</v>
      </c>
      <c r="B23" t="s">
        <v>90</v>
      </c>
      <c r="C23" t="s">
        <v>125</v>
      </c>
      <c r="D23" t="s">
        <v>96</v>
      </c>
      <c r="E23" s="4">
        <v>25</v>
      </c>
      <c r="F23" t="s">
        <v>92</v>
      </c>
      <c r="G23" t="s">
        <v>126</v>
      </c>
      <c r="H23">
        <v>2002</v>
      </c>
      <c r="I23" s="1">
        <v>6501</v>
      </c>
      <c r="J23" s="5">
        <f t="shared" si="0"/>
        <v>17.81095890410959</v>
      </c>
      <c r="K23" s="5">
        <f>+J23/Considerações!$G$53</f>
        <v>1.7810958904109591</v>
      </c>
      <c r="L23" s="5">
        <f>+((M23*1000)/Considerações!$D$30)*1.6/1000</f>
        <v>5.0400000000000007E-2</v>
      </c>
      <c r="M23" s="6">
        <f>+VLOOKUP(E23,Considerações!$A$35:$C$43,2,FALSE)</f>
        <v>6.3</v>
      </c>
      <c r="N23" s="16" t="str">
        <f t="shared" si="1"/>
        <v>OK</v>
      </c>
      <c r="O23" s="15">
        <f>IF((2020-H23)&lt;17,VLOOKUP((2020-H23),Considerações!$A$5:$B$22,2,FALSE),Considerações!$B$22)+IF(K23&gt;M23,Considerações!$D$27,IF(K23&lt;L23,Considerações!$D$26,0))</f>
        <v>-0.4</v>
      </c>
      <c r="P23" s="22">
        <f t="shared" si="2"/>
        <v>-2600.4</v>
      </c>
      <c r="Q23" s="23">
        <f>+IF(I23/12&lt;Considerações!$C$47,Considerações!$E$47,IF('biggers above 3000'!I23/12&lt;Considerações!$C$48,Considerações!$E$48,IF('biggers above 3000'!I23/12&lt;Considerações!$C$49,Considerações!$E$49,Considerações!$E$50)))*P23+Considerações!$F$47*P23+Considerações!$G$47*P23</f>
        <v>-7592.9079599999995</v>
      </c>
    </row>
    <row r="24" spans="1:19" x14ac:dyDescent="0.45">
      <c r="A24">
        <v>43589</v>
      </c>
      <c r="B24" t="s">
        <v>127</v>
      </c>
      <c r="C24" t="s">
        <v>128</v>
      </c>
      <c r="D24" t="s">
        <v>96</v>
      </c>
      <c r="E24" s="4">
        <v>40</v>
      </c>
      <c r="F24" t="s">
        <v>92</v>
      </c>
      <c r="G24" t="s">
        <v>93</v>
      </c>
      <c r="H24">
        <v>2005</v>
      </c>
      <c r="I24" s="1">
        <v>6214</v>
      </c>
      <c r="J24" s="5">
        <f t="shared" si="0"/>
        <v>17.024657534246575</v>
      </c>
      <c r="K24" s="5">
        <f>+J24/Considerações!$G$53</f>
        <v>1.7024657534246574</v>
      </c>
      <c r="L24" s="5">
        <f>+((M24*1000)/Considerações!$D$30)*1.6/1000</f>
        <v>0.128</v>
      </c>
      <c r="M24" s="6">
        <f>+VLOOKUP(E24,Considerações!$A$35:$C$43,2,FALSE)</f>
        <v>16</v>
      </c>
      <c r="N24" s="16" t="str">
        <f t="shared" si="1"/>
        <v>OK</v>
      </c>
      <c r="O24" s="15">
        <f>IF((2020-H24)&lt;17,VLOOKUP((2020-H24),Considerações!$A$5:$B$22,2,FALSE),Considerações!$B$22)+IF(K24&gt;M24,Considerações!$D$27,IF(K24&lt;L24,Considerações!$D$26,0))</f>
        <v>-0.3</v>
      </c>
      <c r="P24" s="22">
        <f t="shared" si="2"/>
        <v>-1864.1999999999998</v>
      </c>
      <c r="Q24" s="23">
        <f>+IF(I24/12&lt;Considerações!$C$47,Considerações!$E$47,IF('biggers above 3000'!I24/12&lt;Considerações!$C$48,Considerações!$E$48,IF('biggers above 3000'!I24/12&lt;Considerações!$C$49,Considerações!$E$49,Considerações!$E$50)))*P24+Considerações!$F$47*P24+Considerações!$G$47*P24</f>
        <v>-5443.2775799999999</v>
      </c>
    </row>
    <row r="25" spans="1:19" x14ac:dyDescent="0.45">
      <c r="A25">
        <v>43627</v>
      </c>
      <c r="B25" t="s">
        <v>84</v>
      </c>
      <c r="C25" t="s">
        <v>129</v>
      </c>
      <c r="D25" t="s">
        <v>96</v>
      </c>
      <c r="E25" s="4">
        <v>65</v>
      </c>
      <c r="F25" t="s">
        <v>130</v>
      </c>
      <c r="G25" t="s">
        <v>131</v>
      </c>
      <c r="H25">
        <v>2015</v>
      </c>
      <c r="I25" s="1">
        <v>5531</v>
      </c>
      <c r="J25" s="5">
        <f t="shared" si="0"/>
        <v>15.153424657534247</v>
      </c>
      <c r="K25" s="5">
        <f>+J25/Considerações!$G$53</f>
        <v>1.5153424657534247</v>
      </c>
      <c r="L25" s="5">
        <f>+((M25*1000)/Considerações!$D$30)*1.6/1000</f>
        <v>0.32</v>
      </c>
      <c r="M25" s="6">
        <f>+VLOOKUP(E25,Considerações!$A$35:$C$43,2,FALSE)</f>
        <v>40</v>
      </c>
      <c r="N25" s="16" t="str">
        <f t="shared" si="1"/>
        <v>OK</v>
      </c>
      <c r="O25" s="15">
        <f>IF((2020-H25)&lt;17,VLOOKUP((2020-H25),Considerações!$A$5:$B$22,2,FALSE),Considerações!$B$22)+IF(K25&gt;M25,Considerações!$D$27,IF(K25&lt;L25,Considerações!$D$26,0))</f>
        <v>-7.0000000000000007E-2</v>
      </c>
      <c r="P25" s="22">
        <f t="shared" si="2"/>
        <v>-387.17</v>
      </c>
      <c r="Q25" s="23">
        <f>+IF(I25/12&lt;Considerações!$C$47,Considerações!$E$47,IF('biggers above 3000'!I25/12&lt;Considerações!$C$48,Considerações!$E$48,IF('biggers above 3000'!I25/12&lt;Considerações!$C$49,Considerações!$E$49,Considerações!$E$50)))*P25+Considerações!$F$47*P25+Considerações!$G$47*P25</f>
        <v>-1130.4976830000001</v>
      </c>
    </row>
    <row r="26" spans="1:19" x14ac:dyDescent="0.45">
      <c r="A26">
        <v>100795</v>
      </c>
      <c r="B26" t="s">
        <v>90</v>
      </c>
      <c r="C26" t="s">
        <v>132</v>
      </c>
      <c r="D26" t="s">
        <v>86</v>
      </c>
      <c r="E26" s="4">
        <v>20</v>
      </c>
      <c r="F26" t="s">
        <v>115</v>
      </c>
      <c r="G26" t="s">
        <v>133</v>
      </c>
      <c r="H26">
        <v>2018</v>
      </c>
      <c r="I26" s="1">
        <v>5522</v>
      </c>
      <c r="J26" s="5">
        <f t="shared" si="0"/>
        <v>15.128767123287671</v>
      </c>
      <c r="K26" s="5">
        <f>+J26/Considerações!$G$53</f>
        <v>1.5128767123287672</v>
      </c>
      <c r="L26" s="5">
        <f>+((M26*1000)/Considerações!$D$30)*1.6/1000</f>
        <v>3.2000000000000001E-2</v>
      </c>
      <c r="M26" s="6">
        <f>+VLOOKUP(E26,Considerações!$A$35:$C$43,2,FALSE)</f>
        <v>4</v>
      </c>
      <c r="N26" s="16" t="str">
        <f t="shared" si="1"/>
        <v>OK</v>
      </c>
      <c r="O26" s="15">
        <f>IF((2020-H26)&lt;17,VLOOKUP((2020-H26),Considerações!$A$5:$B$22,2,FALSE),Considerações!$B$22)+IF(K26&gt;M26,Considerações!$D$27,IF(K26&lt;L26,Considerações!$D$26,0))</f>
        <v>0</v>
      </c>
      <c r="P26" s="22">
        <f t="shared" si="2"/>
        <v>0</v>
      </c>
      <c r="Q26" s="23">
        <f>+IF(I26/12&lt;Considerações!$C$47,Considerações!$E$47,IF('biggers above 3000'!I26/12&lt;Considerações!$C$48,Considerações!$E$48,IF('biggers above 3000'!I26/12&lt;Considerações!$C$49,Considerações!$E$49,Considerações!$E$50)))*P26+Considerações!$F$47*P26+Considerações!$G$47*P26</f>
        <v>0</v>
      </c>
    </row>
    <row r="27" spans="1:19" x14ac:dyDescent="0.45">
      <c r="A27">
        <v>103257</v>
      </c>
      <c r="B27" t="s">
        <v>134</v>
      </c>
      <c r="C27" t="s">
        <v>135</v>
      </c>
      <c r="D27" t="s">
        <v>101</v>
      </c>
      <c r="E27" s="4">
        <v>15</v>
      </c>
      <c r="F27" t="s">
        <v>82</v>
      </c>
      <c r="G27" t="s">
        <v>136</v>
      </c>
      <c r="H27">
        <v>2002</v>
      </c>
      <c r="I27" s="1">
        <v>5298</v>
      </c>
      <c r="J27" s="5">
        <f t="shared" si="0"/>
        <v>14.515068493150684</v>
      </c>
      <c r="K27" s="5">
        <f>+J27/Considerações!$G$53</f>
        <v>1.4515068493150685</v>
      </c>
      <c r="L27" s="5">
        <f>+((M27*1000)/Considerações!$D$30)*1.6/1000</f>
        <v>0.02</v>
      </c>
      <c r="M27" s="6">
        <f>+VLOOKUP(E27,Considerações!$A$35:$C$43,2,FALSE)</f>
        <v>2.5</v>
      </c>
      <c r="N27" s="16" t="str">
        <f t="shared" si="1"/>
        <v>OK</v>
      </c>
      <c r="O27" s="15">
        <f>IF((2020-H27)&lt;17,VLOOKUP((2020-H27),Considerações!$A$5:$B$22,2,FALSE),Considerações!$B$22)+IF(K27&gt;M27,Considerações!$D$27,IF(K27&lt;L27,Considerações!$D$26,0))</f>
        <v>-0.4</v>
      </c>
      <c r="P27" s="22">
        <f t="shared" si="2"/>
        <v>-2119.2000000000003</v>
      </c>
      <c r="Q27" s="23">
        <f>+IF(I27/12&lt;Considerações!$C$47,Considerações!$E$47,IF('biggers above 3000'!I27/12&lt;Considerações!$C$48,Considerações!$E$48,IF('biggers above 3000'!I27/12&lt;Considerações!$C$49,Considerações!$E$49,Considerações!$E$50)))*P27+Considerações!$F$47*P27+Considerações!$G$47*P27</f>
        <v>-6187.8520800000015</v>
      </c>
    </row>
    <row r="28" spans="1:19" x14ac:dyDescent="0.45">
      <c r="A28">
        <v>106946</v>
      </c>
      <c r="B28" t="s">
        <v>79</v>
      </c>
      <c r="C28" t="s">
        <v>137</v>
      </c>
      <c r="D28" t="s">
        <v>81</v>
      </c>
      <c r="E28" s="4">
        <v>65</v>
      </c>
      <c r="F28" t="s">
        <v>88</v>
      </c>
      <c r="G28" t="s">
        <v>138</v>
      </c>
      <c r="H28">
        <v>2017</v>
      </c>
      <c r="I28" s="1">
        <v>5240</v>
      </c>
      <c r="J28" s="5">
        <f t="shared" si="0"/>
        <v>14.356164383561644</v>
      </c>
      <c r="K28" s="5">
        <f>+J28/Considerações!$G$53</f>
        <v>1.4356164383561645</v>
      </c>
      <c r="L28" s="5">
        <f>+((M28*1000)/Considerações!$D$30)*1.6/1000</f>
        <v>0.32</v>
      </c>
      <c r="M28" s="6">
        <f>+VLOOKUP(E28,Considerações!$A$35:$C$43,2,FALSE)</f>
        <v>40</v>
      </c>
      <c r="N28" s="16" t="str">
        <f t="shared" si="1"/>
        <v>OK</v>
      </c>
      <c r="O28" s="15">
        <f>IF((2020-H28)&lt;17,VLOOKUP((2020-H28),Considerações!$A$5:$B$22,2,FALSE),Considerações!$B$22)+IF(K28&gt;M28,Considerações!$D$27,IF(K28&lt;L28,Considerações!$D$26,0))</f>
        <v>0</v>
      </c>
      <c r="P28" s="22">
        <f t="shared" si="2"/>
        <v>0</v>
      </c>
      <c r="Q28" s="23">
        <f>+IF(I28/12&lt;Considerações!$C$47,Considerações!$E$47,IF('biggers above 3000'!I28/12&lt;Considerações!$C$48,Considerações!$E$48,IF('biggers above 3000'!I28/12&lt;Considerações!$C$49,Considerações!$E$49,Considerações!$E$50)))*P28+Considerações!$F$47*P28+Considerações!$G$47*P28</f>
        <v>0</v>
      </c>
    </row>
    <row r="29" spans="1:19" x14ac:dyDescent="0.45">
      <c r="A29">
        <v>106946</v>
      </c>
      <c r="B29" t="s">
        <v>79</v>
      </c>
      <c r="C29" t="s">
        <v>137</v>
      </c>
      <c r="D29" t="s">
        <v>104</v>
      </c>
      <c r="E29" s="4">
        <v>65</v>
      </c>
      <c r="F29" t="s">
        <v>88</v>
      </c>
      <c r="G29" t="s">
        <v>138</v>
      </c>
      <c r="H29">
        <v>2017</v>
      </c>
      <c r="I29" s="1">
        <v>5240</v>
      </c>
      <c r="J29" s="5">
        <f t="shared" si="0"/>
        <v>14.356164383561644</v>
      </c>
      <c r="K29" s="5">
        <f>+J29/Considerações!$G$53</f>
        <v>1.4356164383561645</v>
      </c>
      <c r="L29" s="5">
        <f>+((M29*1000)/Considerações!$D$30)*1.6/1000</f>
        <v>0.32</v>
      </c>
      <c r="M29" s="6">
        <f>+VLOOKUP(E29,Considerações!$A$35:$C$43,2,FALSE)</f>
        <v>40</v>
      </c>
      <c r="N29" s="16" t="str">
        <f t="shared" si="1"/>
        <v>OK</v>
      </c>
      <c r="O29" s="15">
        <f>IF((2020-H29)&lt;17,VLOOKUP((2020-H29),Considerações!$A$5:$B$22,2,FALSE),Considerações!$B$22)+IF(K29&gt;M29,Considerações!$D$27,IF(K29&lt;L29,Considerações!$D$26,0))</f>
        <v>0</v>
      </c>
      <c r="P29" s="22">
        <f t="shared" si="2"/>
        <v>0</v>
      </c>
      <c r="Q29" s="23">
        <f>+IF(I29/12&lt;Considerações!$C$47,Considerações!$E$47,IF('biggers above 3000'!I29/12&lt;Considerações!$C$48,Considerações!$E$48,IF('biggers above 3000'!I29/12&lt;Considerações!$C$49,Considerações!$E$49,Considerações!$E$50)))*P29+Considerações!$F$47*P29+Considerações!$G$47*P29</f>
        <v>0</v>
      </c>
    </row>
    <row r="30" spans="1:19" x14ac:dyDescent="0.45">
      <c r="A30">
        <v>43632</v>
      </c>
      <c r="B30" t="s">
        <v>90</v>
      </c>
      <c r="C30" t="s">
        <v>139</v>
      </c>
      <c r="D30" t="s">
        <v>96</v>
      </c>
      <c r="E30" s="4">
        <v>30</v>
      </c>
      <c r="F30" t="s">
        <v>92</v>
      </c>
      <c r="G30" t="s">
        <v>140</v>
      </c>
      <c r="H30">
        <v>2005</v>
      </c>
      <c r="I30" s="1">
        <v>5082</v>
      </c>
      <c r="J30" s="5">
        <f t="shared" si="0"/>
        <v>13.923287671232877</v>
      </c>
      <c r="K30" s="5">
        <f>+J30/Considerações!$G$53</f>
        <v>1.3923287671232878</v>
      </c>
      <c r="L30" s="5">
        <f>+((M30*1000)/Considerações!$D$30)*1.6/1000</f>
        <v>0.08</v>
      </c>
      <c r="M30" s="6">
        <f>+VLOOKUP(E30,Considerações!$A$35:$C$43,2,FALSE)</f>
        <v>10</v>
      </c>
      <c r="N30" s="16" t="str">
        <f t="shared" si="1"/>
        <v>OK</v>
      </c>
      <c r="O30" s="15">
        <f>IF((2020-H30)&lt;17,VLOOKUP((2020-H30),Considerações!$A$5:$B$22,2,FALSE),Considerações!$B$22)+IF(K30&gt;M30,Considerações!$D$27,IF(K30&lt;L30,Considerações!$D$26,0))</f>
        <v>-0.3</v>
      </c>
      <c r="P30" s="22">
        <f t="shared" si="2"/>
        <v>-1524.6</v>
      </c>
      <c r="Q30" s="23">
        <f>+IF(I30/12&lt;Considerações!$C$47,Considerações!$E$47,IF('biggers above 3000'!I30/12&lt;Considerações!$C$48,Considerações!$E$48,IF('biggers above 3000'!I30/12&lt;Considerações!$C$49,Considerações!$E$49,Considerações!$E$50)))*P30+Considerações!$F$47*P30+Considerações!$G$47*P30</f>
        <v>-4451.6795400000001</v>
      </c>
    </row>
    <row r="31" spans="1:19" x14ac:dyDescent="0.45">
      <c r="A31">
        <v>102610</v>
      </c>
      <c r="B31" t="s">
        <v>90</v>
      </c>
      <c r="C31" t="s">
        <v>141</v>
      </c>
      <c r="D31" t="s">
        <v>101</v>
      </c>
      <c r="E31" s="4">
        <v>25</v>
      </c>
      <c r="F31" t="s">
        <v>87</v>
      </c>
      <c r="G31" t="s">
        <v>87</v>
      </c>
      <c r="H31">
        <v>2017</v>
      </c>
      <c r="I31" s="1">
        <v>4907</v>
      </c>
      <c r="J31" s="5">
        <f t="shared" si="0"/>
        <v>13.443835616438356</v>
      </c>
      <c r="K31" s="5">
        <f>+J31/Considerações!$G$53</f>
        <v>1.3443835616438355</v>
      </c>
      <c r="L31" s="5">
        <f>+((M31*1000)/Considerações!$D$30)*1.6/1000</f>
        <v>5.0400000000000007E-2</v>
      </c>
      <c r="M31" s="6">
        <f>+VLOOKUP(E31,Considerações!$A$35:$C$43,2,FALSE)</f>
        <v>6.3</v>
      </c>
      <c r="N31" s="16" t="str">
        <f t="shared" si="1"/>
        <v>OK</v>
      </c>
      <c r="O31" s="15">
        <f>IF((2020-H31)&lt;17,VLOOKUP((2020-H31),Considerações!$A$5:$B$22,2,FALSE),Considerações!$B$22)+IF(K31&gt;M31,Considerações!$D$27,IF(K31&lt;L31,Considerações!$D$26,0))</f>
        <v>0</v>
      </c>
      <c r="P31" s="22">
        <f t="shared" si="2"/>
        <v>0</v>
      </c>
      <c r="Q31" s="23">
        <f>+IF(I31/12&lt;Considerações!$C$47,Considerações!$E$47,IF('biggers above 3000'!I31/12&lt;Considerações!$C$48,Considerações!$E$48,IF('biggers above 3000'!I31/12&lt;Considerações!$C$49,Considerações!$E$49,Considerações!$E$50)))*P31+Considerações!$F$47*P31+Considerações!$G$47*P31</f>
        <v>0</v>
      </c>
    </row>
    <row r="32" spans="1:19" x14ac:dyDescent="0.45">
      <c r="A32">
        <v>102610</v>
      </c>
      <c r="B32" t="s">
        <v>90</v>
      </c>
      <c r="C32" t="s">
        <v>141</v>
      </c>
      <c r="D32" t="s">
        <v>101</v>
      </c>
      <c r="E32" s="4">
        <v>25</v>
      </c>
      <c r="F32" t="s">
        <v>92</v>
      </c>
      <c r="G32" t="s">
        <v>97</v>
      </c>
      <c r="H32">
        <v>2017</v>
      </c>
      <c r="I32" s="1">
        <v>4907</v>
      </c>
      <c r="J32" s="5">
        <f t="shared" si="0"/>
        <v>13.443835616438356</v>
      </c>
      <c r="K32" s="5">
        <f>+J32/Considerações!$G$53</f>
        <v>1.3443835616438355</v>
      </c>
      <c r="L32" s="5">
        <f>+((M32*1000)/Considerações!$D$30)*1.6/1000</f>
        <v>5.0400000000000007E-2</v>
      </c>
      <c r="M32" s="6">
        <f>+VLOOKUP(E32,Considerações!$A$35:$C$43,2,FALSE)</f>
        <v>6.3</v>
      </c>
      <c r="N32" s="16" t="str">
        <f t="shared" si="1"/>
        <v>OK</v>
      </c>
      <c r="O32" s="15">
        <f>IF((2020-H32)&lt;17,VLOOKUP((2020-H32),Considerações!$A$5:$B$22,2,FALSE),Considerações!$B$22)+IF(K32&gt;M32,Considerações!$D$27,IF(K32&lt;L32,Considerações!$D$26,0))</f>
        <v>0</v>
      </c>
      <c r="P32" s="22">
        <f t="shared" si="2"/>
        <v>0</v>
      </c>
      <c r="Q32" s="23">
        <f>+IF(I32/12&lt;Considerações!$C$47,Considerações!$E$47,IF('biggers above 3000'!I32/12&lt;Considerações!$C$48,Considerações!$E$48,IF('biggers above 3000'!I32/12&lt;Considerações!$C$49,Considerações!$E$49,Considerações!$E$50)))*P32+Considerações!$F$47*P32+Considerações!$G$47*P32</f>
        <v>0</v>
      </c>
    </row>
    <row r="33" spans="1:17" x14ac:dyDescent="0.45">
      <c r="A33">
        <v>43586</v>
      </c>
      <c r="B33" t="s">
        <v>79</v>
      </c>
      <c r="C33" t="s">
        <v>142</v>
      </c>
      <c r="D33" t="s">
        <v>96</v>
      </c>
      <c r="E33" s="4">
        <v>30</v>
      </c>
      <c r="F33" t="s">
        <v>92</v>
      </c>
      <c r="G33" t="s">
        <v>143</v>
      </c>
      <c r="H33">
        <v>2018</v>
      </c>
      <c r="I33" s="1">
        <v>4777</v>
      </c>
      <c r="J33" s="5">
        <f t="shared" si="0"/>
        <v>13.087671232876712</v>
      </c>
      <c r="K33" s="5">
        <f>+J33/Considerações!$G$53</f>
        <v>1.3087671232876712</v>
      </c>
      <c r="L33" s="5">
        <f>+((M33*1000)/Considerações!$D$30)*1.6/1000</f>
        <v>0.08</v>
      </c>
      <c r="M33" s="6">
        <f>+VLOOKUP(E33,Considerações!$A$35:$C$43,2,FALSE)</f>
        <v>10</v>
      </c>
      <c r="N33" s="16" t="str">
        <f t="shared" si="1"/>
        <v>OK</v>
      </c>
      <c r="O33" s="15">
        <f>IF((2020-H33)&lt;17,VLOOKUP((2020-H33),Considerações!$A$5:$B$22,2,FALSE),Considerações!$B$22)+IF(K33&gt;M33,Considerações!$D$27,IF(K33&lt;L33,Considerações!$D$26,0))</f>
        <v>0</v>
      </c>
      <c r="P33" s="22">
        <f t="shared" si="2"/>
        <v>0</v>
      </c>
      <c r="Q33" s="23">
        <f>+IF(I33/12&lt;Considerações!$C$47,Considerações!$E$47,IF('biggers above 3000'!I33/12&lt;Considerações!$C$48,Considerações!$E$48,IF('biggers above 3000'!I33/12&lt;Considerações!$C$49,Considerações!$E$49,Considerações!$E$50)))*P33+Considerações!$F$47*P33+Considerações!$G$47*P33</f>
        <v>0</v>
      </c>
    </row>
    <row r="34" spans="1:17" x14ac:dyDescent="0.45">
      <c r="A34">
        <v>43590</v>
      </c>
      <c r="B34" t="s">
        <v>134</v>
      </c>
      <c r="C34" t="s">
        <v>144</v>
      </c>
      <c r="D34" t="s">
        <v>96</v>
      </c>
      <c r="E34" s="4">
        <v>30</v>
      </c>
      <c r="F34" t="s">
        <v>108</v>
      </c>
      <c r="G34" t="s">
        <v>145</v>
      </c>
      <c r="H34">
        <v>1998</v>
      </c>
      <c r="I34" s="1">
        <v>4454</v>
      </c>
      <c r="J34" s="5">
        <f t="shared" ref="J34:J55" si="3">I34/365</f>
        <v>12.202739726027398</v>
      </c>
      <c r="K34" s="5">
        <f>+J34/Considerações!$G$53</f>
        <v>1.2202739726027398</v>
      </c>
      <c r="L34" s="5">
        <f>+((M34*1000)/Considerações!$D$30)*1.6/1000</f>
        <v>0.08</v>
      </c>
      <c r="M34" s="6">
        <f>+VLOOKUP(E34,Considerações!$A$35:$C$43,2,FALSE)</f>
        <v>10</v>
      </c>
      <c r="N34" s="16" t="str">
        <f t="shared" ref="N34:N55" si="4">+IF(K34&lt;L34,"Sobredimensionado",IF(K34&gt;M34,"Subdimensionado","OK"))</f>
        <v>OK</v>
      </c>
      <c r="O34" s="15">
        <f>IF((2020-H34)&lt;17,VLOOKUP((2020-H34),Considerações!$A$5:$B$22,2,FALSE),Considerações!$B$22)+IF(K34&gt;M34,Considerações!$D$27,IF(K34&lt;L34,Considerações!$D$26,0))</f>
        <v>-0.4</v>
      </c>
      <c r="P34" s="22">
        <f t="shared" ref="P34:P55" si="5">O34*I34</f>
        <v>-1781.6000000000001</v>
      </c>
      <c r="Q34" s="23">
        <f>+IF(I34/12&lt;Considerações!$C$47,Considerações!$E$47,IF('biggers above 3000'!I34/12&lt;Considerações!$C$48,Considerações!$E$48,IF('biggers above 3000'!I34/12&lt;Considerações!$C$49,Considerações!$E$49,Considerações!$E$50)))*P34+Considerações!$F$47*P34+Considerações!$G$47*P34</f>
        <v>-5202.0938400000014</v>
      </c>
    </row>
    <row r="35" spans="1:17" x14ac:dyDescent="0.45">
      <c r="A35">
        <v>43593</v>
      </c>
      <c r="B35" t="s">
        <v>146</v>
      </c>
      <c r="C35" t="s">
        <v>147</v>
      </c>
      <c r="D35" t="s">
        <v>148</v>
      </c>
      <c r="E35" s="4">
        <v>25</v>
      </c>
      <c r="F35" t="s">
        <v>92</v>
      </c>
      <c r="G35" t="s">
        <v>97</v>
      </c>
      <c r="H35">
        <v>2019</v>
      </c>
      <c r="I35" s="1">
        <v>4336</v>
      </c>
      <c r="J35" s="5">
        <f t="shared" si="3"/>
        <v>11.87945205479452</v>
      </c>
      <c r="K35" s="5">
        <f>+J35/Considerações!$G$53</f>
        <v>1.1879452054794519</v>
      </c>
      <c r="L35" s="5">
        <f>+((M35*1000)/Considerações!$D$30)*1.6/1000</f>
        <v>5.0400000000000007E-2</v>
      </c>
      <c r="M35" s="6">
        <f>+VLOOKUP(E35,Considerações!$A$35:$C$43,2,FALSE)</f>
        <v>6.3</v>
      </c>
      <c r="N35" s="16" t="str">
        <f t="shared" si="4"/>
        <v>OK</v>
      </c>
      <c r="O35" s="15">
        <f>IF((2020-H35)&lt;17,VLOOKUP((2020-H35),Considerações!$A$5:$B$22,2,FALSE),Considerações!$B$22)+IF(K35&gt;M35,Considerações!$D$27,IF(K35&lt;L35,Considerações!$D$26,0))</f>
        <v>0</v>
      </c>
      <c r="P35" s="22">
        <f t="shared" si="5"/>
        <v>0</v>
      </c>
      <c r="Q35" s="23">
        <f>+IF(I35/12&lt;Considerações!$C$47,Considerações!$E$47,IF('biggers above 3000'!I35/12&lt;Considerações!$C$48,Considerações!$E$48,IF('biggers above 3000'!I35/12&lt;Considerações!$C$49,Considerações!$E$49,Considerações!$E$50)))*P35+Considerações!$F$47*P35+Considerações!$G$47*P35</f>
        <v>0</v>
      </c>
    </row>
    <row r="36" spans="1:17" x14ac:dyDescent="0.45">
      <c r="A36">
        <v>102697</v>
      </c>
      <c r="B36" t="s">
        <v>90</v>
      </c>
      <c r="C36" t="s">
        <v>149</v>
      </c>
      <c r="D36" t="s">
        <v>104</v>
      </c>
      <c r="E36" s="4">
        <v>40</v>
      </c>
      <c r="F36" t="s">
        <v>150</v>
      </c>
      <c r="G36" t="s">
        <v>151</v>
      </c>
      <c r="H36">
        <v>2005</v>
      </c>
      <c r="I36" s="1">
        <v>4300</v>
      </c>
      <c r="J36" s="5">
        <f t="shared" si="3"/>
        <v>11.780821917808218</v>
      </c>
      <c r="K36" s="5">
        <f>+J36/Considerações!$G$53</f>
        <v>1.1780821917808217</v>
      </c>
      <c r="L36" s="5">
        <f>+((M36*1000)/Considerações!$D$30)*1.6/1000</f>
        <v>0.128</v>
      </c>
      <c r="M36" s="6">
        <f>+VLOOKUP(E36,Considerações!$A$35:$C$43,2,FALSE)</f>
        <v>16</v>
      </c>
      <c r="N36" s="16" t="str">
        <f t="shared" si="4"/>
        <v>OK</v>
      </c>
      <c r="O36" s="15">
        <f>IF((2020-H36)&lt;17,VLOOKUP((2020-H36),Considerações!$A$5:$B$22,2,FALSE),Considerações!$B$22)+IF(K36&gt;M36,Considerações!$D$27,IF(K36&lt;L36,Considerações!$D$26,0))</f>
        <v>-0.3</v>
      </c>
      <c r="P36" s="22">
        <f t="shared" si="5"/>
        <v>-1290</v>
      </c>
      <c r="Q36" s="23">
        <f>+IF(I36/12&lt;Considerações!$C$47,Considerações!$E$47,IF('biggers above 3000'!I36/12&lt;Considerações!$C$48,Considerações!$E$48,IF('biggers above 3000'!I36/12&lt;Considerações!$C$49,Considerações!$E$49,Considerações!$E$50)))*P36+Considerações!$F$47*P36+Considerações!$G$47*P36</f>
        <v>-3766.6710000000003</v>
      </c>
    </row>
    <row r="37" spans="1:17" x14ac:dyDescent="0.45">
      <c r="A37">
        <v>105862</v>
      </c>
      <c r="B37" t="s">
        <v>79</v>
      </c>
      <c r="C37" t="s">
        <v>152</v>
      </c>
      <c r="D37" t="s">
        <v>104</v>
      </c>
      <c r="E37" s="4">
        <v>25</v>
      </c>
      <c r="F37" t="s">
        <v>108</v>
      </c>
      <c r="G37" t="s">
        <v>153</v>
      </c>
      <c r="H37">
        <v>2014</v>
      </c>
      <c r="I37" s="1">
        <v>4279</v>
      </c>
      <c r="J37" s="5">
        <f t="shared" si="3"/>
        <v>11.723287671232876</v>
      </c>
      <c r="K37" s="5">
        <f>+J37/Considerações!$G$53</f>
        <v>1.1723287671232876</v>
      </c>
      <c r="L37" s="5">
        <f>+((M37*1000)/Considerações!$D$30)*1.6/1000</f>
        <v>5.0400000000000007E-2</v>
      </c>
      <c r="M37" s="6">
        <f>+VLOOKUP(E37,Considerações!$A$35:$C$43,2,FALSE)</f>
        <v>6.3</v>
      </c>
      <c r="N37" s="16" t="str">
        <f t="shared" si="4"/>
        <v>OK</v>
      </c>
      <c r="O37" s="15">
        <f>IF((2020-H37)&lt;17,VLOOKUP((2020-H37),Considerações!$A$5:$B$22,2,FALSE),Considerações!$B$22)+IF(K37&gt;M37,Considerações!$D$27,IF(K37&lt;L37,Considerações!$D$26,0))</f>
        <v>-7.0000000000000007E-2</v>
      </c>
      <c r="P37" s="22">
        <f t="shared" si="5"/>
        <v>-299.53000000000003</v>
      </c>
      <c r="Q37" s="23">
        <f>+IF(I37/12&lt;Considerações!$C$47,Considerações!$E$47,IF('biggers above 3000'!I37/12&lt;Considerações!$C$48,Considerações!$E$48,IF('biggers above 3000'!I37/12&lt;Considerações!$C$49,Considerações!$E$49,Considerações!$E$50)))*P37+Considerações!$F$47*P37+Considerações!$G$47*P37</f>
        <v>-874.59764700000005</v>
      </c>
    </row>
    <row r="38" spans="1:17" x14ac:dyDescent="0.45">
      <c r="A38">
        <v>47821</v>
      </c>
      <c r="B38" t="s">
        <v>90</v>
      </c>
      <c r="C38" t="s">
        <v>3</v>
      </c>
      <c r="D38" t="s">
        <v>86</v>
      </c>
      <c r="E38" s="4">
        <v>15</v>
      </c>
      <c r="F38" t="s">
        <v>92</v>
      </c>
      <c r="G38" t="s">
        <v>4</v>
      </c>
      <c r="H38">
        <v>2009</v>
      </c>
      <c r="I38" s="1">
        <v>3979</v>
      </c>
      <c r="J38" s="5">
        <f t="shared" si="3"/>
        <v>10.901369863013699</v>
      </c>
      <c r="K38" s="5">
        <f>+J38/Considerações!$G$53</f>
        <v>1.0901369863013699</v>
      </c>
      <c r="L38" s="5">
        <f>+((M38*1000)/Considerações!$D$30)*1.6/1000</f>
        <v>0.02</v>
      </c>
      <c r="M38" s="6">
        <f>+VLOOKUP(E38,Considerações!$A$35:$C$43,2,FALSE)</f>
        <v>2.5</v>
      </c>
      <c r="N38" s="16" t="str">
        <f t="shared" si="4"/>
        <v>OK</v>
      </c>
      <c r="O38" s="15">
        <f>IF((2020-H38)&lt;17,VLOOKUP((2020-H38),Considerações!$A$5:$B$22,2,FALSE),Considerações!$B$22)+IF(K38&gt;M38,Considerações!$D$27,IF(K38&lt;L38,Considerações!$D$26,0))</f>
        <v>-0.2</v>
      </c>
      <c r="P38" s="22">
        <f t="shared" si="5"/>
        <v>-795.80000000000007</v>
      </c>
      <c r="Q38" s="23">
        <f>+IF(I38/12&lt;Considerações!$C$47,Considerações!$E$47,IF('biggers above 3000'!I38/12&lt;Considerações!$C$48,Considerações!$E$48,IF('biggers above 3000'!I38/12&lt;Considerações!$C$49,Considerações!$E$49,Considerações!$E$50)))*P38+Considerações!$F$47*P38+Considerações!$G$47*P38</f>
        <v>-2323.6564200000003</v>
      </c>
    </row>
    <row r="39" spans="1:17" x14ac:dyDescent="0.45">
      <c r="A39">
        <v>48321</v>
      </c>
      <c r="B39" t="s">
        <v>127</v>
      </c>
      <c r="C39" t="s">
        <v>5</v>
      </c>
      <c r="D39" t="s">
        <v>86</v>
      </c>
      <c r="E39" s="4">
        <v>20</v>
      </c>
      <c r="F39" t="s">
        <v>87</v>
      </c>
      <c r="G39" t="s">
        <v>87</v>
      </c>
      <c r="H39">
        <v>2018</v>
      </c>
      <c r="I39" s="1">
        <v>3955</v>
      </c>
      <c r="J39" s="5">
        <f t="shared" si="3"/>
        <v>10.835616438356164</v>
      </c>
      <c r="K39" s="5">
        <f>+J39/Considerações!$G$53</f>
        <v>1.0835616438356164</v>
      </c>
      <c r="L39" s="5">
        <f>+((M39*1000)/Considerações!$D$30)*1.6/1000</f>
        <v>3.2000000000000001E-2</v>
      </c>
      <c r="M39" s="6">
        <f>+VLOOKUP(E39,Considerações!$A$35:$C$43,2,FALSE)</f>
        <v>4</v>
      </c>
      <c r="N39" s="16" t="str">
        <f t="shared" si="4"/>
        <v>OK</v>
      </c>
      <c r="O39" s="15">
        <f>IF((2020-H39)&lt;17,VLOOKUP((2020-H39),Considerações!$A$5:$B$22,2,FALSE),Considerações!$B$22)+IF(K39&gt;M39,Considerações!$D$27,IF(K39&lt;L39,Considerações!$D$26,0))</f>
        <v>0</v>
      </c>
      <c r="P39" s="22">
        <f t="shared" si="5"/>
        <v>0</v>
      </c>
      <c r="Q39" s="23">
        <f>+IF(I39/12&lt;Considerações!$C$47,Considerações!$E$47,IF('biggers above 3000'!I39/12&lt;Considerações!$C$48,Considerações!$E$48,IF('biggers above 3000'!I39/12&lt;Considerações!$C$49,Considerações!$E$49,Considerações!$E$50)))*P39+Considerações!$F$47*P39+Considerações!$G$47*P39</f>
        <v>0</v>
      </c>
    </row>
    <row r="40" spans="1:17" x14ac:dyDescent="0.45">
      <c r="A40">
        <v>48321</v>
      </c>
      <c r="B40" t="s">
        <v>127</v>
      </c>
      <c r="C40" t="s">
        <v>5</v>
      </c>
      <c r="D40" t="s">
        <v>86</v>
      </c>
      <c r="E40" s="4">
        <v>20</v>
      </c>
      <c r="F40" t="s">
        <v>123</v>
      </c>
      <c r="G40" t="s">
        <v>6</v>
      </c>
      <c r="H40">
        <v>2018</v>
      </c>
      <c r="I40" s="1">
        <v>3955</v>
      </c>
      <c r="J40" s="5">
        <f t="shared" si="3"/>
        <v>10.835616438356164</v>
      </c>
      <c r="K40" s="5">
        <f>+J40/Considerações!$G$53</f>
        <v>1.0835616438356164</v>
      </c>
      <c r="L40" s="5">
        <f>+((M40*1000)/Considerações!$D$30)*1.6/1000</f>
        <v>3.2000000000000001E-2</v>
      </c>
      <c r="M40" s="6">
        <f>+VLOOKUP(E40,Considerações!$A$35:$C$43,2,FALSE)</f>
        <v>4</v>
      </c>
      <c r="N40" s="16" t="str">
        <f t="shared" si="4"/>
        <v>OK</v>
      </c>
      <c r="O40" s="15">
        <f>IF((2020-H40)&lt;17,VLOOKUP((2020-H40),Considerações!$A$5:$B$22,2,FALSE),Considerações!$B$22)+IF(K40&gt;M40,Considerações!$D$27,IF(K40&lt;L40,Considerações!$D$26,0))</f>
        <v>0</v>
      </c>
      <c r="P40" s="22">
        <f t="shared" si="5"/>
        <v>0</v>
      </c>
      <c r="Q40" s="23">
        <f>+IF(I40/12&lt;Considerações!$C$47,Considerações!$E$47,IF('biggers above 3000'!I40/12&lt;Considerações!$C$48,Considerações!$E$48,IF('biggers above 3000'!I40/12&lt;Considerações!$C$49,Considerações!$E$49,Considerações!$E$50)))*P40+Considerações!$F$47*P40+Considerações!$G$47*P40</f>
        <v>0</v>
      </c>
    </row>
    <row r="41" spans="1:17" x14ac:dyDescent="0.45">
      <c r="A41">
        <v>43591</v>
      </c>
      <c r="B41" t="s">
        <v>90</v>
      </c>
      <c r="C41" t="s">
        <v>7</v>
      </c>
      <c r="D41" t="s">
        <v>96</v>
      </c>
      <c r="E41" s="4">
        <v>15</v>
      </c>
      <c r="F41" t="s">
        <v>115</v>
      </c>
      <c r="G41" t="s">
        <v>8</v>
      </c>
      <c r="H41">
        <v>2019</v>
      </c>
      <c r="I41" s="1">
        <v>3944</v>
      </c>
      <c r="J41" s="5">
        <f t="shared" si="3"/>
        <v>10.805479452054794</v>
      </c>
      <c r="K41" s="5">
        <f>+J41/Considerações!$G$53</f>
        <v>1.0805479452054794</v>
      </c>
      <c r="L41" s="5">
        <f>+((M41*1000)/Considerações!$D$30)*1.6/1000</f>
        <v>0.02</v>
      </c>
      <c r="M41" s="6">
        <f>+VLOOKUP(E41,Considerações!$A$35:$C$43,2,FALSE)</f>
        <v>2.5</v>
      </c>
      <c r="N41" s="16" t="str">
        <f t="shared" si="4"/>
        <v>OK</v>
      </c>
      <c r="O41" s="15">
        <f>IF((2020-H41)&lt;17,VLOOKUP((2020-H41),Considerações!$A$5:$B$22,2,FALSE),Considerações!$B$22)+IF(K41&gt;M41,Considerações!$D$27,IF(K41&lt;L41,Considerações!$D$26,0))</f>
        <v>0</v>
      </c>
      <c r="P41" s="22">
        <f t="shared" si="5"/>
        <v>0</v>
      </c>
      <c r="Q41" s="23">
        <f>+IF(I41/12&lt;Considerações!$C$47,Considerações!$E$47,IF('biggers above 3000'!I41/12&lt;Considerações!$C$48,Considerações!$E$48,IF('biggers above 3000'!I41/12&lt;Considerações!$C$49,Considerações!$E$49,Considerações!$E$50)))*P41+Considerações!$F$47*P41+Considerações!$G$47*P41</f>
        <v>0</v>
      </c>
    </row>
    <row r="42" spans="1:17" x14ac:dyDescent="0.45">
      <c r="A42">
        <v>29013</v>
      </c>
      <c r="B42" t="s">
        <v>84</v>
      </c>
      <c r="C42" t="s">
        <v>9</v>
      </c>
      <c r="D42" t="s">
        <v>104</v>
      </c>
      <c r="E42" s="4">
        <v>25</v>
      </c>
      <c r="F42" t="s">
        <v>92</v>
      </c>
      <c r="G42" t="s">
        <v>97</v>
      </c>
      <c r="H42">
        <v>2016</v>
      </c>
      <c r="I42" s="1">
        <v>3816</v>
      </c>
      <c r="J42" s="5">
        <f t="shared" si="3"/>
        <v>10.454794520547946</v>
      </c>
      <c r="K42" s="5">
        <f>+J42/Considerações!$G$53</f>
        <v>1.0454794520547945</v>
      </c>
      <c r="L42" s="5">
        <f>+((M42*1000)/Considerações!$D$30)*1.6/1000</f>
        <v>5.0400000000000007E-2</v>
      </c>
      <c r="M42" s="6">
        <f>+VLOOKUP(E42,Considerações!$A$35:$C$43,2,FALSE)</f>
        <v>6.3</v>
      </c>
      <c r="N42" s="16" t="str">
        <f t="shared" si="4"/>
        <v>OK</v>
      </c>
      <c r="O42" s="15">
        <f>IF((2020-H42)&lt;17,VLOOKUP((2020-H42),Considerações!$A$5:$B$22,2,FALSE),Considerações!$B$22)+IF(K42&gt;M42,Considerações!$D$27,IF(K42&lt;L42,Considerações!$D$26,0))</f>
        <v>0</v>
      </c>
      <c r="P42" s="22">
        <f t="shared" si="5"/>
        <v>0</v>
      </c>
      <c r="Q42" s="23">
        <f>+IF(I42/12&lt;Considerações!$C$47,Considerações!$E$47,IF('biggers above 3000'!I42/12&lt;Considerações!$C$48,Considerações!$E$48,IF('biggers above 3000'!I42/12&lt;Considerações!$C$49,Considerações!$E$49,Considerações!$E$50)))*P42+Considerações!$F$47*P42+Considerações!$G$47*P42</f>
        <v>0</v>
      </c>
    </row>
    <row r="43" spans="1:17" x14ac:dyDescent="0.45">
      <c r="A43">
        <v>8917</v>
      </c>
      <c r="B43" t="s">
        <v>127</v>
      </c>
      <c r="C43" t="s">
        <v>10</v>
      </c>
      <c r="D43" t="s">
        <v>101</v>
      </c>
      <c r="E43" s="4">
        <v>30</v>
      </c>
      <c r="F43" t="s">
        <v>92</v>
      </c>
      <c r="G43" t="s">
        <v>99</v>
      </c>
      <c r="H43">
        <v>2014</v>
      </c>
      <c r="I43" s="1">
        <v>3797</v>
      </c>
      <c r="J43" s="5">
        <f t="shared" si="3"/>
        <v>10.402739726027397</v>
      </c>
      <c r="K43" s="5">
        <f>+J43/Considerações!$G$53</f>
        <v>1.0402739726027397</v>
      </c>
      <c r="L43" s="5">
        <f>+((M43*1000)/Considerações!$D$30)*1.6/1000</f>
        <v>0.08</v>
      </c>
      <c r="M43" s="6">
        <f>+VLOOKUP(E43,Considerações!$A$35:$C$43,2,FALSE)</f>
        <v>10</v>
      </c>
      <c r="N43" s="16" t="str">
        <f t="shared" si="4"/>
        <v>OK</v>
      </c>
      <c r="O43" s="15">
        <f>IF((2020-H43)&lt;17,VLOOKUP((2020-H43),Considerações!$A$5:$B$22,2,FALSE),Considerações!$B$22)+IF(K43&gt;M43,Considerações!$D$27,IF(K43&lt;L43,Considerações!$D$26,0))</f>
        <v>-7.0000000000000007E-2</v>
      </c>
      <c r="P43" s="22">
        <f t="shared" si="5"/>
        <v>-265.79000000000002</v>
      </c>
      <c r="Q43" s="23">
        <f>+IF(I43/12&lt;Considerações!$C$47,Considerações!$E$47,IF('biggers above 3000'!I43/12&lt;Considerações!$C$48,Considerações!$E$48,IF('biggers above 3000'!I43/12&lt;Considerações!$C$49,Considerações!$E$49,Considerações!$E$50)))*P43+Considerações!$F$47*P43+Considerações!$G$47*P43</f>
        <v>-776.08022100000005</v>
      </c>
    </row>
    <row r="44" spans="1:17" x14ac:dyDescent="0.45">
      <c r="A44">
        <v>104724</v>
      </c>
      <c r="B44" t="s">
        <v>127</v>
      </c>
      <c r="C44" t="s">
        <v>11</v>
      </c>
      <c r="D44" t="s">
        <v>104</v>
      </c>
      <c r="E44" s="4">
        <v>50</v>
      </c>
      <c r="F44" t="s">
        <v>105</v>
      </c>
      <c r="G44" t="s">
        <v>12</v>
      </c>
      <c r="H44">
        <v>2016</v>
      </c>
      <c r="I44" s="1">
        <v>3784</v>
      </c>
      <c r="J44" s="5">
        <f t="shared" si="3"/>
        <v>10.367123287671232</v>
      </c>
      <c r="K44" s="5">
        <f>+J44/Considerações!$G$53</f>
        <v>1.0367123287671232</v>
      </c>
      <c r="L44" s="5">
        <f>+((M44*1000)/Considerações!$D$30)*1.6/1000</f>
        <v>0.2</v>
      </c>
      <c r="M44" s="6">
        <f>+VLOOKUP(E44,Considerações!$A$35:$C$43,2,FALSE)</f>
        <v>25</v>
      </c>
      <c r="N44" s="16" t="str">
        <f t="shared" si="4"/>
        <v>OK</v>
      </c>
      <c r="O44" s="15">
        <f>IF((2020-H44)&lt;17,VLOOKUP((2020-H44),Considerações!$A$5:$B$22,2,FALSE),Considerações!$B$22)+IF(K44&gt;M44,Considerações!$D$27,IF(K44&lt;L44,Considerações!$D$26,0))</f>
        <v>0</v>
      </c>
      <c r="P44" s="22">
        <f t="shared" si="5"/>
        <v>0</v>
      </c>
      <c r="Q44" s="23">
        <f>+IF(I44/12&lt;Considerações!$C$47,Considerações!$E$47,IF('biggers above 3000'!I44/12&lt;Considerações!$C$48,Considerações!$E$48,IF('biggers above 3000'!I44/12&lt;Considerações!$C$49,Considerações!$E$49,Considerações!$E$50)))*P44+Considerações!$F$47*P44+Considerações!$G$47*P44</f>
        <v>0</v>
      </c>
    </row>
    <row r="45" spans="1:17" x14ac:dyDescent="0.45">
      <c r="A45">
        <v>11655</v>
      </c>
      <c r="B45" t="s">
        <v>90</v>
      </c>
      <c r="C45" t="s">
        <v>13</v>
      </c>
      <c r="D45" t="s">
        <v>101</v>
      </c>
      <c r="E45" s="4">
        <v>15</v>
      </c>
      <c r="F45" t="s">
        <v>92</v>
      </c>
      <c r="G45" t="s">
        <v>4</v>
      </c>
      <c r="H45">
        <v>2001</v>
      </c>
      <c r="I45" s="1">
        <v>3732</v>
      </c>
      <c r="J45" s="5">
        <f t="shared" si="3"/>
        <v>10.224657534246575</v>
      </c>
      <c r="K45" s="5">
        <f>+J45/Considerações!$G$53</f>
        <v>1.0224657534246575</v>
      </c>
      <c r="L45" s="5">
        <f>+((M45*1000)/Considerações!$D$30)*1.6/1000</f>
        <v>0.02</v>
      </c>
      <c r="M45" s="6">
        <f>+VLOOKUP(E45,Considerações!$A$35:$C$43,2,FALSE)</f>
        <v>2.5</v>
      </c>
      <c r="N45" s="16" t="str">
        <f t="shared" si="4"/>
        <v>OK</v>
      </c>
      <c r="O45" s="15">
        <f>IF((2020-H45)&lt;17,VLOOKUP((2020-H45),Considerações!$A$5:$B$22,2,FALSE),Considerações!$B$22)+IF(K45&gt;M45,Considerações!$D$27,IF(K45&lt;L45,Considerações!$D$26,0))</f>
        <v>-0.4</v>
      </c>
      <c r="P45" s="22">
        <f t="shared" si="5"/>
        <v>-1492.8000000000002</v>
      </c>
      <c r="Q45" s="23">
        <f>+IF(I45/12&lt;Considerações!$C$47,Considerações!$E$47,IF('biggers above 3000'!I45/12&lt;Considerações!$C$48,Considerações!$E$48,IF('biggers above 3000'!I45/12&lt;Considerações!$C$49,Considerações!$E$49,Considerações!$E$50)))*P45+Considerações!$F$47*P45+Considerações!$G$47*P45</f>
        <v>-4358.8267200000009</v>
      </c>
    </row>
    <row r="46" spans="1:17" x14ac:dyDescent="0.45">
      <c r="A46">
        <v>104826</v>
      </c>
      <c r="B46" t="s">
        <v>79</v>
      </c>
      <c r="C46" t="s">
        <v>14</v>
      </c>
      <c r="D46" t="s">
        <v>96</v>
      </c>
      <c r="E46" s="4">
        <v>40</v>
      </c>
      <c r="F46" t="s">
        <v>92</v>
      </c>
      <c r="G46" t="s">
        <v>93</v>
      </c>
      <c r="H46">
        <v>2014</v>
      </c>
      <c r="I46" s="1">
        <v>3654</v>
      </c>
      <c r="J46" s="5">
        <f t="shared" si="3"/>
        <v>10.010958904109589</v>
      </c>
      <c r="K46" s="5">
        <f>+J46/Considerações!$G$53</f>
        <v>1.001095890410959</v>
      </c>
      <c r="L46" s="5">
        <f>+((M46*1000)/Considerações!$D$30)*1.6/1000</f>
        <v>0.128</v>
      </c>
      <c r="M46" s="6">
        <f>+VLOOKUP(E46,Considerações!$A$35:$C$43,2,FALSE)</f>
        <v>16</v>
      </c>
      <c r="N46" s="16" t="str">
        <f t="shared" si="4"/>
        <v>OK</v>
      </c>
      <c r="O46" s="15">
        <f>IF((2020-H46)&lt;17,VLOOKUP((2020-H46),Considerações!$A$5:$B$22,2,FALSE),Considerações!$B$22)+IF(K46&gt;M46,Considerações!$D$27,IF(K46&lt;L46,Considerações!$D$26,0))</f>
        <v>-7.0000000000000007E-2</v>
      </c>
      <c r="P46" s="22">
        <f t="shared" si="5"/>
        <v>-255.78000000000003</v>
      </c>
      <c r="Q46" s="23">
        <f>+IF(I46/12&lt;Considerações!$C$47,Considerações!$E$47,IF('biggers above 3000'!I46/12&lt;Considerações!$C$48,Considerações!$E$48,IF('biggers above 3000'!I46/12&lt;Considerações!$C$49,Considerações!$E$49,Considerações!$E$50)))*P46+Considerações!$F$47*P46+Considerações!$G$47*P46</f>
        <v>-746.85202200000015</v>
      </c>
    </row>
    <row r="47" spans="1:17" x14ac:dyDescent="0.45">
      <c r="A47">
        <v>26035</v>
      </c>
      <c r="B47" t="s">
        <v>127</v>
      </c>
      <c r="C47" t="s">
        <v>15</v>
      </c>
      <c r="D47" t="s">
        <v>101</v>
      </c>
      <c r="E47" s="4">
        <v>15</v>
      </c>
      <c r="F47" t="s">
        <v>123</v>
      </c>
      <c r="G47" t="s">
        <v>124</v>
      </c>
      <c r="H47">
        <v>2009</v>
      </c>
      <c r="I47" s="1">
        <v>3553</v>
      </c>
      <c r="J47" s="5">
        <f t="shared" si="3"/>
        <v>9.7342465753424658</v>
      </c>
      <c r="K47" s="5">
        <f>+J47/Considerações!$G$53</f>
        <v>0.97342465753424656</v>
      </c>
      <c r="L47" s="5">
        <f>+((M47*1000)/Considerações!$D$30)*1.6/1000</f>
        <v>0.02</v>
      </c>
      <c r="M47" s="6">
        <f>+VLOOKUP(E47,Considerações!$A$35:$C$43,2,FALSE)</f>
        <v>2.5</v>
      </c>
      <c r="N47" s="16" t="str">
        <f t="shared" si="4"/>
        <v>OK</v>
      </c>
      <c r="O47" s="15">
        <f>IF((2020-H47)&lt;17,VLOOKUP((2020-H47),Considerações!$A$5:$B$22,2,FALSE),Considerações!$B$22)+IF(K47&gt;M47,Considerações!$D$27,IF(K47&lt;L47,Considerações!$D$26,0))</f>
        <v>-0.2</v>
      </c>
      <c r="P47" s="22">
        <f t="shared" si="5"/>
        <v>-710.6</v>
      </c>
      <c r="Q47" s="23">
        <f>+IF(I47/12&lt;Considerações!$C$47,Considerações!$E$47,IF('biggers above 3000'!I47/12&lt;Considerações!$C$48,Considerações!$E$48,IF('biggers above 3000'!I47/12&lt;Considerações!$C$49,Considerações!$E$49,Considerações!$E$50)))*P47+Considerações!$F$47*P47+Considerações!$G$47*P47</f>
        <v>-2074.88094</v>
      </c>
    </row>
    <row r="48" spans="1:17" x14ac:dyDescent="0.45">
      <c r="A48">
        <v>48316</v>
      </c>
      <c r="B48" t="s">
        <v>84</v>
      </c>
      <c r="C48" t="s">
        <v>16</v>
      </c>
      <c r="D48" t="s">
        <v>86</v>
      </c>
      <c r="E48" s="4">
        <v>30</v>
      </c>
      <c r="F48" t="s">
        <v>92</v>
      </c>
      <c r="G48" t="s">
        <v>140</v>
      </c>
      <c r="H48">
        <v>2002</v>
      </c>
      <c r="I48" s="1">
        <v>3466</v>
      </c>
      <c r="J48" s="5">
        <f t="shared" si="3"/>
        <v>9.4958904109589035</v>
      </c>
      <c r="K48" s="5">
        <f>+J48/Considerações!$G$53</f>
        <v>0.94958904109589037</v>
      </c>
      <c r="L48" s="5">
        <f>+((M48*1000)/Considerações!$D$30)*1.6/1000</f>
        <v>0.08</v>
      </c>
      <c r="M48" s="6">
        <f>+VLOOKUP(E48,Considerações!$A$35:$C$43,2,FALSE)</f>
        <v>10</v>
      </c>
      <c r="N48" s="16" t="str">
        <f t="shared" si="4"/>
        <v>OK</v>
      </c>
      <c r="O48" s="15">
        <f>IF((2020-H48)&lt;17,VLOOKUP((2020-H48),Considerações!$A$5:$B$22,2,FALSE),Considerações!$B$22)+IF(K48&gt;M48,Considerações!$D$27,IF(K48&lt;L48,Considerações!$D$26,0))</f>
        <v>-0.4</v>
      </c>
      <c r="P48" s="22">
        <f t="shared" si="5"/>
        <v>-1386.4</v>
      </c>
      <c r="Q48" s="23">
        <f>+IF(I48/12&lt;Considerações!$C$47,Considerações!$E$47,IF('biggers above 3000'!I48/12&lt;Considerações!$C$48,Considerações!$E$48,IF('biggers above 3000'!I48/12&lt;Considerações!$C$49,Considerações!$E$49,Considerações!$E$50)))*P48+Considerações!$F$47*P48+Considerações!$G$47*P48</f>
        <v>-4048.1493600000003</v>
      </c>
    </row>
    <row r="49" spans="1:17" x14ac:dyDescent="0.45">
      <c r="A49">
        <v>7564</v>
      </c>
      <c r="B49" t="s">
        <v>90</v>
      </c>
      <c r="C49" t="s">
        <v>17</v>
      </c>
      <c r="D49" t="s">
        <v>104</v>
      </c>
      <c r="E49" s="4">
        <v>15</v>
      </c>
      <c r="F49" t="s">
        <v>123</v>
      </c>
      <c r="G49" t="s">
        <v>124</v>
      </c>
      <c r="H49">
        <v>2010</v>
      </c>
      <c r="I49" s="1">
        <v>3449</v>
      </c>
      <c r="J49" s="5">
        <f t="shared" si="3"/>
        <v>9.4493150684931511</v>
      </c>
      <c r="K49" s="5">
        <f>+J49/Considerações!$G$53</f>
        <v>0.94493150684931515</v>
      </c>
      <c r="L49" s="5">
        <f>+((M49*1000)/Considerações!$D$30)*1.6/1000</f>
        <v>0.02</v>
      </c>
      <c r="M49" s="6">
        <f>+VLOOKUP(E49,Considerações!$A$35:$C$43,2,FALSE)</f>
        <v>2.5</v>
      </c>
      <c r="N49" s="16" t="str">
        <f t="shared" si="4"/>
        <v>OK</v>
      </c>
      <c r="O49" s="15">
        <f>IF((2020-H49)&lt;17,VLOOKUP((2020-H49),Considerações!$A$5:$B$22,2,FALSE),Considerações!$B$22)+IF(K49&gt;M49,Considerações!$D$27,IF(K49&lt;L49,Considerações!$D$26,0))</f>
        <v>-0.15</v>
      </c>
      <c r="P49" s="22">
        <f t="shared" si="5"/>
        <v>-517.35</v>
      </c>
      <c r="Q49" s="23">
        <f>+IF(I49/12&lt;Considerações!$C$47,Considerações!$E$47,IF('biggers above 3000'!I49/12&lt;Considerações!$C$48,Considerações!$E$48,IF('biggers above 3000'!I49/12&lt;Considerações!$C$49,Considerações!$E$49,Considerações!$E$50)))*P49+Considerações!$F$47*P49+Considerações!$G$47*P49</f>
        <v>-1510.610265</v>
      </c>
    </row>
    <row r="50" spans="1:17" x14ac:dyDescent="0.45">
      <c r="A50">
        <v>103476</v>
      </c>
      <c r="B50" t="s">
        <v>18</v>
      </c>
      <c r="C50" t="s">
        <v>19</v>
      </c>
      <c r="D50" t="s">
        <v>20</v>
      </c>
      <c r="E50" s="4">
        <v>40</v>
      </c>
      <c r="F50" t="s">
        <v>92</v>
      </c>
      <c r="G50" t="s">
        <v>93</v>
      </c>
      <c r="H50">
        <v>2013</v>
      </c>
      <c r="I50" s="1">
        <v>3384</v>
      </c>
      <c r="J50" s="5">
        <f t="shared" si="3"/>
        <v>9.2712328767123289</v>
      </c>
      <c r="K50" s="5">
        <f>+J50/Considerações!$G$53</f>
        <v>0.92712328767123287</v>
      </c>
      <c r="L50" s="5">
        <f>+((M50*1000)/Considerações!$D$30)*1.6/1000</f>
        <v>0.128</v>
      </c>
      <c r="M50" s="6">
        <f>+VLOOKUP(E50,Considerações!$A$35:$C$43,2,FALSE)</f>
        <v>16</v>
      </c>
      <c r="N50" s="16" t="str">
        <f t="shared" si="4"/>
        <v>OK</v>
      </c>
      <c r="O50" s="15">
        <f>IF((2020-H50)&lt;17,VLOOKUP((2020-H50),Considerações!$A$5:$B$22,2,FALSE),Considerações!$B$22)+IF(K50&gt;M50,Considerações!$D$27,IF(K50&lt;L50,Considerações!$D$26,0))</f>
        <v>-7.0000000000000007E-2</v>
      </c>
      <c r="P50" s="22">
        <f t="shared" si="5"/>
        <v>-236.88000000000002</v>
      </c>
      <c r="Q50" s="23">
        <f>+IF(I50/12&lt;Considerações!$C$47,Considerações!$E$47,IF('biggers above 3000'!I50/12&lt;Considerações!$C$48,Considerações!$E$48,IF('biggers above 3000'!I50/12&lt;Considerações!$C$49,Considerações!$E$49,Considerações!$E$50)))*P50+Considerações!$F$47*P50+Considerações!$G$47*P50</f>
        <v>-691.66591200000005</v>
      </c>
    </row>
    <row r="51" spans="1:17" x14ac:dyDescent="0.45">
      <c r="A51">
        <v>49404</v>
      </c>
      <c r="B51" t="s">
        <v>90</v>
      </c>
      <c r="C51" t="s">
        <v>21</v>
      </c>
      <c r="D51" t="s">
        <v>86</v>
      </c>
      <c r="E51" s="4">
        <v>20</v>
      </c>
      <c r="F51" t="s">
        <v>115</v>
      </c>
      <c r="G51" t="s">
        <v>22</v>
      </c>
      <c r="H51">
        <v>1998</v>
      </c>
      <c r="I51" s="1">
        <v>3224</v>
      </c>
      <c r="J51" s="5">
        <f t="shared" si="3"/>
        <v>8.8328767123287673</v>
      </c>
      <c r="K51" s="5">
        <f>+J51/Considerações!$G$53</f>
        <v>0.88328767123287677</v>
      </c>
      <c r="L51" s="5">
        <f>+((M51*1000)/Considerações!$D$30)*1.6/1000</f>
        <v>3.2000000000000001E-2</v>
      </c>
      <c r="M51" s="6">
        <f>+VLOOKUP(E51,Considerações!$A$35:$C$43,2,FALSE)</f>
        <v>4</v>
      </c>
      <c r="N51" s="16" t="str">
        <f t="shared" si="4"/>
        <v>OK</v>
      </c>
      <c r="O51" s="15">
        <f>IF((2020-H51)&lt;17,VLOOKUP((2020-H51),Considerações!$A$5:$B$22,2,FALSE),Considerações!$B$22)+IF(K51&gt;M51,Considerações!$D$27,IF(K51&lt;L51,Considerações!$D$26,0))</f>
        <v>-0.4</v>
      </c>
      <c r="P51" s="22">
        <f t="shared" si="5"/>
        <v>-1289.6000000000001</v>
      </c>
      <c r="Q51" s="23">
        <f>+IF(I51/12&lt;Considerações!$C$47,Considerações!$E$47,IF('biggers above 3000'!I51/12&lt;Considerações!$C$48,Considerações!$E$48,IF('biggers above 3000'!I51/12&lt;Considerações!$C$49,Considerações!$E$49,Considerações!$E$50)))*P51+Considerações!$F$47*P51+Considerações!$G$47*P51</f>
        <v>-3765.5030400000005</v>
      </c>
    </row>
    <row r="52" spans="1:17" x14ac:dyDescent="0.45">
      <c r="A52">
        <v>29048</v>
      </c>
      <c r="B52" t="s">
        <v>79</v>
      </c>
      <c r="C52" t="s">
        <v>23</v>
      </c>
      <c r="D52" t="s">
        <v>24</v>
      </c>
      <c r="E52" s="4">
        <v>15</v>
      </c>
      <c r="F52" t="s">
        <v>92</v>
      </c>
      <c r="G52" t="s">
        <v>4</v>
      </c>
      <c r="H52">
        <v>2018</v>
      </c>
      <c r="I52" s="1">
        <v>3212</v>
      </c>
      <c r="J52" s="5">
        <f t="shared" si="3"/>
        <v>8.8000000000000007</v>
      </c>
      <c r="K52" s="5">
        <f>+J52/Considerações!$G$53</f>
        <v>0.88000000000000012</v>
      </c>
      <c r="L52" s="5">
        <f>+((M52*1000)/Considerações!$D$30)*1.6/1000</f>
        <v>0.02</v>
      </c>
      <c r="M52" s="6">
        <f>+VLOOKUP(E52,Considerações!$A$35:$C$43,2,FALSE)</f>
        <v>2.5</v>
      </c>
      <c r="N52" s="16" t="str">
        <f t="shared" si="4"/>
        <v>OK</v>
      </c>
      <c r="O52" s="15">
        <f>IF((2020-H52)&lt;17,VLOOKUP((2020-H52),Considerações!$A$5:$B$22,2,FALSE),Considerações!$B$22)+IF(K52&gt;M52,Considerações!$D$27,IF(K52&lt;L52,Considerações!$D$26,0))</f>
        <v>0</v>
      </c>
      <c r="P52" s="22">
        <f t="shared" si="5"/>
        <v>0</v>
      </c>
      <c r="Q52" s="23">
        <f>+IF(I52/12&lt;Considerações!$C$47,Considerações!$E$47,IF('biggers above 3000'!I52/12&lt;Considerações!$C$48,Considerações!$E$48,IF('biggers above 3000'!I52/12&lt;Considerações!$C$49,Considerações!$E$49,Considerações!$E$50)))*P52+Considerações!$F$47*P52+Considerações!$G$47*P52</f>
        <v>0</v>
      </c>
    </row>
    <row r="53" spans="1:17" x14ac:dyDescent="0.45">
      <c r="A53">
        <v>103813</v>
      </c>
      <c r="B53" t="s">
        <v>84</v>
      </c>
      <c r="C53" t="s">
        <v>25</v>
      </c>
      <c r="D53" t="s">
        <v>86</v>
      </c>
      <c r="E53" s="4">
        <v>20</v>
      </c>
      <c r="F53" t="s">
        <v>123</v>
      </c>
      <c r="G53" t="s">
        <v>6</v>
      </c>
      <c r="H53">
        <v>2015</v>
      </c>
      <c r="I53" s="1">
        <v>3195</v>
      </c>
      <c r="J53" s="5">
        <f t="shared" si="3"/>
        <v>8.7534246575342465</v>
      </c>
      <c r="K53" s="5">
        <f>+J53/Considerações!$G$53</f>
        <v>0.87534246575342467</v>
      </c>
      <c r="L53" s="5">
        <f>+((M53*1000)/Considerações!$D$30)*1.6/1000</f>
        <v>3.2000000000000001E-2</v>
      </c>
      <c r="M53" s="6">
        <f>+VLOOKUP(E53,Considerações!$A$35:$C$43,2,FALSE)</f>
        <v>4</v>
      </c>
      <c r="N53" s="16" t="str">
        <f t="shared" si="4"/>
        <v>OK</v>
      </c>
      <c r="O53" s="15">
        <f>IF((2020-H53)&lt;17,VLOOKUP((2020-H53),Considerações!$A$5:$B$22,2,FALSE),Considerações!$B$22)+IF(K53&gt;M53,Considerações!$D$27,IF(K53&lt;L53,Considerações!$D$26,0))</f>
        <v>-7.0000000000000007E-2</v>
      </c>
      <c r="P53" s="22">
        <f t="shared" si="5"/>
        <v>-223.65000000000003</v>
      </c>
      <c r="Q53" s="23">
        <f>+IF(I53/12&lt;Considerações!$C$47,Considerações!$E$47,IF('biggers above 3000'!I53/12&lt;Considerações!$C$48,Considerações!$E$48,IF('biggers above 3000'!I53/12&lt;Considerações!$C$49,Considerações!$E$49,Considerações!$E$50)))*P53+Considerações!$F$47*P53+Considerações!$G$47*P53</f>
        <v>-653.03563500000007</v>
      </c>
    </row>
    <row r="54" spans="1:17" x14ac:dyDescent="0.45">
      <c r="A54">
        <v>49405</v>
      </c>
      <c r="B54" t="s">
        <v>84</v>
      </c>
      <c r="C54" t="s">
        <v>26</v>
      </c>
      <c r="D54" t="s">
        <v>86</v>
      </c>
      <c r="E54" s="4">
        <v>15</v>
      </c>
      <c r="F54" t="s">
        <v>92</v>
      </c>
      <c r="G54" t="s">
        <v>4</v>
      </c>
      <c r="H54">
        <v>2009</v>
      </c>
      <c r="I54" s="1">
        <v>3112</v>
      </c>
      <c r="J54" s="5">
        <f t="shared" si="3"/>
        <v>8.5260273972602736</v>
      </c>
      <c r="K54" s="5">
        <f>+J54/Considerações!$G$53</f>
        <v>0.8526027397260274</v>
      </c>
      <c r="L54" s="5">
        <f>+((M54*1000)/Considerações!$D$30)*1.6/1000</f>
        <v>0.02</v>
      </c>
      <c r="M54" s="6">
        <f>+VLOOKUP(E54,Considerações!$A$35:$C$43,2,FALSE)</f>
        <v>2.5</v>
      </c>
      <c r="N54" s="16" t="str">
        <f t="shared" si="4"/>
        <v>OK</v>
      </c>
      <c r="O54" s="15">
        <f>IF((2020-H54)&lt;17,VLOOKUP((2020-H54),Considerações!$A$5:$B$22,2,FALSE),Considerações!$B$22)+IF(K54&gt;M54,Considerações!$D$27,IF(K54&lt;L54,Considerações!$D$26,0))</f>
        <v>-0.2</v>
      </c>
      <c r="P54" s="22">
        <f t="shared" si="5"/>
        <v>-622.40000000000009</v>
      </c>
      <c r="Q54" s="23">
        <f>+IF(I54/12&lt;Considerações!$C$47,Considerações!$E$47,IF('biggers above 3000'!I54/12&lt;Considerações!$C$48,Considerações!$E$48,IF('biggers above 3000'!I54/12&lt;Considerações!$C$49,Considerações!$E$49,Considerações!$E$50)))*P54+Considerações!$F$47*P54+Considerações!$G$47*P54</f>
        <v>-1817.3457600000004</v>
      </c>
    </row>
    <row r="55" spans="1:17" x14ac:dyDescent="0.45">
      <c r="A55">
        <v>105933</v>
      </c>
      <c r="B55" t="s">
        <v>90</v>
      </c>
      <c r="C55" t="s">
        <v>27</v>
      </c>
      <c r="D55" t="s">
        <v>86</v>
      </c>
      <c r="E55" s="4">
        <v>40</v>
      </c>
      <c r="F55" t="s">
        <v>92</v>
      </c>
      <c r="G55" t="s">
        <v>93</v>
      </c>
      <c r="H55">
        <v>2015</v>
      </c>
      <c r="I55" s="1">
        <v>3065</v>
      </c>
      <c r="J55" s="5">
        <f t="shared" si="3"/>
        <v>8.3972602739726021</v>
      </c>
      <c r="K55" s="5">
        <f>+J55/Considerações!$G$53</f>
        <v>0.83972602739726021</v>
      </c>
      <c r="L55" s="5">
        <f>+((M55*1000)/Considerações!$D$30)*1.6/1000</f>
        <v>0.128</v>
      </c>
      <c r="M55" s="6">
        <f>+VLOOKUP(E55,Considerações!$A$35:$C$43,2,FALSE)</f>
        <v>16</v>
      </c>
      <c r="N55" s="16" t="str">
        <f t="shared" si="4"/>
        <v>OK</v>
      </c>
      <c r="O55" s="15">
        <f>IF((2020-H55)&lt;17,VLOOKUP((2020-H55),Considerações!$A$5:$B$22,2,FALSE),Considerações!$B$22)+IF(K55&gt;M55,Considerações!$D$27,IF(K55&lt;L55,Considerações!$D$26,0))</f>
        <v>-7.0000000000000007E-2</v>
      </c>
      <c r="P55" s="22">
        <f t="shared" si="5"/>
        <v>-214.55</v>
      </c>
      <c r="Q55" s="23">
        <f>+IF(I55/12&lt;Considerações!$C$47,Considerações!$E$47,IF('biggers above 3000'!I55/12&lt;Considerações!$C$48,Considerações!$E$48,IF('biggers above 3000'!I55/12&lt;Considerações!$C$49,Considerações!$E$49,Considerações!$E$50)))*P55+Considerações!$F$47*P55+Considerações!$G$47*P55</f>
        <v>-626.46454500000004</v>
      </c>
    </row>
    <row r="56" spans="1:17" x14ac:dyDescent="0.45">
      <c r="A56"/>
      <c r="B56"/>
      <c r="C56"/>
      <c r="D56"/>
      <c r="E56"/>
      <c r="F56"/>
      <c r="G56"/>
      <c r="H56"/>
      <c r="I56" s="26">
        <f>SUM(I2:I55)</f>
        <v>659698.30000000005</v>
      </c>
      <c r="J56"/>
      <c r="K56"/>
      <c r="L56"/>
      <c r="M56"/>
      <c r="N56"/>
      <c r="O56" s="24">
        <f>+P56/I56</f>
        <v>-9.5998898284261128E-2</v>
      </c>
      <c r="P56" s="25">
        <f>SUM(P2:P55)</f>
        <v>-63330.30999999999</v>
      </c>
      <c r="Q56" s="26">
        <f>SUM(Q2:Q55)</f>
        <v>-184918.17216900011</v>
      </c>
    </row>
    <row r="57" spans="1:17" x14ac:dyDescent="0.45">
      <c r="A57"/>
      <c r="B57"/>
      <c r="C57"/>
      <c r="D57" s="41" t="s">
        <v>59</v>
      </c>
      <c r="E57" s="41"/>
      <c r="F57" s="41"/>
      <c r="G57" s="20">
        <v>10</v>
      </c>
      <c r="H57" s="9">
        <f>+COUNTIF($H$2:$H$55,"&gt;2010")/COUNT($H$2:$H$55)</f>
        <v>0.66666666666666663</v>
      </c>
      <c r="I57" s="21"/>
      <c r="J57"/>
      <c r="K57"/>
      <c r="L57"/>
      <c r="M57"/>
      <c r="N57"/>
      <c r="O57"/>
      <c r="P57"/>
      <c r="Q57"/>
    </row>
    <row r="58" spans="1:17" x14ac:dyDescent="0.45">
      <c r="A58"/>
      <c r="B58"/>
      <c r="C58"/>
      <c r="D58" s="41" t="s">
        <v>59</v>
      </c>
      <c r="E58" s="41"/>
      <c r="F58" s="41"/>
      <c r="G58" s="20">
        <v>6</v>
      </c>
      <c r="H58" s="9">
        <f>+COUNTIF($H$2:$H$55,"&gt;2016")/COUNT($H$2:$H$55)</f>
        <v>0.31481481481481483</v>
      </c>
      <c r="I58"/>
      <c r="J58"/>
      <c r="K58"/>
      <c r="L58"/>
      <c r="M58"/>
      <c r="N58"/>
      <c r="O58"/>
      <c r="P58"/>
      <c r="Q58"/>
    </row>
    <row r="59" spans="1:17" x14ac:dyDescent="0.45">
      <c r="D59" s="42"/>
      <c r="E59" s="42"/>
      <c r="F59" s="42"/>
    </row>
  </sheetData>
  <autoFilter ref="A1:Q58" xr:uid="{00000000-0001-0000-0000-000000000000}"/>
  <sortState xmlns:xlrd2="http://schemas.microsoft.com/office/spreadsheetml/2017/richdata2" ref="A2:I55">
    <sortCondition descending="1" ref="I2:I55"/>
    <sortCondition descending="1" ref="H2:H55"/>
  </sortState>
  <mergeCells count="3">
    <mergeCell ref="D57:F57"/>
    <mergeCell ref="D58:F58"/>
    <mergeCell ref="D59:F59"/>
  </mergeCells>
  <phoneticPr fontId="24" type="noConversion"/>
  <conditionalFormatting sqref="N2:N55">
    <cfRule type="expression" dxfId="1" priority="1">
      <formula>IF(AND(K2&gt;L2,K2&lt;M2),FALSE,TRUE)</formula>
    </cfRule>
    <cfRule type="expression" dxfId="0" priority="2">
      <formula>IF(AND(K2&gt;L2,K2&lt;M2),TRUE,FALSE)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"/>
  <sheetViews>
    <sheetView topLeftCell="A3" workbookViewId="0">
      <selection activeCell="H16" sqref="H16"/>
    </sheetView>
  </sheetViews>
  <sheetFormatPr defaultColWidth="8.796875" defaultRowHeight="14.25" x14ac:dyDescent="0.45"/>
  <cols>
    <col min="1" max="1" width="13.46484375" style="29" customWidth="1"/>
    <col min="2" max="3" width="5.1328125" style="29" bestFit="1" customWidth="1"/>
    <col min="4" max="4" width="8.796875" style="29"/>
    <col min="5" max="5" width="8.796875" style="29" customWidth="1"/>
    <col min="6" max="6" width="11.796875" style="29" bestFit="1" customWidth="1"/>
    <col min="7" max="16384" width="8.796875" style="29"/>
  </cols>
  <sheetData>
    <row r="1" spans="1:7" ht="23.25" x14ac:dyDescent="0.7">
      <c r="A1" s="13" t="s">
        <v>28</v>
      </c>
      <c r="B1"/>
      <c r="C1"/>
      <c r="D1"/>
      <c r="E1"/>
      <c r="F1"/>
    </row>
    <row r="2" spans="1:7" x14ac:dyDescent="0.45">
      <c r="A2"/>
      <c r="B2"/>
      <c r="C2"/>
      <c r="D2"/>
      <c r="E2"/>
      <c r="F2"/>
    </row>
    <row r="3" spans="1:7" x14ac:dyDescent="0.45">
      <c r="A3" s="17" t="s">
        <v>29</v>
      </c>
      <c r="B3" s="18"/>
      <c r="C3" s="18"/>
      <c r="D3" s="18"/>
      <c r="E3" s="18"/>
      <c r="F3" s="18"/>
    </row>
    <row r="4" spans="1:7" x14ac:dyDescent="0.45">
      <c r="A4"/>
      <c r="B4" s="8"/>
      <c r="C4"/>
      <c r="D4"/>
      <c r="E4" s="8"/>
      <c r="F4"/>
    </row>
    <row r="5" spans="1:7" x14ac:dyDescent="0.45">
      <c r="A5" s="19" t="s">
        <v>36</v>
      </c>
      <c r="B5" s="2" t="s">
        <v>70</v>
      </c>
      <c r="C5"/>
      <c r="D5"/>
      <c r="E5" t="s">
        <v>155</v>
      </c>
      <c r="F5"/>
    </row>
    <row r="6" spans="1:7" x14ac:dyDescent="0.45">
      <c r="A6" s="7">
        <v>1</v>
      </c>
      <c r="B6" s="2">
        <f>+F10</f>
        <v>0</v>
      </c>
      <c r="C6"/>
      <c r="D6"/>
      <c r="E6"/>
      <c r="F6"/>
    </row>
    <row r="7" spans="1:7" x14ac:dyDescent="0.45">
      <c r="A7" s="7">
        <v>2</v>
      </c>
      <c r="B7" s="2">
        <f>+F10</f>
        <v>0</v>
      </c>
      <c r="C7"/>
      <c r="D7"/>
      <c r="E7"/>
      <c r="F7"/>
    </row>
    <row r="8" spans="1:7" x14ac:dyDescent="0.45">
      <c r="A8" s="7">
        <v>3</v>
      </c>
      <c r="B8" s="2">
        <f>+F11</f>
        <v>0</v>
      </c>
      <c r="C8"/>
      <c r="D8"/>
      <c r="E8"/>
      <c r="F8"/>
    </row>
    <row r="9" spans="1:7" x14ac:dyDescent="0.45">
      <c r="A9" s="7">
        <v>4</v>
      </c>
      <c r="B9" s="2">
        <f>+F11</f>
        <v>0</v>
      </c>
      <c r="C9"/>
      <c r="D9"/>
      <c r="E9"/>
      <c r="F9" t="s">
        <v>0</v>
      </c>
    </row>
    <row r="10" spans="1:7" x14ac:dyDescent="0.45">
      <c r="A10" s="7">
        <v>5</v>
      </c>
      <c r="B10" s="2">
        <f>+F12</f>
        <v>-7.0000000000000007E-2</v>
      </c>
      <c r="C10"/>
      <c r="D10" t="s">
        <v>74</v>
      </c>
      <c r="E10" t="s">
        <v>30</v>
      </c>
      <c r="F10" s="38">
        <v>0</v>
      </c>
      <c r="G10" s="29" t="s">
        <v>1</v>
      </c>
    </row>
    <row r="11" spans="1:7" x14ac:dyDescent="0.45">
      <c r="A11" s="7">
        <v>6</v>
      </c>
      <c r="B11" s="2">
        <f>+F12</f>
        <v>-7.0000000000000007E-2</v>
      </c>
      <c r="C11"/>
      <c r="D11" t="s">
        <v>73</v>
      </c>
      <c r="E11" t="s">
        <v>30</v>
      </c>
      <c r="F11" s="38">
        <v>0</v>
      </c>
      <c r="G11" s="29" t="s">
        <v>2</v>
      </c>
    </row>
    <row r="12" spans="1:7" x14ac:dyDescent="0.45">
      <c r="A12" s="7">
        <v>7</v>
      </c>
      <c r="B12" s="2">
        <f>+F12</f>
        <v>-7.0000000000000007E-2</v>
      </c>
      <c r="C12"/>
      <c r="D12" t="s">
        <v>53</v>
      </c>
      <c r="E12" t="s">
        <v>30</v>
      </c>
      <c r="F12" s="38">
        <v>-7.0000000000000007E-2</v>
      </c>
    </row>
    <row r="13" spans="1:7" x14ac:dyDescent="0.45">
      <c r="A13" s="7">
        <v>8</v>
      </c>
      <c r="B13" s="2">
        <f>+F13</f>
        <v>-0.15</v>
      </c>
      <c r="C13"/>
      <c r="D13" t="s">
        <v>54</v>
      </c>
      <c r="E13" t="s">
        <v>30</v>
      </c>
      <c r="F13" s="38">
        <v>-0.15</v>
      </c>
    </row>
    <row r="14" spans="1:7" x14ac:dyDescent="0.45">
      <c r="A14" s="7">
        <v>9</v>
      </c>
      <c r="B14" s="2">
        <f>+F13</f>
        <v>-0.15</v>
      </c>
      <c r="C14"/>
      <c r="D14" t="s">
        <v>55</v>
      </c>
      <c r="E14" t="s">
        <v>30</v>
      </c>
      <c r="F14" s="38">
        <v>-0.2</v>
      </c>
    </row>
    <row r="15" spans="1:7" x14ac:dyDescent="0.45">
      <c r="A15" s="7">
        <v>10</v>
      </c>
      <c r="B15" s="2">
        <f>+F13</f>
        <v>-0.15</v>
      </c>
      <c r="C15"/>
      <c r="D15" t="s">
        <v>56</v>
      </c>
      <c r="E15" t="s">
        <v>30</v>
      </c>
      <c r="F15" s="38">
        <v>-0.25</v>
      </c>
    </row>
    <row r="16" spans="1:7" x14ac:dyDescent="0.45">
      <c r="A16" s="7">
        <v>11</v>
      </c>
      <c r="B16" s="2">
        <f>+F14</f>
        <v>-0.2</v>
      </c>
      <c r="C16"/>
      <c r="D16" t="s">
        <v>57</v>
      </c>
      <c r="E16" t="s">
        <v>30</v>
      </c>
      <c r="F16" s="38">
        <v>-0.3</v>
      </c>
    </row>
    <row r="17" spans="1:6" x14ac:dyDescent="0.45">
      <c r="A17" s="7">
        <v>12</v>
      </c>
      <c r="B17" s="2">
        <f>+F14</f>
        <v>-0.2</v>
      </c>
      <c r="C17"/>
      <c r="D17" t="s">
        <v>58</v>
      </c>
      <c r="E17" t="s">
        <v>30</v>
      </c>
      <c r="F17" s="38">
        <v>-0.4</v>
      </c>
    </row>
    <row r="18" spans="1:6" x14ac:dyDescent="0.45">
      <c r="A18" s="7">
        <v>13</v>
      </c>
      <c r="B18" s="2">
        <f>+F15</f>
        <v>-0.25</v>
      </c>
      <c r="C18"/>
      <c r="D18"/>
      <c r="E18"/>
      <c r="F18"/>
    </row>
    <row r="19" spans="1:6" x14ac:dyDescent="0.45">
      <c r="A19" s="7">
        <v>14</v>
      </c>
      <c r="B19" s="2">
        <f>+F15</f>
        <v>-0.25</v>
      </c>
      <c r="C19"/>
      <c r="D19"/>
      <c r="E19"/>
      <c r="F19"/>
    </row>
    <row r="20" spans="1:6" x14ac:dyDescent="0.45">
      <c r="A20" s="7">
        <v>15</v>
      </c>
      <c r="B20" s="2">
        <f>+F16</f>
        <v>-0.3</v>
      </c>
      <c r="C20"/>
      <c r="D20"/>
      <c r="E20"/>
      <c r="F20"/>
    </row>
    <row r="21" spans="1:6" x14ac:dyDescent="0.45">
      <c r="A21" s="7">
        <v>16</v>
      </c>
      <c r="B21" s="2">
        <f>+F16</f>
        <v>-0.3</v>
      </c>
      <c r="C21"/>
      <c r="D21"/>
      <c r="E21"/>
      <c r="F21"/>
    </row>
    <row r="22" spans="1:6" x14ac:dyDescent="0.45">
      <c r="A22" s="7">
        <v>17</v>
      </c>
      <c r="B22" s="2">
        <f>+F17</f>
        <v>-0.4</v>
      </c>
      <c r="C22"/>
      <c r="D22"/>
      <c r="E22"/>
      <c r="F22"/>
    </row>
    <row r="23" spans="1:6" x14ac:dyDescent="0.45">
      <c r="A23"/>
      <c r="B23" s="3"/>
      <c r="C23"/>
      <c r="D23"/>
      <c r="E23"/>
      <c r="F23"/>
    </row>
    <row r="24" spans="1:6" x14ac:dyDescent="0.45">
      <c r="A24"/>
      <c r="B24"/>
      <c r="C24"/>
      <c r="D24"/>
      <c r="E24"/>
      <c r="F24"/>
    </row>
    <row r="25" spans="1:6" x14ac:dyDescent="0.45">
      <c r="A25" s="49" t="s">
        <v>33</v>
      </c>
      <c r="B25" s="49"/>
      <c r="C25" s="49"/>
      <c r="D25" s="49"/>
      <c r="E25" s="49"/>
      <c r="F25" s="49"/>
    </row>
    <row r="26" spans="1:6" x14ac:dyDescent="0.45">
      <c r="A26" s="50" t="s">
        <v>35</v>
      </c>
      <c r="B26" s="50"/>
      <c r="C26" s="50"/>
      <c r="D26" s="38">
        <v>-0.15</v>
      </c>
      <c r="E26"/>
      <c r="F26"/>
    </row>
    <row r="27" spans="1:6" x14ac:dyDescent="0.45">
      <c r="A27" s="50" t="s">
        <v>154</v>
      </c>
      <c r="B27" s="50"/>
      <c r="C27" s="50"/>
      <c r="D27" s="38">
        <v>-0.08</v>
      </c>
      <c r="E27"/>
      <c r="F27"/>
    </row>
    <row r="28" spans="1:6" x14ac:dyDescent="0.45">
      <c r="A28"/>
      <c r="B28"/>
      <c r="C28"/>
      <c r="D28"/>
      <c r="E28"/>
      <c r="F28"/>
    </row>
    <row r="29" spans="1:6" x14ac:dyDescent="0.45">
      <c r="A29" s="18"/>
      <c r="B29" s="18"/>
      <c r="C29" s="18"/>
      <c r="D29" s="18" t="s">
        <v>65</v>
      </c>
      <c r="E29"/>
      <c r="F29"/>
    </row>
    <row r="30" spans="1:6" x14ac:dyDescent="0.45">
      <c r="A30" s="45" t="s">
        <v>52</v>
      </c>
      <c r="B30" s="45"/>
      <c r="C30"/>
      <c r="D30" s="33">
        <v>200</v>
      </c>
      <c r="E30"/>
      <c r="F30"/>
    </row>
    <row r="31" spans="1:6" x14ac:dyDescent="0.45">
      <c r="A31"/>
      <c r="B31"/>
      <c r="C31"/>
      <c r="D31"/>
      <c r="E31"/>
      <c r="F31"/>
    </row>
    <row r="32" spans="1:6" x14ac:dyDescent="0.45">
      <c r="A32"/>
      <c r="B32"/>
      <c r="C32"/>
      <c r="D32"/>
      <c r="E32"/>
      <c r="F32"/>
    </row>
    <row r="33" spans="1:8" ht="29.55" customHeight="1" x14ac:dyDescent="0.45">
      <c r="A33" s="45" t="s">
        <v>66</v>
      </c>
      <c r="B33" s="45"/>
      <c r="C33" s="45"/>
      <c r="D33" s="45"/>
      <c r="E33" s="45"/>
      <c r="F33" s="45"/>
    </row>
    <row r="34" spans="1:8" ht="20.55" customHeight="1" x14ac:dyDescent="0.45">
      <c r="A34" s="27" t="s">
        <v>68</v>
      </c>
      <c r="B34" s="46" t="s">
        <v>67</v>
      </c>
      <c r="C34" s="46"/>
      <c r="D34"/>
      <c r="E34"/>
      <c r="F34"/>
    </row>
    <row r="35" spans="1:8" x14ac:dyDescent="0.45">
      <c r="A35" s="28">
        <v>15</v>
      </c>
      <c r="B35" s="47">
        <v>2.5</v>
      </c>
      <c r="C35" s="47"/>
      <c r="D35"/>
      <c r="E35"/>
      <c r="F35"/>
    </row>
    <row r="36" spans="1:8" x14ac:dyDescent="0.45">
      <c r="A36" s="28">
        <v>20</v>
      </c>
      <c r="B36" s="47">
        <v>4</v>
      </c>
      <c r="C36" s="47"/>
      <c r="D36"/>
      <c r="E36"/>
      <c r="F36"/>
    </row>
    <row r="37" spans="1:8" x14ac:dyDescent="0.45">
      <c r="A37" s="28">
        <v>25</v>
      </c>
      <c r="B37" s="47">
        <v>6.3</v>
      </c>
      <c r="C37" s="47"/>
      <c r="D37"/>
      <c r="E37"/>
      <c r="F37"/>
    </row>
    <row r="38" spans="1:8" x14ac:dyDescent="0.45">
      <c r="A38" s="28">
        <v>30</v>
      </c>
      <c r="B38" s="47">
        <v>10</v>
      </c>
      <c r="C38" s="47"/>
      <c r="D38"/>
      <c r="E38"/>
      <c r="F38"/>
    </row>
    <row r="39" spans="1:8" x14ac:dyDescent="0.45">
      <c r="A39" s="28">
        <v>40</v>
      </c>
      <c r="B39" s="47">
        <v>16</v>
      </c>
      <c r="C39" s="47"/>
      <c r="D39"/>
      <c r="E39"/>
      <c r="F39"/>
    </row>
    <row r="40" spans="1:8" x14ac:dyDescent="0.45">
      <c r="A40" s="28">
        <v>50</v>
      </c>
      <c r="B40" s="47">
        <v>25</v>
      </c>
      <c r="C40" s="47"/>
      <c r="D40"/>
      <c r="E40"/>
      <c r="F40"/>
    </row>
    <row r="41" spans="1:8" x14ac:dyDescent="0.45">
      <c r="A41" s="28">
        <v>65</v>
      </c>
      <c r="B41" s="47">
        <v>40</v>
      </c>
      <c r="C41" s="47"/>
      <c r="D41"/>
      <c r="E41"/>
      <c r="F41"/>
    </row>
    <row r="42" spans="1:8" x14ac:dyDescent="0.45">
      <c r="A42" s="28">
        <v>80</v>
      </c>
      <c r="B42" s="47">
        <v>63</v>
      </c>
      <c r="C42" s="47"/>
      <c r="D42"/>
      <c r="E42"/>
      <c r="F42"/>
    </row>
    <row r="43" spans="1:8" x14ac:dyDescent="0.45">
      <c r="A43" s="28">
        <v>100</v>
      </c>
      <c r="B43" s="47">
        <v>100</v>
      </c>
      <c r="C43" s="47"/>
      <c r="D43"/>
      <c r="E43"/>
      <c r="F43"/>
    </row>
    <row r="44" spans="1:8" x14ac:dyDescent="0.45">
      <c r="A44"/>
      <c r="B44"/>
      <c r="C44"/>
      <c r="D44"/>
      <c r="E44"/>
      <c r="F44"/>
      <c r="G44"/>
      <c r="H44"/>
    </row>
    <row r="45" spans="1:8" x14ac:dyDescent="0.45">
      <c r="A45"/>
      <c r="B45"/>
      <c r="C45"/>
      <c r="D45"/>
      <c r="E45"/>
      <c r="F45"/>
      <c r="G45"/>
      <c r="H45"/>
    </row>
    <row r="46" spans="1:8" ht="24.75" x14ac:dyDescent="0.45">
      <c r="A46" s="34" t="s">
        <v>78</v>
      </c>
      <c r="B46" s="48" t="s">
        <v>69</v>
      </c>
      <c r="C46" s="48"/>
      <c r="D46" s="48"/>
      <c r="E46" s="35" t="s">
        <v>62</v>
      </c>
      <c r="F46" s="35" t="s">
        <v>63</v>
      </c>
      <c r="G46" s="35" t="s">
        <v>64</v>
      </c>
      <c r="H46"/>
    </row>
    <row r="47" spans="1:8" x14ac:dyDescent="0.45">
      <c r="A47" s="36" t="s">
        <v>42</v>
      </c>
      <c r="B47" s="36" t="s">
        <v>41</v>
      </c>
      <c r="C47" s="39">
        <v>5</v>
      </c>
      <c r="D47" s="36" t="s">
        <v>43</v>
      </c>
      <c r="E47" s="40">
        <v>0.53129999999999999</v>
      </c>
      <c r="F47" s="43">
        <v>0.71389999999999998</v>
      </c>
      <c r="G47" s="43">
        <v>0.4627</v>
      </c>
      <c r="H47"/>
    </row>
    <row r="48" spans="1:8" x14ac:dyDescent="0.45">
      <c r="A48" s="36" t="s">
        <v>44</v>
      </c>
      <c r="B48" s="36" t="s">
        <v>41</v>
      </c>
      <c r="C48" s="39">
        <v>15</v>
      </c>
      <c r="D48" s="36" t="s">
        <v>43</v>
      </c>
      <c r="E48" s="40">
        <v>0.66410000000000002</v>
      </c>
      <c r="F48" s="44"/>
      <c r="G48" s="44"/>
      <c r="H48"/>
    </row>
    <row r="49" spans="1:8" x14ac:dyDescent="0.45">
      <c r="A49" s="36" t="s">
        <v>45</v>
      </c>
      <c r="B49" s="36" t="s">
        <v>41</v>
      </c>
      <c r="C49" s="39">
        <v>25</v>
      </c>
      <c r="D49" s="36" t="s">
        <v>43</v>
      </c>
      <c r="E49" s="40">
        <v>0.99619999999999997</v>
      </c>
      <c r="F49" s="44"/>
      <c r="G49" s="44"/>
      <c r="H49"/>
    </row>
    <row r="50" spans="1:8" x14ac:dyDescent="0.45">
      <c r="A50" s="36" t="s">
        <v>46</v>
      </c>
      <c r="B50" s="36" t="s">
        <v>47</v>
      </c>
      <c r="C50" s="39">
        <v>25</v>
      </c>
      <c r="D50" s="36" t="s">
        <v>43</v>
      </c>
      <c r="E50" s="40">
        <v>1.7433000000000001</v>
      </c>
      <c r="F50" s="44"/>
      <c r="G50" s="44"/>
      <c r="H50"/>
    </row>
    <row r="51" spans="1:8" x14ac:dyDescent="0.45">
      <c r="A51"/>
      <c r="B51"/>
      <c r="C51"/>
      <c r="D51"/>
      <c r="E51"/>
      <c r="F51"/>
      <c r="G51"/>
      <c r="H51"/>
    </row>
    <row r="52" spans="1:8" x14ac:dyDescent="0.45">
      <c r="A52"/>
      <c r="B52"/>
      <c r="C52"/>
      <c r="D52"/>
      <c r="E52"/>
      <c r="F52"/>
      <c r="G52"/>
      <c r="H52"/>
    </row>
    <row r="53" spans="1:8" x14ac:dyDescent="0.45">
      <c r="A53" s="45" t="s">
        <v>71</v>
      </c>
      <c r="B53" s="45"/>
      <c r="C53" s="45"/>
      <c r="D53" s="45"/>
      <c r="E53" s="45"/>
      <c r="F53" s="45"/>
      <c r="G53" s="37">
        <v>10</v>
      </c>
      <c r="H53" t="s">
        <v>72</v>
      </c>
    </row>
  </sheetData>
  <mergeCells count="19">
    <mergeCell ref="A25:F25"/>
    <mergeCell ref="A33:F33"/>
    <mergeCell ref="A26:C26"/>
    <mergeCell ref="A27:C27"/>
    <mergeCell ref="F47:F50"/>
    <mergeCell ref="G47:G50"/>
    <mergeCell ref="A30:B30"/>
    <mergeCell ref="A53:F5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6:D46"/>
  </mergeCells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biggers above 3000</vt:lpstr>
      <vt:lpstr>Considerações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Ribeiro, Hilario</dc:creator>
  <cp:lastModifiedBy>Maria Regina Casimiro</cp:lastModifiedBy>
  <dcterms:created xsi:type="dcterms:W3CDTF">2020-08-06T09:41:37Z</dcterms:created>
  <dcterms:modified xsi:type="dcterms:W3CDTF">2023-02-06T12:22:46Z</dcterms:modified>
</cp:coreProperties>
</file>