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\Desktop\ShareFiles\IL\Pumps\"/>
    </mc:Choice>
  </mc:AlternateContent>
  <xr:revisionPtr revIDLastSave="0" documentId="13_ncr:1_{3DF25C6B-8A5F-4606-8ADD-8C08B79AAC6A}" xr6:coauthVersionLast="47" xr6:coauthVersionMax="47" xr10:uidLastSave="{00000000-0000-0000-0000-000000000000}"/>
  <bookViews>
    <workbookView xWindow="-110" yWindow="-110" windowWidth="17020" windowHeight="10000" activeTab="1" xr2:uid="{91460FD9-961D-4DD9-93ED-B2623AAC39A9}"/>
  </bookViews>
  <sheets>
    <sheet name="pipe&amp;fittings" sheetId="1" r:id="rId1"/>
    <sheet name="pump" sheetId="2" r:id="rId2"/>
    <sheet name="Fo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E11" i="2" s="1"/>
  <c r="E8" i="2"/>
  <c r="E4" i="2"/>
  <c r="F20" i="2" l="1"/>
  <c r="F17" i="2"/>
  <c r="F18" i="2"/>
  <c r="F19" i="2"/>
  <c r="F16" i="2"/>
  <c r="E3" i="2"/>
  <c r="D8" i="2"/>
  <c r="D10" i="2" s="1"/>
  <c r="D11" i="2" s="1"/>
  <c r="D4" i="2"/>
  <c r="D27" i="1"/>
  <c r="D25" i="1"/>
  <c r="J14" i="1"/>
  <c r="J9" i="1"/>
  <c r="D17" i="1"/>
  <c r="D19" i="1" s="1"/>
  <c r="D10" i="1"/>
  <c r="D8" i="1"/>
  <c r="D5" i="1"/>
  <c r="D12" i="1" l="1"/>
</calcChain>
</file>

<file path=xl/sharedStrings.xml><?xml version="1.0" encoding="utf-8"?>
<sst xmlns="http://schemas.openxmlformats.org/spreadsheetml/2006/main" count="51" uniqueCount="48">
  <si>
    <t>d(8/3)</t>
  </si>
  <si>
    <t>flow</t>
  </si>
  <si>
    <t>n</t>
  </si>
  <si>
    <t>flow x n</t>
  </si>
  <si>
    <t>d</t>
  </si>
  <si>
    <t>pipe</t>
  </si>
  <si>
    <t>m/km</t>
  </si>
  <si>
    <t>Diâmetro economico</t>
  </si>
  <si>
    <t>m3/s</t>
  </si>
  <si>
    <t>m3/h</t>
  </si>
  <si>
    <t>Diâmetro mm</t>
  </si>
  <si>
    <t>velocidade</t>
  </si>
  <si>
    <t>perda em conduta H-W</t>
  </si>
  <si>
    <t>flow (m3/h)</t>
  </si>
  <si>
    <t>diâmetro (mm)</t>
  </si>
  <si>
    <t>v (m/s)</t>
  </si>
  <si>
    <t>Velocidade max (DL23)</t>
  </si>
  <si>
    <t>Fittings</t>
  </si>
  <si>
    <t>g(m/s^2)</t>
  </si>
  <si>
    <t>c1+c2+c3+…</t>
  </si>
  <si>
    <r>
      <t>h</t>
    </r>
    <r>
      <rPr>
        <vertAlign val="subscript"/>
        <sz val="11"/>
        <color theme="1"/>
        <rFont val="Aptos Narrow"/>
        <family val="2"/>
        <scheme val="minor"/>
      </rPr>
      <t>ftg</t>
    </r>
    <r>
      <rPr>
        <sz val="11"/>
        <color theme="1"/>
        <rFont val="Aptos Narrow"/>
        <family val="2"/>
        <scheme val="minor"/>
      </rPr>
      <t>=(v^2/2g)(c1+c2+…..)</t>
    </r>
  </si>
  <si>
    <t>velocidade (m/s)</t>
  </si>
  <si>
    <t>h (m)</t>
  </si>
  <si>
    <r>
      <t>m</t>
    </r>
    <r>
      <rPr>
        <vertAlign val="superscript"/>
        <sz val="11"/>
        <rFont val="Lucinda grande"/>
      </rPr>
      <t>3</t>
    </r>
    <r>
      <rPr>
        <sz val="11"/>
        <rFont val="Lucinda grande"/>
      </rPr>
      <t>/ano</t>
    </r>
    <r>
      <rPr>
        <sz val="11"/>
        <rFont val="Calibri"/>
        <family val="2"/>
      </rPr>
      <t>∙</t>
    </r>
    <r>
      <rPr>
        <sz val="11"/>
        <rFont val="Lucinda grande"/>
      </rPr>
      <t>100m</t>
    </r>
  </si>
  <si>
    <t>Factor uniformização</t>
  </si>
  <si>
    <t>Volume bombeado</t>
  </si>
  <si>
    <t>m3</t>
  </si>
  <si>
    <t>Energia pressão  fornecida</t>
  </si>
  <si>
    <t>kWh</t>
  </si>
  <si>
    <t>Pressão a jusante do grupo</t>
  </si>
  <si>
    <t>m</t>
  </si>
  <si>
    <t>consumo energia no bombeamento</t>
  </si>
  <si>
    <t>kWh/ano</t>
  </si>
  <si>
    <t xml:space="preserve">eficiência energética </t>
  </si>
  <si>
    <t>%</t>
  </si>
  <si>
    <r>
      <t>kWh/m</t>
    </r>
    <r>
      <rPr>
        <vertAlign val="superscript"/>
        <sz val="11"/>
        <rFont val="Lucinda grande"/>
      </rPr>
      <t>3</t>
    </r>
    <r>
      <rPr>
        <sz val="11"/>
        <rFont val="Lucinda grande"/>
      </rPr>
      <t>/100 m</t>
    </r>
  </si>
  <si>
    <t>ANO</t>
  </si>
  <si>
    <t>Estimativa energética com base nas horas de funcionamento</t>
  </si>
  <si>
    <t>B1</t>
  </si>
  <si>
    <t>B2</t>
  </si>
  <si>
    <t>B3</t>
  </si>
  <si>
    <t>Joker</t>
  </si>
  <si>
    <t>bomba</t>
  </si>
  <si>
    <t>horas</t>
  </si>
  <si>
    <t>potência</t>
  </si>
  <si>
    <t>carga</t>
  </si>
  <si>
    <t>consumo estimado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</si>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</sst>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Lucinda grande"/>
    </font>
    <font>
      <vertAlign val="superscript"/>
      <sz val="11"/>
      <name val="Lucinda grande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 xr:uid="{F721B413-BF1F-439B-9846-272AD91F5A6A}"/>
    <cellStyle name="Normal 2 2" xfId="2" xr:uid="{1D5F9303-E811-46B6-9B86-E0393C1F4180}"/>
    <cellStyle name="Percent 2" xfId="3" xr:uid="{EF15E1D0-9168-4FE2-B046-7C47A657F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103-BF63-4145-91D2-CA0F364A7D3D}">
  <dimension ref="B3:J27"/>
  <sheetViews>
    <sheetView topLeftCell="A10" workbookViewId="0">
      <selection activeCell="F17" sqref="F17"/>
    </sheetView>
  </sheetViews>
  <sheetFormatPr defaultRowHeight="14.5"/>
  <cols>
    <col min="3" max="4" width="11.81640625" bestFit="1" customWidth="1"/>
  </cols>
  <sheetData>
    <row r="3" spans="2:10">
      <c r="D3" t="s">
        <v>5</v>
      </c>
    </row>
    <row r="4" spans="2:10">
      <c r="B4" s="2" t="s">
        <v>12</v>
      </c>
    </row>
    <row r="5" spans="2:10">
      <c r="D5">
        <f>7952*10^9</f>
        <v>7952000000000</v>
      </c>
      <c r="G5" s="2" t="s">
        <v>11</v>
      </c>
    </row>
    <row r="6" spans="2:10">
      <c r="C6" t="s">
        <v>1</v>
      </c>
      <c r="D6" s="1">
        <v>215</v>
      </c>
      <c r="H6" t="s">
        <v>13</v>
      </c>
      <c r="J6">
        <v>215</v>
      </c>
    </row>
    <row r="7" spans="2:10">
      <c r="C7" t="s">
        <v>2</v>
      </c>
      <c r="D7" s="1">
        <v>1.2999999999999999E-2</v>
      </c>
      <c r="H7" t="s">
        <v>14</v>
      </c>
      <c r="J7">
        <v>250</v>
      </c>
    </row>
    <row r="8" spans="2:10">
      <c r="C8" t="s">
        <v>3</v>
      </c>
      <c r="D8">
        <f>D6*D7</f>
        <v>2.7949999999999999</v>
      </c>
    </row>
    <row r="9" spans="2:10">
      <c r="C9" t="s">
        <v>4</v>
      </c>
      <c r="D9" s="1">
        <v>250</v>
      </c>
      <c r="H9" t="s">
        <v>15</v>
      </c>
      <c r="J9">
        <f>4*10^3*J6/(3.6*3.14*J7^2)</f>
        <v>1.2172682236376504</v>
      </c>
    </row>
    <row r="10" spans="2:10">
      <c r="C10" t="s">
        <v>0</v>
      </c>
      <c r="D10">
        <f>D9^(8/3)</f>
        <v>2480314.1437003091</v>
      </c>
    </row>
    <row r="12" spans="2:10">
      <c r="C12" t="s">
        <v>6</v>
      </c>
      <c r="D12">
        <f>D5*(D8/D10)^2</f>
        <v>10.097796548840559</v>
      </c>
      <c r="G12" s="2" t="s">
        <v>16</v>
      </c>
    </row>
    <row r="13" spans="2:10">
      <c r="H13" t="s">
        <v>14</v>
      </c>
      <c r="J13">
        <v>250</v>
      </c>
    </row>
    <row r="14" spans="2:10">
      <c r="H14" t="s">
        <v>15</v>
      </c>
      <c r="J14">
        <f>0.127*J13^0.4</f>
        <v>1.156058268921561</v>
      </c>
    </row>
    <row r="15" spans="2:10">
      <c r="B15" s="2" t="s">
        <v>7</v>
      </c>
    </row>
    <row r="16" spans="2:10">
      <c r="C16" t="s">
        <v>9</v>
      </c>
      <c r="D16" s="1">
        <v>100</v>
      </c>
    </row>
    <row r="17" spans="2:4">
      <c r="C17" t="s">
        <v>8</v>
      </c>
      <c r="D17">
        <f>D16/3600</f>
        <v>2.7777777777777776E-2</v>
      </c>
    </row>
    <row r="19" spans="2:4">
      <c r="C19" t="s">
        <v>10</v>
      </c>
      <c r="D19">
        <f>0.95*D17^0.43*1000</f>
        <v>203.47615855848179</v>
      </c>
    </row>
    <row r="22" spans="2:4">
      <c r="B22" s="2" t="s">
        <v>17</v>
      </c>
    </row>
    <row r="23" spans="2:4" ht="16.5">
      <c r="C23" t="s">
        <v>20</v>
      </c>
    </row>
    <row r="24" spans="2:4">
      <c r="C24" t="s">
        <v>18</v>
      </c>
      <c r="D24">
        <v>9.81</v>
      </c>
    </row>
    <row r="25" spans="2:4">
      <c r="C25" t="s">
        <v>19</v>
      </c>
      <c r="D25" s="1">
        <f>2*0.3+1+2*0.15+1</f>
        <v>2.9000000000000004</v>
      </c>
    </row>
    <row r="26" spans="2:4">
      <c r="C26" t="s">
        <v>21</v>
      </c>
      <c r="D26">
        <v>0.39</v>
      </c>
    </row>
    <row r="27" spans="2:4">
      <c r="C27" t="s">
        <v>22</v>
      </c>
      <c r="D27">
        <f>D26^2/(2*D24)*D25</f>
        <v>2.2481651376146793E-2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C3F8-B3F7-4E02-A096-59C632A6B162}">
  <dimension ref="B1:F20"/>
  <sheetViews>
    <sheetView tabSelected="1" workbookViewId="0">
      <selection activeCell="H5" sqref="H5"/>
    </sheetView>
  </sheetViews>
  <sheetFormatPr defaultRowHeight="14.5"/>
  <cols>
    <col min="2" max="2" width="29.54296875" bestFit="1" customWidth="1"/>
    <col min="3" max="3" width="13.81640625" style="3" bestFit="1" customWidth="1"/>
  </cols>
  <sheetData>
    <row r="1" spans="2:6">
      <c r="B1" s="2" t="s">
        <v>36</v>
      </c>
      <c r="C1" s="5"/>
      <c r="D1" s="2">
        <v>2022</v>
      </c>
      <c r="E1" s="2">
        <v>2023</v>
      </c>
    </row>
    <row r="2" spans="2:6">
      <c r="B2" t="s">
        <v>25</v>
      </c>
      <c r="C2" s="3" t="s">
        <v>26</v>
      </c>
      <c r="D2" s="4">
        <v>815486</v>
      </c>
      <c r="E2">
        <v>941474</v>
      </c>
    </row>
    <row r="3" spans="2:6">
      <c r="B3" t="s">
        <v>29</v>
      </c>
      <c r="C3" s="3" t="s">
        <v>30</v>
      </c>
      <c r="D3" s="4">
        <v>28.6</v>
      </c>
      <c r="E3">
        <f>D3</f>
        <v>28.6</v>
      </c>
    </row>
    <row r="4" spans="2:6">
      <c r="B4" t="s">
        <v>27</v>
      </c>
      <c r="C4" s="3" t="s">
        <v>28</v>
      </c>
      <c r="D4">
        <f>9.8*D2*D3/3600</f>
        <v>63490.115577777789</v>
      </c>
      <c r="E4">
        <f>9.8*E2*E3/3600</f>
        <v>73298.981311111129</v>
      </c>
    </row>
    <row r="6" spans="2:6">
      <c r="B6" t="s">
        <v>31</v>
      </c>
      <c r="C6" s="3" t="s">
        <v>32</v>
      </c>
      <c r="D6" s="4">
        <v>144571</v>
      </c>
      <c r="E6" s="1">
        <v>189750</v>
      </c>
    </row>
    <row r="8" spans="2:6" ht="17">
      <c r="B8" t="s">
        <v>24</v>
      </c>
      <c r="C8" s="3" t="s">
        <v>23</v>
      </c>
      <c r="D8">
        <f>D2*D3/100</f>
        <v>233228.99600000001</v>
      </c>
      <c r="E8">
        <f>E2*E3/100</f>
        <v>269261.56400000001</v>
      </c>
    </row>
    <row r="10" spans="2:6" ht="17">
      <c r="B10" t="s">
        <v>33</v>
      </c>
      <c r="C10" s="3" t="s">
        <v>35</v>
      </c>
      <c r="D10">
        <f>D6/D8</f>
        <v>0.619867179808123</v>
      </c>
      <c r="E10">
        <f>E6/E8</f>
        <v>0.70470510971257672</v>
      </c>
    </row>
    <row r="11" spans="2:6">
      <c r="B11" t="s">
        <v>33</v>
      </c>
      <c r="C11" s="3" t="s">
        <v>34</v>
      </c>
      <c r="D11">
        <f>9810*100/3600/(D10*1000)*100</f>
        <v>43.961030504042995</v>
      </c>
      <c r="E11">
        <f>9810*100/3600/(E10*1000)*100</f>
        <v>38.668656753623189</v>
      </c>
    </row>
    <row r="14" spans="2:6">
      <c r="B14" s="2" t="s">
        <v>37</v>
      </c>
    </row>
    <row r="15" spans="2:6">
      <c r="B15" t="s">
        <v>42</v>
      </c>
      <c r="C15" s="3" t="s">
        <v>43</v>
      </c>
      <c r="D15" t="s">
        <v>44</v>
      </c>
      <c r="E15" t="s">
        <v>45</v>
      </c>
      <c r="F15" t="s">
        <v>46</v>
      </c>
    </row>
    <row r="16" spans="2:6">
      <c r="B16" t="s">
        <v>38</v>
      </c>
      <c r="C16" s="3">
        <v>5104</v>
      </c>
      <c r="D16">
        <v>15</v>
      </c>
      <c r="E16">
        <v>0.8</v>
      </c>
      <c r="F16">
        <f>D16*E16*C16</f>
        <v>61248</v>
      </c>
    </row>
    <row r="17" spans="2:6">
      <c r="B17" t="s">
        <v>39</v>
      </c>
      <c r="C17" s="3">
        <v>5169</v>
      </c>
      <c r="D17">
        <v>15</v>
      </c>
      <c r="E17">
        <v>0.8</v>
      </c>
      <c r="F17">
        <f t="shared" ref="F17:F19" si="0">D17*E17*C17</f>
        <v>62028</v>
      </c>
    </row>
    <row r="18" spans="2:6">
      <c r="B18" t="s">
        <v>40</v>
      </c>
      <c r="C18" s="3">
        <v>5014</v>
      </c>
      <c r="D18">
        <v>15</v>
      </c>
      <c r="E18">
        <v>0.8</v>
      </c>
      <c r="F18">
        <f t="shared" si="0"/>
        <v>60168</v>
      </c>
    </row>
    <row r="19" spans="2:6">
      <c r="B19" t="s">
        <v>41</v>
      </c>
      <c r="C19" s="3">
        <v>1051</v>
      </c>
      <c r="D19">
        <v>7.5</v>
      </c>
      <c r="E19">
        <v>0.8</v>
      </c>
      <c r="F19">
        <f t="shared" si="0"/>
        <v>6306</v>
      </c>
    </row>
    <row r="20" spans="2:6">
      <c r="B20" t="s">
        <v>47</v>
      </c>
      <c r="F20" s="2">
        <f>SUM(F16:F19)</f>
        <v>189750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831D-4A90-4132-8859-C5FB9D3E1D5B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pipe&amp;fittings</vt:lpstr>
      <vt:lpstr>pump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 Casimiro</dc:creator>
  <cp:lastModifiedBy>Maria Regina Casimiro</cp:lastModifiedBy>
  <dcterms:created xsi:type="dcterms:W3CDTF">2024-03-12T16:56:48Z</dcterms:created>
  <dcterms:modified xsi:type="dcterms:W3CDTF">2024-03-19T09:18:06Z</dcterms:modified>
</cp:coreProperties>
</file>