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drawings/drawing4.xml" ContentType="application/vnd.openxmlformats-officedocument.drawing+xml"/>
  <Override PartName="/xl/drawings/drawing5.xml" ContentType="application/vnd.openxmlformats-officedocument.drawing+xml"/>
  <Override PartName="/xl/embeddings/oleObject2.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regin\Desktop\ShareFiles\IL\Pumps\"/>
    </mc:Choice>
  </mc:AlternateContent>
  <xr:revisionPtr revIDLastSave="0" documentId="8_{AF6C71B8-8E0A-4CC1-B5BE-E0070B46D816}" xr6:coauthVersionLast="47" xr6:coauthVersionMax="47" xr10:uidLastSave="{00000000-0000-0000-0000-000000000000}"/>
  <workbookProtection lockStructure="1"/>
  <bookViews>
    <workbookView xWindow="-110" yWindow="-110" windowWidth="17020" windowHeight="10000" activeTab="3" xr2:uid="{00000000-000D-0000-FFFF-FFFF00000000}"/>
  </bookViews>
  <sheets>
    <sheet name="Introduction" sheetId="10" r:id="rId1"/>
    <sheet name="Help - Pumping (above ground)" sheetId="11" r:id="rId2"/>
    <sheet name="Inputs - Pumping (above ground)" sheetId="1" r:id="rId3"/>
    <sheet name="Help - Borehole Pumping" sheetId="15" r:id="rId4"/>
    <sheet name="Inputs - Borehole Pumping" sheetId="13" r:id="rId5"/>
    <sheet name="Summary" sheetId="2" r:id="rId6"/>
    <sheet name="Performance Certificate" sheetId="6" r:id="rId7"/>
    <sheet name="Version" sheetId="9" r:id="rId8"/>
    <sheet name="Fixed Data" sheetId="3" state="hidden" r:id="rId9"/>
    <sheet name="Fixed Data (2)" sheetId="14" state="hidden" r:id="rId10"/>
  </sheets>
  <definedNames>
    <definedName name="_xlnm.Print_Area" localSheetId="1">'Help - Pumping (above ground)'!$A$1:$H$67</definedName>
    <definedName name="_xlnm.Print_Area" localSheetId="4">'Inputs - Borehole Pumping'!$B$2:$J$131</definedName>
    <definedName name="_xlnm.Print_Area" localSheetId="2">'Inputs - Pumping (above ground)'!$B$2:$J$127</definedName>
    <definedName name="_xlnm.Print_Area" localSheetId="6">'Performance Certificate'!$B$2:$L$54</definedName>
    <definedName name="_xlnm.Print_Area" localSheetId="5">Summary!$A$2:$J$65</definedName>
    <definedName name="bar" localSheetId="8">Summary!#REF!</definedName>
    <definedName name="bar" localSheetId="9">Summary!#REF!</definedName>
    <definedName name="diameter" localSheetId="9">'Fixed Data (2)'!$F$2:$F$3</definedName>
    <definedName name="diameter">'Fixed Data'!$F$2:$F$3</definedName>
    <definedName name="EF_bh" localSheetId="4">'Inputs - Borehole Pumping'!$F$109</definedName>
    <definedName name="Emission_Factor">'Inputs - Pumping (above ground)'!$F$105</definedName>
    <definedName name="flow_rate" localSheetId="9">'Fixed Data (2)'!$D$2:$D$3</definedName>
    <definedName name="flow_rate">'Fixed Data'!$D$2:$D$3</definedName>
    <definedName name="Friction" localSheetId="9">'Fixed Data (2)'!$E$2:$E$3</definedName>
    <definedName name="Friction">'Fixed Data'!$E$2:$E$3</definedName>
    <definedName name="g" localSheetId="9">'Fixed Data (2)'!$C$7</definedName>
    <definedName name="g">'Fixed Data'!$C$7</definedName>
    <definedName name="m_head_per_km_pipe" localSheetId="9">'Fixed Data (2)'!$E$2:$E$3</definedName>
    <definedName name="m_head_per_km_pipe">'Fixed Data'!$E$2:$E$3</definedName>
    <definedName name="Pressure" localSheetId="9">'Fixed Data (2)'!$C$2:$C$4</definedName>
    <definedName name="Pressure">'Fixed Data'!$C$2:$C$4</definedName>
    <definedName name="selection">'Fixed Data (2)'!$H$14:$H$16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6" i="1" l="1"/>
  <c r="F18" i="2" l="1"/>
  <c r="F45" i="2" s="1"/>
  <c r="E18" i="2"/>
  <c r="E45" i="2" s="1"/>
  <c r="F16" i="2"/>
  <c r="E16" i="2"/>
  <c r="H52" i="2" l="1"/>
  <c r="F50" i="13" l="1"/>
  <c r="F60" i="13" s="1"/>
  <c r="F20" i="2"/>
  <c r="F47" i="2" l="1"/>
  <c r="D89" i="13"/>
  <c r="D83" i="13"/>
  <c r="H83" i="13"/>
  <c r="H79" i="13"/>
  <c r="F79" i="13"/>
  <c r="C43" i="3"/>
  <c r="C43" i="14"/>
  <c r="E43" i="2"/>
  <c r="C37" i="14"/>
  <c r="C35" i="14"/>
  <c r="C20" i="14"/>
  <c r="C18" i="14"/>
  <c r="C15" i="14"/>
  <c r="C13" i="14"/>
  <c r="C11" i="14"/>
  <c r="C9" i="14"/>
  <c r="E33" i="2" l="1"/>
  <c r="F43" i="2"/>
  <c r="C24" i="14"/>
  <c r="C28" i="14" s="1"/>
  <c r="C22" i="14"/>
  <c r="C26" i="14" s="1"/>
  <c r="C37" i="3" l="1"/>
  <c r="C35" i="3"/>
  <c r="C41" i="3" s="1"/>
  <c r="C20" i="3"/>
  <c r="C18" i="3"/>
  <c r="C15" i="3"/>
  <c r="C13" i="3"/>
  <c r="C11" i="3"/>
  <c r="C9" i="3"/>
  <c r="I4" i="14"/>
  <c r="F92" i="13"/>
  <c r="F38" i="13"/>
  <c r="H38" i="13" s="1"/>
  <c r="F27" i="13"/>
  <c r="G75" i="1"/>
  <c r="H77" i="1"/>
  <c r="H80" i="1"/>
  <c r="C24" i="3" l="1"/>
  <c r="C28" i="3" s="1"/>
  <c r="F40" i="13"/>
  <c r="C36" i="14"/>
  <c r="F66" i="13" s="1"/>
  <c r="C14" i="14"/>
  <c r="C19" i="14"/>
  <c r="C23" i="14" s="1"/>
  <c r="C27" i="14" s="1"/>
  <c r="C10" i="14"/>
  <c r="C39" i="3"/>
  <c r="C42" i="3" s="1"/>
  <c r="F62" i="13"/>
  <c r="C22" i="3"/>
  <c r="C26" i="3" s="1"/>
  <c r="D79" i="1"/>
  <c r="F37" i="1"/>
  <c r="H37" i="1" s="1"/>
  <c r="F27" i="1"/>
  <c r="E9" i="6"/>
  <c r="G87" i="1"/>
  <c r="E6" i="6"/>
  <c r="E7" i="6"/>
  <c r="I4" i="3"/>
  <c r="E29" i="2" l="1"/>
  <c r="F39" i="1"/>
  <c r="C41" i="14"/>
  <c r="E49" i="2" s="1"/>
  <c r="C39" i="14"/>
  <c r="C42" i="14" s="1"/>
  <c r="C36" i="3"/>
  <c r="C14" i="3"/>
  <c r="C19" i="3"/>
  <c r="C23" i="3" s="1"/>
  <c r="C27" i="3" s="1"/>
  <c r="C10" i="3"/>
  <c r="F64" i="13"/>
  <c r="F62" i="1"/>
  <c r="I43" i="2" l="1"/>
  <c r="F49" i="2"/>
  <c r="F24" i="2"/>
  <c r="F51" i="2" s="1"/>
  <c r="H43" i="2"/>
  <c r="E12" i="6"/>
  <c r="E31" i="2"/>
  <c r="C45" i="3"/>
  <c r="E35" i="2"/>
  <c r="E14" i="6" s="1"/>
  <c r="C55" i="14"/>
  <c r="C59" i="14" s="1"/>
  <c r="C55" i="3"/>
  <c r="C59" i="3" s="1"/>
  <c r="C45" i="14"/>
  <c r="F22" i="2"/>
  <c r="E22" i="2"/>
  <c r="I49" i="2"/>
  <c r="J9" i="6"/>
  <c r="C32" i="14"/>
  <c r="C31" i="14"/>
  <c r="C33" i="14"/>
  <c r="C32" i="3"/>
  <c r="C33" i="3"/>
  <c r="C31" i="3"/>
  <c r="O2" i="3"/>
  <c r="C57" i="14" l="1"/>
  <c r="I45" i="2"/>
  <c r="C61" i="3"/>
  <c r="E13" i="6"/>
  <c r="C61" i="14"/>
  <c r="C59" i="2"/>
  <c r="H45" i="2"/>
  <c r="C57" i="3"/>
  <c r="J11" i="6" s="1"/>
  <c r="H59" i="2"/>
  <c r="C65" i="3"/>
  <c r="C63" i="2"/>
  <c r="J13" i="6"/>
  <c r="C65" i="14"/>
  <c r="C63" i="14"/>
  <c r="J10" i="6"/>
  <c r="J12" i="6" s="1"/>
  <c r="O2" i="14"/>
  <c r="F53" i="2"/>
  <c r="F58" i="1"/>
  <c r="F60" i="1" s="1"/>
  <c r="E20" i="2" s="1"/>
  <c r="C63" i="3" l="1"/>
  <c r="C61" i="2"/>
  <c r="E24" i="2"/>
  <c r="E51" i="2" s="1"/>
  <c r="H49" i="2"/>
  <c r="H47" i="2"/>
  <c r="C49" i="3"/>
  <c r="C49" i="14"/>
  <c r="E47" i="2"/>
  <c r="H61" i="2"/>
  <c r="H63" i="2"/>
  <c r="J14" i="6"/>
  <c r="C47" i="14" l="1"/>
  <c r="I47" i="2"/>
  <c r="H51" i="2"/>
  <c r="I51" i="2"/>
  <c r="C47" i="3"/>
  <c r="O4" i="3"/>
  <c r="O4" i="14"/>
  <c r="O3" i="3"/>
  <c r="O3" i="14"/>
  <c r="J29" i="6"/>
  <c r="J25" i="6"/>
  <c r="F21" i="6"/>
  <c r="H27" i="6"/>
  <c r="F19" i="6"/>
  <c r="H25" i="6"/>
  <c r="H21" i="6"/>
  <c r="J27" i="6"/>
  <c r="F27" i="6"/>
  <c r="H23" i="6"/>
  <c r="J31" i="6"/>
  <c r="J23" i="6"/>
  <c r="H19" i="6"/>
  <c r="H29" i="6"/>
  <c r="F25" i="6"/>
  <c r="H31" i="6"/>
  <c r="J19" i="6"/>
  <c r="F31" i="6"/>
  <c r="C51" i="14"/>
  <c r="E53" i="2"/>
  <c r="I53" i="2" s="1"/>
  <c r="J21" i="6"/>
  <c r="F29" i="6"/>
  <c r="F23" i="6"/>
  <c r="H53" i="2" l="1"/>
  <c r="C53" i="14"/>
  <c r="C51" i="3"/>
  <c r="C53" i="3"/>
  <c r="O5" i="3" l="1"/>
  <c r="O5" i="14"/>
</calcChain>
</file>

<file path=xl/sharedStrings.xml><?xml version="1.0" encoding="utf-8"?>
<sst xmlns="http://schemas.openxmlformats.org/spreadsheetml/2006/main" count="810" uniqueCount="362">
  <si>
    <t>kW</t>
  </si>
  <si>
    <t>Motor Shaft Power</t>
  </si>
  <si>
    <t>bar</t>
  </si>
  <si>
    <t>m/s</t>
  </si>
  <si>
    <t>m of head</t>
  </si>
  <si>
    <t>Conversion Factors</t>
  </si>
  <si>
    <t>Electricity consumption p.a</t>
  </si>
  <si>
    <t>kWh</t>
  </si>
  <si>
    <t>€/kWh</t>
  </si>
  <si>
    <t>Electricity cost p.a</t>
  </si>
  <si>
    <t>Parameter</t>
  </si>
  <si>
    <t>Value</t>
  </si>
  <si>
    <t>g (Acceleration due to gravity)</t>
  </si>
  <si>
    <t>Fluid Density</t>
  </si>
  <si>
    <t>Drop down menu selections</t>
  </si>
  <si>
    <t>psi</t>
  </si>
  <si>
    <t>Hydraulic power friction (m hd)</t>
  </si>
  <si>
    <t>Hydraulic power friction (bar)</t>
  </si>
  <si>
    <t>Hydraulic power friction (psi)</t>
  </si>
  <si>
    <t xml:space="preserve">Voltage </t>
  </si>
  <si>
    <t>Current</t>
  </si>
  <si>
    <t>V</t>
  </si>
  <si>
    <t>A</t>
  </si>
  <si>
    <t>kVA</t>
  </si>
  <si>
    <t>Motor Efficiency</t>
  </si>
  <si>
    <t>= Pump Shaft Power</t>
  </si>
  <si>
    <t>CO2 Emission Factor (Electricity)</t>
  </si>
  <si>
    <t>kgCO2/kWh</t>
  </si>
  <si>
    <t>Hydraulic power static discharge(m hd)</t>
  </si>
  <si>
    <t>Hydraulic power static discharge (bar)</t>
  </si>
  <si>
    <t>Hydraulic power static discharge (psi)</t>
  </si>
  <si>
    <t>Hydraulic power static suction (m hd)</t>
  </si>
  <si>
    <t>Hydraulic power static suction (bar)</t>
  </si>
  <si>
    <t>Hydraulic power static suction (psi)</t>
  </si>
  <si>
    <t>Electrical Power Consumed</t>
  </si>
  <si>
    <t>or</t>
  </si>
  <si>
    <t>Actual Motor Power Consumption</t>
  </si>
  <si>
    <t>From measurement (meter)</t>
  </si>
  <si>
    <r>
      <t>kg/m</t>
    </r>
    <r>
      <rPr>
        <vertAlign val="superscript"/>
        <sz val="10"/>
        <color indexed="8"/>
        <rFont val="Calibri"/>
        <family val="2"/>
      </rPr>
      <t>3</t>
    </r>
  </si>
  <si>
    <t>If VSD, then = 1 | Non-VSD Maximum = 0.83 | Non-VSD Typical Full Load = 0.78-0.81 | Non-VSD Typical Half Load = 0.70</t>
  </si>
  <si>
    <t>Electricity Average Unit Price</t>
  </si>
  <si>
    <t>Pump Discharge Flow Rate</t>
  </si>
  <si>
    <t>Pump Discharge Pressure</t>
  </si>
  <si>
    <r>
      <t>kWh/m</t>
    </r>
    <r>
      <rPr>
        <vertAlign val="superscript"/>
        <sz val="10"/>
        <rFont val="Calibri"/>
        <family val="2"/>
      </rPr>
      <t>3</t>
    </r>
  </si>
  <si>
    <t>Pump Hydraulic Efficiency</t>
  </si>
  <si>
    <t>Pump Hydraulic Power Output</t>
  </si>
  <si>
    <t>Static Discharge Head</t>
  </si>
  <si>
    <t>Static Suction Head</t>
  </si>
  <si>
    <t>Friction Losses</t>
  </si>
  <si>
    <t>"Piping" Efficiency</t>
  </si>
  <si>
    <t>Overall System Efficiency</t>
  </si>
  <si>
    <t>Motor Loss</t>
  </si>
  <si>
    <t>Pumping Loss</t>
  </si>
  <si>
    <t>Friction Loss</t>
  </si>
  <si>
    <t>Total Losses</t>
  </si>
  <si>
    <t>Actual</t>
  </si>
  <si>
    <t>Best Practice</t>
  </si>
  <si>
    <t>Actual %</t>
  </si>
  <si>
    <t>Best Practice %</t>
  </si>
  <si>
    <t>Annual Electricity Cost:</t>
  </si>
  <si>
    <t>Annual Electricity Consumption:</t>
  </si>
  <si>
    <t>Pump Discharge Pressure (m hd)</t>
  </si>
  <si>
    <t>Pump Discharge Pressure (bar)</t>
  </si>
  <si>
    <t>Pump Discharge Pressure (psi)</t>
  </si>
  <si>
    <t>m hd</t>
  </si>
  <si>
    <t>g/h</t>
  </si>
  <si>
    <r>
      <t>m</t>
    </r>
    <r>
      <rPr>
        <b/>
        <vertAlign val="superscript"/>
        <sz val="10"/>
        <rFont val="Calibri"/>
        <family val="2"/>
      </rPr>
      <t>3</t>
    </r>
    <r>
      <rPr>
        <b/>
        <sz val="11"/>
        <rFont val="Calibri"/>
        <family val="2"/>
      </rPr>
      <t>/h</t>
    </r>
  </si>
  <si>
    <t>m3/h</t>
  </si>
  <si>
    <t>2007 SEI Average Generation Mix = 0.625 kgCO2/kWh</t>
  </si>
  <si>
    <t xml:space="preserve">Pump discharge m hd </t>
  </si>
  <si>
    <t>kgCO2</t>
  </si>
  <si>
    <t>Overall Efficiency</t>
  </si>
  <si>
    <t>km</t>
  </si>
  <si>
    <t>Efficiencies</t>
  </si>
  <si>
    <t>Useful work done</t>
  </si>
  <si>
    <r>
      <t>kWh/1,000m</t>
    </r>
    <r>
      <rPr>
        <b/>
        <vertAlign val="superscript"/>
        <sz val="10"/>
        <rFont val="Calibri"/>
        <family val="2"/>
      </rPr>
      <t>3</t>
    </r>
    <r>
      <rPr>
        <b/>
        <sz val="10"/>
        <rFont val="Calibri"/>
        <family val="2"/>
      </rPr>
      <t>/m</t>
    </r>
  </si>
  <si>
    <r>
      <t>€/m</t>
    </r>
    <r>
      <rPr>
        <b/>
        <vertAlign val="superscript"/>
        <sz val="10"/>
        <rFont val="Calibri"/>
        <family val="2"/>
      </rPr>
      <t>3</t>
    </r>
  </si>
  <si>
    <r>
      <t>kgCO</t>
    </r>
    <r>
      <rPr>
        <b/>
        <vertAlign val="subscript"/>
        <sz val="10"/>
        <rFont val="Calibri"/>
        <family val="2"/>
      </rPr>
      <t>2</t>
    </r>
    <r>
      <rPr>
        <b/>
        <sz val="10"/>
        <rFont val="Calibri"/>
        <family val="2"/>
      </rPr>
      <t>/m</t>
    </r>
    <r>
      <rPr>
        <b/>
        <vertAlign val="superscript"/>
        <sz val="10"/>
        <rFont val="Calibri"/>
        <family val="2"/>
      </rPr>
      <t>3</t>
    </r>
  </si>
  <si>
    <t>Pump Efficiency</t>
  </si>
  <si>
    <t>Motor Losses</t>
  </si>
  <si>
    <t>Pumping Losses</t>
  </si>
  <si>
    <r>
      <t>€/1,000m</t>
    </r>
    <r>
      <rPr>
        <b/>
        <vertAlign val="superscript"/>
        <sz val="10"/>
        <rFont val="Calibri"/>
        <family val="2"/>
      </rPr>
      <t>3</t>
    </r>
    <r>
      <rPr>
        <b/>
        <sz val="10"/>
        <rFont val="Calibri"/>
        <family val="2"/>
      </rPr>
      <t>/m</t>
    </r>
  </si>
  <si>
    <t>Operating hours per annum</t>
  </si>
  <si>
    <r>
      <t xml:space="preserve">Pump Hydraulic Efficiency η </t>
    </r>
    <r>
      <rPr>
        <b/>
        <vertAlign val="subscript"/>
        <sz val="10"/>
        <color indexed="8"/>
        <rFont val="Calibri"/>
        <family val="2"/>
      </rPr>
      <t>Pump</t>
    </r>
  </si>
  <si>
    <r>
      <t>kWh/1,000m</t>
    </r>
    <r>
      <rPr>
        <b/>
        <vertAlign val="superscript"/>
        <sz val="10"/>
        <color indexed="8"/>
        <rFont val="Calibri"/>
        <family val="2"/>
      </rPr>
      <t>3</t>
    </r>
    <r>
      <rPr>
        <b/>
        <sz val="10"/>
        <color indexed="8"/>
        <rFont val="Calibri"/>
        <family val="2"/>
      </rPr>
      <t>/m</t>
    </r>
  </si>
  <si>
    <r>
      <t>KWh/m</t>
    </r>
    <r>
      <rPr>
        <vertAlign val="superscript"/>
        <sz val="10"/>
        <color indexed="8"/>
        <rFont val="Calibri"/>
        <family val="2"/>
      </rPr>
      <t>3</t>
    </r>
  </si>
  <si>
    <t>From manufacturer's data sheets (try www search for motor type)</t>
  </si>
  <si>
    <t>and</t>
  </si>
  <si>
    <t>MOTOR</t>
  </si>
  <si>
    <t>PUMP</t>
  </si>
  <si>
    <r>
      <t xml:space="preserve">Power factor  (cos </t>
    </r>
    <r>
      <rPr>
        <b/>
        <sz val="10"/>
        <color indexed="8"/>
        <rFont val="GreekS"/>
      </rPr>
      <t>ѱ</t>
    </r>
    <r>
      <rPr>
        <b/>
        <sz val="10"/>
        <color indexed="8"/>
        <rFont val="Calibri"/>
        <family val="2"/>
      </rPr>
      <t>)</t>
    </r>
  </si>
  <si>
    <r>
      <t xml:space="preserve">Motor Efficiency </t>
    </r>
    <r>
      <rPr>
        <b/>
        <sz val="10"/>
        <color indexed="8"/>
        <rFont val="Calibri"/>
        <family val="2"/>
      </rPr>
      <t xml:space="preserve">η </t>
    </r>
    <r>
      <rPr>
        <b/>
        <vertAlign val="subscript"/>
        <sz val="10"/>
        <color indexed="8"/>
        <rFont val="Calibri"/>
        <family val="2"/>
      </rPr>
      <t>Motor</t>
    </r>
  </si>
  <si>
    <t>BEST PRACTICE VALUES</t>
  </si>
  <si>
    <t>Full Load Efficiency from EuroDEEM (click here) for motor of your size (or use the benchmark motor)</t>
  </si>
  <si>
    <t>Use ~85% value or download PSAT (click here) for typical achievable values</t>
  </si>
  <si>
    <t>OTHER PARAMETERS</t>
  </si>
  <si>
    <t>:</t>
  </si>
  <si>
    <t>Pump Efficiency Calculation Tool</t>
  </si>
  <si>
    <t xml:space="preserve"> - Inputs</t>
  </si>
  <si>
    <t>Location</t>
  </si>
  <si>
    <t>MPRN</t>
  </si>
  <si>
    <t>Date</t>
  </si>
  <si>
    <t>Pump / Pump Station</t>
  </si>
  <si>
    <t>These values are only used to compare your pump's performance with Best Practice. They are not required to calculate your pump's performance / efficiency.</t>
  </si>
  <si>
    <t>These parameters should be relatively straightforward to enter.</t>
  </si>
  <si>
    <r>
      <t>Water = 1,000 kg/m</t>
    </r>
    <r>
      <rPr>
        <vertAlign val="superscript"/>
        <sz val="10"/>
        <color indexed="21"/>
        <rFont val="Calibri"/>
        <family val="2"/>
      </rPr>
      <t>3</t>
    </r>
    <r>
      <rPr>
        <sz val="10"/>
        <color indexed="21"/>
        <rFont val="Calibri"/>
        <family val="2"/>
      </rPr>
      <t xml:space="preserve"> | Medium strength wastewater ~ 1,030 kg/m</t>
    </r>
    <r>
      <rPr>
        <vertAlign val="superscript"/>
        <sz val="10"/>
        <color indexed="21"/>
        <rFont val="Calibri"/>
        <family val="2"/>
      </rPr>
      <t>3</t>
    </r>
  </si>
  <si>
    <t>If not available, use lowest efficiency from EuroDEEM database less 2%.  (Click here to download EuroDEEM software for free)</t>
  </si>
  <si>
    <t xml:space="preserve"> - Performance Summary</t>
  </si>
  <si>
    <r>
      <t>m</t>
    </r>
    <r>
      <rPr>
        <vertAlign val="superscript"/>
        <sz val="10"/>
        <color indexed="8"/>
        <rFont val="Calibri"/>
        <family val="2"/>
      </rPr>
      <t>3</t>
    </r>
  </si>
  <si>
    <r>
      <t>kWh/1,000m</t>
    </r>
    <r>
      <rPr>
        <vertAlign val="superscript"/>
        <sz val="10"/>
        <color indexed="8"/>
        <rFont val="Calibri"/>
        <family val="2"/>
      </rPr>
      <t>3</t>
    </r>
    <r>
      <rPr>
        <sz val="10"/>
        <color indexed="8"/>
        <rFont val="Calibri"/>
        <family val="2"/>
      </rPr>
      <t>/m</t>
    </r>
  </si>
  <si>
    <r>
      <t>€/m</t>
    </r>
    <r>
      <rPr>
        <vertAlign val="superscript"/>
        <sz val="10"/>
        <color indexed="8"/>
        <rFont val="Calibri"/>
        <family val="2"/>
      </rPr>
      <t>3</t>
    </r>
  </si>
  <si>
    <r>
      <t>€/1,000m</t>
    </r>
    <r>
      <rPr>
        <vertAlign val="superscript"/>
        <sz val="10"/>
        <color indexed="8"/>
        <rFont val="Calibri"/>
        <family val="2"/>
      </rPr>
      <t>3</t>
    </r>
    <r>
      <rPr>
        <sz val="10"/>
        <color indexed="8"/>
        <rFont val="Calibri"/>
        <family val="2"/>
      </rPr>
      <t>/m</t>
    </r>
  </si>
  <si>
    <r>
      <t>kgCO</t>
    </r>
    <r>
      <rPr>
        <vertAlign val="subscript"/>
        <sz val="10"/>
        <color indexed="8"/>
        <rFont val="Calibri"/>
        <family val="2"/>
      </rPr>
      <t>2</t>
    </r>
    <r>
      <rPr>
        <sz val="10"/>
        <color indexed="8"/>
        <rFont val="Calibri"/>
        <family val="2"/>
      </rPr>
      <t>/m</t>
    </r>
    <r>
      <rPr>
        <vertAlign val="superscript"/>
        <sz val="10"/>
        <color indexed="8"/>
        <rFont val="Calibri"/>
        <family val="2"/>
      </rPr>
      <t>3</t>
    </r>
  </si>
  <si>
    <t>Site Name</t>
  </si>
  <si>
    <t>Date of Issue</t>
  </si>
  <si>
    <t>Valid Until</t>
  </si>
  <si>
    <t>Version</t>
  </si>
  <si>
    <t>Description of Modification(s)</t>
  </si>
  <si>
    <t>Additional Comments</t>
  </si>
  <si>
    <t>- Performance Certificate</t>
  </si>
  <si>
    <t>Volume of fluid displaced p.a</t>
  </si>
  <si>
    <t>EFFICIENCIES</t>
  </si>
  <si>
    <t>ENERGY SUMMARY</t>
  </si>
  <si>
    <t>ENERGY LOSSES</t>
  </si>
  <si>
    <t>ENERGY PERFORMANCE INDICATORS (EPIs)</t>
  </si>
  <si>
    <t>PERFORMANCE CLASSIFICATION</t>
  </si>
  <si>
    <t>EPIs</t>
  </si>
  <si>
    <r>
      <t>CONSUMPTION, COST &amp; CO</t>
    </r>
    <r>
      <rPr>
        <b/>
        <vertAlign val="subscript"/>
        <sz val="11"/>
        <color indexed="9"/>
        <rFont val="Calibri"/>
        <family val="2"/>
      </rPr>
      <t>2</t>
    </r>
    <r>
      <rPr>
        <b/>
        <sz val="11"/>
        <color indexed="9"/>
        <rFont val="Calibri"/>
        <family val="2"/>
      </rPr>
      <t xml:space="preserve"> EMISSIONS</t>
    </r>
  </si>
  <si>
    <t>BEST PRACTICE &amp; LOSSES</t>
  </si>
  <si>
    <t>Issued to WS Working Group for Review &amp; Comment</t>
  </si>
  <si>
    <r>
      <t>kgCO</t>
    </r>
    <r>
      <rPr>
        <b/>
        <vertAlign val="subscript"/>
        <sz val="10"/>
        <color indexed="8"/>
        <rFont val="Calibri"/>
        <family val="2"/>
      </rPr>
      <t>2</t>
    </r>
    <r>
      <rPr>
        <b/>
        <sz val="10"/>
        <color indexed="8"/>
        <rFont val="Calibri"/>
        <family val="2"/>
      </rPr>
      <t xml:space="preserve"> Emitted p.a</t>
    </r>
  </si>
  <si>
    <r>
      <t>kgCO</t>
    </r>
    <r>
      <rPr>
        <b/>
        <vertAlign val="subscript"/>
        <sz val="10"/>
        <color indexed="8"/>
        <rFont val="Calibri"/>
        <family val="2"/>
      </rPr>
      <t>2</t>
    </r>
    <r>
      <rPr>
        <b/>
        <sz val="10"/>
        <color indexed="8"/>
        <rFont val="Calibri"/>
        <family val="2"/>
      </rPr>
      <t>/1,000m</t>
    </r>
    <r>
      <rPr>
        <vertAlign val="superscript"/>
        <sz val="10"/>
        <color indexed="8"/>
        <rFont val="Calibri"/>
        <family val="2"/>
      </rPr>
      <t>3</t>
    </r>
    <r>
      <rPr>
        <sz val="10"/>
        <color indexed="8"/>
        <rFont val="Calibri"/>
        <family val="2"/>
      </rPr>
      <t>/m</t>
    </r>
  </si>
  <si>
    <r>
      <t>kgCO</t>
    </r>
    <r>
      <rPr>
        <b/>
        <vertAlign val="subscript"/>
        <sz val="10"/>
        <rFont val="Calibri"/>
        <family val="2"/>
      </rPr>
      <t>2</t>
    </r>
    <r>
      <rPr>
        <b/>
        <sz val="10"/>
        <rFont val="Calibri"/>
        <family val="2"/>
      </rPr>
      <t>/1,000m</t>
    </r>
    <r>
      <rPr>
        <b/>
        <vertAlign val="superscript"/>
        <sz val="10"/>
        <rFont val="Calibri"/>
        <family val="2"/>
      </rPr>
      <t>3</t>
    </r>
    <r>
      <rPr>
        <b/>
        <sz val="10"/>
        <rFont val="Calibri"/>
        <family val="2"/>
      </rPr>
      <t>/m</t>
    </r>
  </si>
  <si>
    <r>
      <t>Annual CO</t>
    </r>
    <r>
      <rPr>
        <b/>
        <vertAlign val="subscript"/>
        <sz val="10"/>
        <rFont val="Calibri"/>
        <family val="2"/>
      </rPr>
      <t>2</t>
    </r>
    <r>
      <rPr>
        <b/>
        <sz val="10"/>
        <rFont val="Calibri"/>
        <family val="2"/>
      </rPr>
      <t xml:space="preserve"> Emissions:</t>
    </r>
  </si>
  <si>
    <r>
      <t>kgCO</t>
    </r>
    <r>
      <rPr>
        <vertAlign val="subscript"/>
        <sz val="10"/>
        <color indexed="8"/>
        <rFont val="Calibri"/>
        <family val="2"/>
      </rPr>
      <t>2</t>
    </r>
  </si>
  <si>
    <t>This tool calculates the energy efficiency and energy performance of water (&amp; waste-water) pumping facilities.</t>
  </si>
  <si>
    <r>
      <rPr>
        <b/>
        <u/>
        <sz val="10"/>
        <color indexed="8"/>
        <rFont val="Calibri"/>
        <family val="2"/>
      </rPr>
      <t>Main Outputs:</t>
    </r>
    <r>
      <rPr>
        <sz val="10"/>
        <color indexed="8"/>
        <rFont val="Calibri"/>
        <family val="2"/>
      </rPr>
      <t xml:space="preserve">
- Motor, Pumping (Hydraulic) &amp; System energy efficiencies
- Motor, Pumping &amp; Piping Losses
- Total Energy Consumption &amp; Energy Cost
- CO</t>
    </r>
    <r>
      <rPr>
        <vertAlign val="subscript"/>
        <sz val="10"/>
        <color indexed="8"/>
        <rFont val="Calibri"/>
        <family val="2"/>
      </rPr>
      <t>2</t>
    </r>
    <r>
      <rPr>
        <sz val="10"/>
        <color indexed="8"/>
        <rFont val="Calibri"/>
        <family val="2"/>
      </rPr>
      <t xml:space="preserve"> Emissions
- Energy Performance Indicators
- Comparison of Actual Performance v/s Best Practice
Performance Certificate</t>
    </r>
  </si>
  <si>
    <t>For an 18" concrete pipe losses range from 0.4 - 1.3m head per km for flow of ~250-450 m3/hour (~20%-30% less for plastic pipe).  Online pressure calculator available from Pressure-Drop.com (click here &amp; then click Pressure Drop Online Calculator).</t>
  </si>
  <si>
    <t>m hd per km of pipe</t>
  </si>
  <si>
    <t>bar per km of pipe</t>
  </si>
  <si>
    <t>hours/year</t>
  </si>
  <si>
    <t>Operating Hours pa</t>
  </si>
  <si>
    <t>ENTER DATA IN THESE CELLS ONLY</t>
  </si>
  <si>
    <t>Improved formatting
Inclusion of TEA &amp; MEA logos
Relocation of Power Factor row</t>
  </si>
  <si>
    <t>Issued to PK (TEA) for review &amp; comment</t>
  </si>
  <si>
    <r>
      <rPr>
        <b/>
        <u/>
        <sz val="10"/>
        <color indexed="8"/>
        <rFont val="Calibri"/>
        <family val="2"/>
      </rPr>
      <t>Main Inputs:</t>
    </r>
    <r>
      <rPr>
        <sz val="10"/>
        <color indexed="8"/>
        <rFont val="Calibri"/>
        <family val="2"/>
      </rPr>
      <t xml:space="preserve">
- Electrical energy consumption (measured or nameplate)
- Run hours
- Static head (from drawings)
- Discharges pressure (from pressure gauge)
- Flow rate (from flow meter or estimate)
- Average unit price (electricity)</t>
    </r>
  </si>
  <si>
    <t>This section calculates the hydraulic efficiency of the pump and the losses in the system pipework.  You need to enter the static head (from drawings or estimates),the pump discharge pressure (from pressure gauge) and the flow rate (from a flowmeter or estimate).</t>
  </si>
  <si>
    <t>From measurement (pressure gauge) @ pump discharge flange</t>
  </si>
  <si>
    <t xml:space="preserve"> - Help</t>
  </si>
  <si>
    <t>Row 6</t>
  </si>
  <si>
    <t>A Meter Point Reference Number (MPRN) is a unique 11 digit number assigned to every single electricity connection and meter in the country.  The MPRN is very important because it allows ESB Networks to track exactly where each connection on the electricity network is located (no matter who the electricity supplier is).  Your MPRN number is prominently displayed on the electricity bills you receive from your Supplier.  If you cannot find your MPRN number, contact your electricity supplier who will be able to check it for you.</t>
  </si>
  <si>
    <t>Name of the pump unit or pump station being analysed with this tool.  Be specific: it should be clear exactly which pump system is being investigated.</t>
  </si>
  <si>
    <t>This tool calculates the energy efficiency and energy performance of water (&amp; waste-water) pumping facilities.  The following Help section explains some of the Inputs, Calculations and Outputs in this tool.  The Help is broken down by worksheet and can be cross referenced by row number.</t>
  </si>
  <si>
    <t>Inputs Worksheet</t>
  </si>
  <si>
    <t>Motor Power</t>
  </si>
  <si>
    <t>Row 43</t>
  </si>
  <si>
    <t>See Help worksheet for additional explanation and instructions</t>
  </si>
  <si>
    <t>Row 51</t>
  </si>
  <si>
    <t>Electricity Average Unit Price (AUP)</t>
  </si>
  <si>
    <t>Length of pipe</t>
  </si>
  <si>
    <t xml:space="preserve">Best Practice: Motor Efficiency </t>
  </si>
  <si>
    <t xml:space="preserve">Best Practice: Pump Hydraulic Efficiency </t>
  </si>
  <si>
    <t>Best Practice: Design Friction Losses</t>
  </si>
  <si>
    <t>Summary Worksheet</t>
  </si>
  <si>
    <t>Row 10</t>
  </si>
  <si>
    <t>Row 16</t>
  </si>
  <si>
    <t>Row 27</t>
  </si>
  <si>
    <t>kgCO2 Emitted p.a</t>
  </si>
  <si>
    <t>Motor Loss (%) = 1 - Motor Efficiency (%)</t>
  </si>
  <si>
    <t>Pumping Loss (%) = 1 - Pump Efficency (%)</t>
  </si>
  <si>
    <t>Friction Loss (%) = 1 - "Piping" Efficiency (%)</t>
  </si>
  <si>
    <t>Total Losses (%) = Motor Loss (%) + Pumping Loss (%)  + Friction Loss (%)</t>
  </si>
  <si>
    <t>Useful Work Done</t>
  </si>
  <si>
    <t>Useful Work Done (%) = Overall Efficiency (%)</t>
  </si>
  <si>
    <t>Performance Certificate</t>
  </si>
  <si>
    <t>Motor Voltage</t>
  </si>
  <si>
    <r>
      <t>kWh/1,000m</t>
    </r>
    <r>
      <rPr>
        <vertAlign val="superscript"/>
        <sz val="10"/>
        <rFont val="Calibri"/>
        <family val="2"/>
      </rPr>
      <t>3</t>
    </r>
    <r>
      <rPr>
        <sz val="10"/>
        <rFont val="Calibri"/>
        <family val="2"/>
      </rPr>
      <t>/m</t>
    </r>
  </si>
  <si>
    <t>Motor Current</t>
  </si>
  <si>
    <t>Power Factor (cos ѱ)</t>
  </si>
  <si>
    <t xml:space="preserve">Fluid Density </t>
  </si>
  <si>
    <t>Yes</t>
  </si>
  <si>
    <t>No</t>
  </si>
  <si>
    <t>Pump Discharge hydraulic power (m hd) (m3/h)</t>
  </si>
  <si>
    <t>Pump Discharge hydraulic power (bar) (m3/h)</t>
  </si>
  <si>
    <t>Pump Discharge hydraulic power (psi) (m3/h)</t>
  </si>
  <si>
    <t>System Friction Losses (Discharge Side)</t>
  </si>
  <si>
    <t xml:space="preserve">Total Head </t>
  </si>
  <si>
    <t>Each calc used for each dropdown (m hd, bar, psi), in Input Sheet</t>
  </si>
  <si>
    <t>= Pump Discharge Head - Static Discharge Head</t>
  </si>
  <si>
    <t>Design Friction Losses (Discharge Side)</t>
  </si>
  <si>
    <t>Total Head</t>
  </si>
  <si>
    <t xml:space="preserve">Length of Pipe (Discharge Side) </t>
  </si>
  <si>
    <t>NOTE: The Pump Inlet and Pump Discharge Flanges may or may not be be at the same level.  The Calculation Tool does not account for such an elevation difference, it assumes the Pump Inlet and the Pump Outlet are at the same level.</t>
  </si>
  <si>
    <t>From measurement (flowmeter) @ pump discharge or estimate</t>
  </si>
  <si>
    <t>EPIs are useful for comparison purposes to allow plant operators to compare their performance both internally (i.e. internal benchmarking over a period of time) and externally (to that of other plants).  Caution should be exercised when comparing EPIs as they are plant specific and are influenced by variables such as plant size, total static head, motor efficiencies etc.  Below is a list of some of the more common Wastewater and Pumping EPIs and a brief description of each one.</t>
  </si>
  <si>
    <t xml:space="preserve"> - Introduction</t>
  </si>
  <si>
    <t>The Motor Current can be measured using an Ammeter.</t>
  </si>
  <si>
    <t>The Power Factor is typically given on the motor nameplate.  If it is not available, some typical Power Factor values are given on the Inputs sheet.</t>
  </si>
  <si>
    <t>The motor efficiency is typically given on the motor nameplate.  If this is unavailable search the Eurodeem Motor Analysis software for the motor size and model and the database will provide an efficiency value - there is a link to this databse on the Inputs sheet.  If the motor is not listed on the Eurodeem database, search the database for motors of equivalent size and use an efficeiency equal to the lowest efficiency on the database for that particular motor size, less 2%.</t>
  </si>
  <si>
    <r>
      <t xml:space="preserve">This is the mechanical power available at the output shaft of the motor; it is equal to the electrical power consumed less the motor losses (such as motor winding losses, motor inertia etc.).  It is calculated automatically using the formula:
</t>
    </r>
    <r>
      <rPr>
        <b/>
        <sz val="10"/>
        <rFont val="Calibri"/>
        <family val="2"/>
      </rPr>
      <t>Motor Shaft Power (kW) = Electrical Power Consumed (kW) x Motor Efficiency η</t>
    </r>
    <r>
      <rPr>
        <b/>
        <vertAlign val="subscript"/>
        <sz val="10"/>
        <rFont val="Calibri"/>
        <family val="2"/>
      </rPr>
      <t>Motor</t>
    </r>
    <r>
      <rPr>
        <b/>
        <sz val="10"/>
        <rFont val="Calibri"/>
        <family val="2"/>
      </rPr>
      <t xml:space="preserve"> (%)</t>
    </r>
  </si>
  <si>
    <t>The Pump Discharge Pressure is the pressure measured at the discharge flange of the pump using a Pressure Gauge.  The value can be entered in meters of head, bar or psi.</t>
  </si>
  <si>
    <t>The Pump Discharge Flow Rate is the flow rate measured at the pump discharge flange using a Flow Meter.  It can be entered in meters cubed per hour or imperial gallons per hour (where 1 imperial gallon = 4.55 litres)</t>
  </si>
  <si>
    <r>
      <t xml:space="preserve">The Pump Hydraulic Power Output is the power imparted to the fluid by the pump in kW.  It is calculated using the following formula:
</t>
    </r>
    <r>
      <rPr>
        <b/>
        <sz val="10"/>
        <rFont val="Calibri"/>
        <family val="2"/>
      </rPr>
      <t>Pump Hydraulic Power Output (kW) = (Fluid Density (kg/m</t>
    </r>
    <r>
      <rPr>
        <b/>
        <vertAlign val="superscript"/>
        <sz val="10"/>
        <rFont val="Calibri"/>
        <family val="2"/>
      </rPr>
      <t>3</t>
    </r>
    <r>
      <rPr>
        <b/>
        <sz val="10"/>
        <rFont val="Calibri"/>
        <family val="2"/>
      </rPr>
      <t>) x Acceleration due to Gravity, g (m/s</t>
    </r>
    <r>
      <rPr>
        <b/>
        <vertAlign val="superscript"/>
        <sz val="10"/>
        <rFont val="Calibri"/>
        <family val="2"/>
      </rPr>
      <t>2</t>
    </r>
    <r>
      <rPr>
        <b/>
        <sz val="10"/>
        <rFont val="Calibri"/>
        <family val="2"/>
      </rPr>
      <t>) x Total Head (m) x Flow Rate (m3/h)) / 367,000</t>
    </r>
  </si>
  <si>
    <t>The AUP can be calculated from eletricity bills - it is the total amount charged (in €) in a period (including standing charges) divided by the total number of units used in that period .</t>
  </si>
  <si>
    <t>Different electricity suppliers have different Emission Factors, which reflect the different generation mixes from which the suppliers source their electricity.  The Emission Factor is usually given on the electricity bill or can be provided on request by the electricity supplier.  The average national emission factor is shown on the spreadsheet and may be used if the supplier specific value is unknown.</t>
  </si>
  <si>
    <t>Density of the fluid being pumped in kg/m3.</t>
  </si>
  <si>
    <t>The length of piping in the pumping system in kilometres.  This can be determined from system drawings or estimated.</t>
  </si>
  <si>
    <t>This value is equivalent to the highest efficiency motor available on the market, equal in size to the motor in use in the system being analysed.  To obtain a value search the Eurodeem Database for an EFF1 (High Efficiency) motor of equivalent size to the one in use in the pumping system being analysed, and use its motor efficiency value as the Best Practise Value.</t>
  </si>
  <si>
    <t>This is equivalent to the highest value currently attainable in industry.  Typical values are available from the Pumping System Assessment Tool (PSAT).  Enter the system data into PSAT and PSAT will provide an "Optimal Efficiency" value for the Pump Efficiency, input this value as Best Practice.</t>
  </si>
  <si>
    <t>The Friction Losses that the system was desgned for (in meters of head per kilometre of pipeline), if known.  If unknown, some typical values are provided or use the Pressure Drop Calculator (link provided) to calculate the system pressure drop.</t>
  </si>
  <si>
    <r>
      <t xml:space="preserve">The "Piping" Efficiency is the efficiency of the system pipework and is influenced by variables such as pipe internal roughness and leakages.  For the purposes of this tool the "Piping" Efficiency is assumed to be equal to the efficiency of the discharge side piping and does not take into account the suction side pipework.  The "Piping" Efficiency therefore is calculated using the following formula:
</t>
    </r>
    <r>
      <rPr>
        <b/>
        <sz val="10"/>
        <rFont val="Calibri"/>
        <family val="2"/>
      </rPr>
      <t>"Piping" Efficiency (%) = (Pump Discharge Pressure - Static Discharge Head) / Pump Discharge Head)</t>
    </r>
  </si>
  <si>
    <t xml:space="preserve">Electricity Consumed p.a. (kWh) = Electricial Power Consumed (kW) x Operating Hours p.a (h) </t>
  </si>
  <si>
    <t>Electricity Cost p.a. (€) = Electricity Consumed p.a (kWh) x Electricity Average Unit Price (€/kWh)</t>
  </si>
  <si>
    <r>
      <t>Volume of Fluid Displaced p.a. (m</t>
    </r>
    <r>
      <rPr>
        <b/>
        <vertAlign val="superscript"/>
        <sz val="10"/>
        <rFont val="Calibri"/>
        <family val="2"/>
      </rPr>
      <t>3</t>
    </r>
    <r>
      <rPr>
        <b/>
        <sz val="10"/>
        <rFont val="Calibri"/>
        <family val="2"/>
      </rPr>
      <t>) = Pump Discharge Flowrate (m</t>
    </r>
    <r>
      <rPr>
        <b/>
        <vertAlign val="superscript"/>
        <sz val="10"/>
        <rFont val="Calibri"/>
        <family val="2"/>
      </rPr>
      <t>3</t>
    </r>
    <r>
      <rPr>
        <b/>
        <sz val="10"/>
        <rFont val="Calibri"/>
        <family val="2"/>
      </rPr>
      <t>/h) x Operating Hours p.a. (h)</t>
    </r>
  </si>
  <si>
    <t>Volume of Fluid Displaced p.a.</t>
  </si>
  <si>
    <t>Electricity Cost p.a.</t>
  </si>
  <si>
    <t>Electricity Consumed p.a.</t>
  </si>
  <si>
    <r>
      <t>kgCO</t>
    </r>
    <r>
      <rPr>
        <b/>
        <vertAlign val="subscript"/>
        <sz val="10"/>
        <rFont val="Calibri"/>
        <family val="2"/>
      </rPr>
      <t>2</t>
    </r>
    <r>
      <rPr>
        <b/>
        <sz val="10"/>
        <rFont val="Calibri"/>
        <family val="2"/>
      </rPr>
      <t xml:space="preserve"> Emitted p.a. = Electricity Consumed p.a. (kWh) x Emission Factor (kgCO</t>
    </r>
    <r>
      <rPr>
        <b/>
        <vertAlign val="subscript"/>
        <sz val="10"/>
        <rFont val="Calibri"/>
        <family val="2"/>
      </rPr>
      <t>2</t>
    </r>
    <r>
      <rPr>
        <b/>
        <sz val="10"/>
        <rFont val="Calibri"/>
        <family val="2"/>
      </rPr>
      <t xml:space="preserve">/kWh) </t>
    </r>
  </si>
  <si>
    <t>This is the most commonly used EPI in water pumping applications.  It is particularly useful for monitoring energy performance at one facility over time.  It is less useful for comparison purposes because comparisons are only valid for plants with similar design &amp; operating parameters.</t>
  </si>
  <si>
    <t>This is useful for internal comparison and, importantly, for compating performance between different plants because it account for differences in static head.</t>
  </si>
  <si>
    <t>Care should be taken when comparing to values for other stations as this EPI is dependent on the AUP for electricity which is dependent on the electricity supplier and may change from plant to plant and from time to time.</t>
  </si>
  <si>
    <t>Care should be taken when comparing to values for other stations as this EPI is dependent on the emission factor, which may vary from plant to plant and from time to time.</t>
  </si>
  <si>
    <r>
      <t xml:space="preserve">This is the efficiency of the pump in turning input shaft power (from the motor) into useful power output to the fluid (Hydraulic Power), it is calculated using the following formula:
</t>
    </r>
    <r>
      <rPr>
        <b/>
        <sz val="10"/>
        <rFont val="Calibri"/>
        <family val="2"/>
      </rPr>
      <t xml:space="preserve">Pump Hydraulic Efficiency (%) = Pump Hydraulic Power Output (kW) x 100 / Pump Input Shaft Power (kW).
</t>
    </r>
    <r>
      <rPr>
        <sz val="10"/>
        <rFont val="Calibri"/>
        <family val="2"/>
      </rPr>
      <t>The Pump Input Shaft Power is the same as the Motor Shaft Power</t>
    </r>
  </si>
  <si>
    <t>Update of Static Head calculation
Help worksheet</t>
  </si>
  <si>
    <t>Issued to SEI</t>
  </si>
  <si>
    <t>Pump Efficiency Calculation Tool Version History</t>
  </si>
  <si>
    <t>Change to calculation of friction loss
Formatting Changes</t>
  </si>
  <si>
    <t>Issued to SEI &amp; WS WG</t>
  </si>
  <si>
    <t>This tool is based on a tool originally developed by Tipperary Energy Agency, Midlands Energy Agency &amp; Kerry County Council</t>
  </si>
  <si>
    <t>Issued to SEAI &amp; WS WG</t>
  </si>
  <si>
    <t>Included reference to Kerry Co Co
Rebranded SEAI</t>
  </si>
  <si>
    <t>This tool is based on a tool originally developed by Tipperary Energy Agency, Midlands Energy Agency &amp; Kerry County Coucil</t>
  </si>
  <si>
    <t>Calculated Power</t>
  </si>
  <si>
    <t>From drawings: vertical distance from centreline of pump to Top Water Level (TWL) of delivery reservoir / vessel</t>
  </si>
  <si>
    <t>Static Suction Losses</t>
  </si>
  <si>
    <t>= Flow Rate x g x Total Head / 3600</t>
  </si>
  <si>
    <t>From drawings: vertical distance from surface of source reservoir / borehole / vessel to centreline of pump  |  -ve if source below pump  |  +ve if source above pump (flooded suction)</t>
  </si>
  <si>
    <t>Row 22</t>
  </si>
  <si>
    <t>Row 24</t>
  </si>
  <si>
    <r>
      <t xml:space="preserve">The apparent power is calculated by the spreadsheet tool using the following formula:
</t>
    </r>
    <r>
      <rPr>
        <b/>
        <sz val="10"/>
        <rFont val="Calibri"/>
        <family val="2"/>
      </rPr>
      <t>Apparent Power (kVA) = √3 x Voltage (V) x Current (A)</t>
    </r>
  </si>
  <si>
    <t>Row 26</t>
  </si>
  <si>
    <t>Suction line head losses should be estimated.</t>
  </si>
  <si>
    <t>The majority of pump stations will have 0.5 - 1.5 m of suction line losses associated with foot valves, bends and non-return losses. This can be calculated using flow velocities and pipe head loss charts, equivalent lengths etc. or estimated. This figure represents all the friction losses from the source to the pressure gauge. If there is a long suction time (e.g. from a river or lake, then you must calculate it).</t>
  </si>
  <si>
    <t>Row 34</t>
  </si>
  <si>
    <t>Row 36</t>
  </si>
  <si>
    <r>
      <t xml:space="preserve">The  Electric Power Consumed is equal to the power consumed while the Motor is operating.  Depending on how the user enters their Motor Power Data (see row 14-38), the Electrical Power consumed is equal to either the
i) </t>
    </r>
    <r>
      <rPr>
        <b/>
        <sz val="10"/>
        <rFont val="Calibri"/>
        <family val="2"/>
      </rPr>
      <t>Actual Motor Power (kW);</t>
    </r>
    <r>
      <rPr>
        <sz val="10"/>
        <rFont val="Calibri"/>
        <family val="2"/>
      </rPr>
      <t xml:space="preserve">
ii) </t>
    </r>
    <r>
      <rPr>
        <b/>
        <sz val="10"/>
        <rFont val="Calibri"/>
        <family val="2"/>
      </rPr>
      <t>Motor kVA x Power Factor.</t>
    </r>
  </si>
  <si>
    <t>Row 38</t>
  </si>
  <si>
    <t>Row 53</t>
  </si>
  <si>
    <t>The Static Discharge Head is the vertical distance between the centreline of the pump discharge outlet and the waterline of the reservoir or final destination that the system is pumping to (commonly referred to as "Top Water Level" or TWL).  If the reservoir is above the pump the value is positive; in the unlikely event that the reservoir is below the pump, the value is negative.</t>
  </si>
  <si>
    <t>The Static Suction Head is the vertical distance between the centreline of the pump inlet and the waterline of the source.  It can either be positive or negative depending on the location of the source.  If the source is above the pump the Static Suction Head is positive, if the source is below the pump the value is negative.</t>
  </si>
  <si>
    <t>Row 46</t>
  </si>
  <si>
    <t>These are due to internal friction in the system piping on the Suction Side of the pump.</t>
  </si>
  <si>
    <r>
      <t xml:space="preserve">These are the due to internal friction in the system piping on the </t>
    </r>
    <r>
      <rPr>
        <i/>
        <sz val="10"/>
        <rFont val="Calibri"/>
        <family val="2"/>
      </rPr>
      <t>Discharge Side</t>
    </r>
    <r>
      <rPr>
        <sz val="10"/>
        <rFont val="Calibri"/>
        <family val="2"/>
      </rPr>
      <t xml:space="preserve"> of the pump.  They are calculated using the following formula:
</t>
    </r>
    <r>
      <rPr>
        <b/>
        <sz val="10"/>
        <rFont val="Calibri"/>
        <family val="2"/>
      </rPr>
      <t xml:space="preserve">System Friction Losses (m) = Pump Discharge Pressure (m) - Static Discharge Head (m)
</t>
    </r>
  </si>
  <si>
    <t>Row 49</t>
  </si>
  <si>
    <t>Hydraulic power total (Static Suction + Pump Discharge Head) (m hd) m3/h</t>
  </si>
  <si>
    <t>Hydraulic power total (Static Suction + Pump Discharge Head) (bar) m3/h</t>
  </si>
  <si>
    <t>Hydraulic power total (Static Suction + Pump Discharge Head) (psi) m3/h</t>
  </si>
  <si>
    <t>Hydraulic power total (Static Suction + Pump Discharge Head) (m hd) g/h</t>
  </si>
  <si>
    <t>Hydraulic power total (Static Suction + Pump Discharge Head) (bar) g/h</t>
  </si>
  <si>
    <t>Hydraulic power total (Static Suction + Pump Discharge Head) (psi) g/h</t>
  </si>
  <si>
    <t>From drawings: vertical distance from well head level to Top Water Level (TWL) of delivery reservoir / vessel</t>
  </si>
  <si>
    <t>Dipped Depth</t>
  </si>
  <si>
    <t>Borehole Flow Rate</t>
  </si>
  <si>
    <t>From measurement (flowmeter) or estimate</t>
  </si>
  <si>
    <t>Used for converting the pump dischrge pressure from m hd, bar &amp; psi not m hd for system friction losses calculation</t>
  </si>
  <si>
    <t>From measurement (pressure gauge) at well head</t>
  </si>
  <si>
    <t>m of head per m of pipe</t>
  </si>
  <si>
    <t>Borehole Discharge Pressure</t>
  </si>
  <si>
    <t>Total Friction Losses (Borehole to well head)</t>
  </si>
  <si>
    <t>Static Head (m hd) x Borehole Piping Friction Losses (m hd/m)</t>
  </si>
  <si>
    <t>Pressure at wellhead (m hd)</t>
  </si>
  <si>
    <t>Pressure at wellhead (bar)</t>
  </si>
  <si>
    <t>Pressure at wellhead (psi)</t>
  </si>
  <si>
    <t xml:space="preserve">Pressure at well head m hd </t>
  </si>
  <si>
    <t>Please select the system which you are analysing</t>
  </si>
  <si>
    <t>SYSTEM SELECTION</t>
  </si>
  <si>
    <t>Pumping system (above ground)</t>
  </si>
  <si>
    <t>"Piping" Efficiency (Actual)</t>
  </si>
  <si>
    <t>"Piping" Efficiency (Best practice)</t>
  </si>
  <si>
    <t>"Piping" Efficiency (Best Practise)</t>
  </si>
  <si>
    <r>
      <t>kgCO</t>
    </r>
    <r>
      <rPr>
        <vertAlign val="subscript"/>
        <sz val="10"/>
        <color indexed="8"/>
        <rFont val="Calibri"/>
        <family val="2"/>
      </rPr>
      <t>2</t>
    </r>
    <r>
      <rPr>
        <sz val="10"/>
        <color indexed="8"/>
        <rFont val="Calibri"/>
        <family val="2"/>
      </rPr>
      <t>/1,000m</t>
    </r>
    <r>
      <rPr>
        <vertAlign val="superscript"/>
        <sz val="10"/>
        <color indexed="8"/>
        <rFont val="Calibri"/>
        <family val="2"/>
      </rPr>
      <t>3</t>
    </r>
    <r>
      <rPr>
        <sz val="10"/>
        <color indexed="8"/>
        <rFont val="Calibri"/>
        <family val="2"/>
      </rPr>
      <t>/m</t>
    </r>
  </si>
  <si>
    <t>Borehole Piping Friction Losses</t>
  </si>
  <si>
    <t>Static Head (above ground)</t>
  </si>
  <si>
    <r>
      <t xml:space="preserve">The Total Head is the overall head supplied by the pump (both Suction Side and Discharge Side).  It is calculated using the following equation:
</t>
    </r>
    <r>
      <rPr>
        <b/>
        <sz val="10"/>
        <rFont val="Calibri"/>
        <family val="2"/>
      </rPr>
      <t>Total Head (m) = Pump Discharge Head (m) - Static Suction Head (m) + Static Suction Losses (m)</t>
    </r>
    <r>
      <rPr>
        <sz val="10"/>
        <rFont val="Calibri"/>
        <family val="2"/>
      </rPr>
      <t/>
    </r>
  </si>
  <si>
    <t>This section calculates the efficiency of the motor that drives the pump.  You can enter the motor power using measuremed data (meter)</t>
  </si>
  <si>
    <t>This section calculates the hydraulic efficiency of the pump and the losses in the system pipework.  You need to enter the static head (from drawings or estimates), pressure at the well head (from pressure gauge) and the flow rate (from a flowmeter or estimate).</t>
  </si>
  <si>
    <t>Borehole Piping Length</t>
  </si>
  <si>
    <r>
      <t xml:space="preserve">From dip meter: vertical distance from well head level to Top Water Level </t>
    </r>
    <r>
      <rPr>
        <i/>
        <sz val="10"/>
        <color indexed="21"/>
        <rFont val="Calibri"/>
        <family val="2"/>
      </rPr>
      <t>within the borehole</t>
    </r>
    <r>
      <rPr>
        <sz val="10"/>
        <color indexed="21"/>
        <rFont val="Calibri"/>
        <family val="2"/>
      </rPr>
      <t xml:space="preserve"> (Drawdown Level).</t>
    </r>
  </si>
  <si>
    <t>Pumping (above ground) Efficiency Calculation Tool</t>
  </si>
  <si>
    <t>Borehole Pumping Efficiency Calculation Tool</t>
  </si>
  <si>
    <t>Calculate or estimate the friction losses per meter of piping.  Online pressure calculator available from Pressure-Drop.com (click here &amp; then click Pressure Drop Online Calculator).  Typical losses for DN 150 cast iron pipe (surface roughness 0.15mm) range from 0.003 to 0.02 head per meter of flow for pumping ranges between 50 and 125 m3/hr.</t>
  </si>
  <si>
    <t>From drawings: vertical distance the top of the borehole pump to well head level to  (i.e. Borehole Piping Length).</t>
  </si>
  <si>
    <t>These are due to internal friction in the borehole piping.</t>
  </si>
  <si>
    <t>This is the vertical distance from well head level to Top Water Level or Drawdown Level (within the borehole).  Read from a dip-meter.</t>
  </si>
  <si>
    <t>Row 52</t>
  </si>
  <si>
    <t>The Static Head (above ground) is the vertical distance from well head level to the waterline of the reservoir or final destination that the system is pumping to (commonly referred to as "Top Water Level" or TWL).  If the reservoir is above the pump the value is positive; in the unlikely event that the reservoir is below the pump, the value is negative.</t>
  </si>
  <si>
    <t>The Borehole Discharge Pressure is the pressure measured at the well head.  The value can be entered in meters of head, bar or psi.</t>
  </si>
  <si>
    <t>The Pump Borehole Flow Rate is the flow rate measured at the well head (or equivalent) using a Flow Meter.  It can be entered in meters cubed per hour or imperial gallons per hour (where 1 imperial gallon = 4.55 litres)</t>
  </si>
  <si>
    <t>Row 56</t>
  </si>
  <si>
    <t>Row 54</t>
  </si>
  <si>
    <t>Row 58</t>
  </si>
  <si>
    <r>
      <t xml:space="preserve">The Total Head is the overall head supplied by the borehole pump.  It is calculated using the following equation:
</t>
    </r>
    <r>
      <rPr>
        <b/>
        <sz val="10"/>
        <rFont val="Calibri"/>
        <family val="2"/>
      </rPr>
      <t>Total Head (m) = Dipped Depth (m) + Borehole Piping Losses (m) + Discharge Head (above ground)</t>
    </r>
  </si>
  <si>
    <t>Dipped Depth (m hd) + Friction Losses (m hd) + Discharge Head (m hd)</t>
  </si>
  <si>
    <t>Pump Discharge Head (m hd) - Static Suction Head (m hd) + Static Suction Losses (m hd)</t>
  </si>
  <si>
    <t>= Discharge Head - Static Discharge Head</t>
  </si>
  <si>
    <t>Row 60</t>
  </si>
  <si>
    <t>Row 62</t>
  </si>
  <si>
    <t>Row 64</t>
  </si>
  <si>
    <t>Row 107</t>
  </si>
  <si>
    <t>Row 109</t>
  </si>
  <si>
    <t>Row 111</t>
  </si>
  <si>
    <t>Row 120</t>
  </si>
  <si>
    <t>Row 122</t>
  </si>
  <si>
    <r>
      <t xml:space="preserve">The "Piping" Efficiency is the efficiency of the system pipework and is influenced by variables such as pipe internal roughness and leakages.  For the purposes of this tool the "Piping" Efficiency is assumed to be equal to the efficiency of the discharge piping above ground.  The "Piping" Efficiency therefore is calculated using the following formula:
</t>
    </r>
    <r>
      <rPr>
        <b/>
        <sz val="10"/>
        <rFont val="Calibri"/>
        <family val="2"/>
      </rPr>
      <t>"Piping" Efficiency (%) = (Discharge Pressure - Static Discharge Head) / Pump Discharge Head)</t>
    </r>
  </si>
  <si>
    <t>Row 29</t>
  </si>
  <si>
    <t>Row 31</t>
  </si>
  <si>
    <r>
      <t>Volume of Fluid Displaced p.a. (m</t>
    </r>
    <r>
      <rPr>
        <b/>
        <vertAlign val="superscript"/>
        <sz val="10"/>
        <rFont val="Calibri"/>
        <family val="2"/>
      </rPr>
      <t>3</t>
    </r>
    <r>
      <rPr>
        <b/>
        <sz val="10"/>
        <rFont val="Calibri"/>
        <family val="2"/>
      </rPr>
      <t>) = Discharge Flowrate (m</t>
    </r>
    <r>
      <rPr>
        <b/>
        <vertAlign val="superscript"/>
        <sz val="10"/>
        <rFont val="Calibri"/>
        <family val="2"/>
      </rPr>
      <t>3</t>
    </r>
    <r>
      <rPr>
        <b/>
        <sz val="10"/>
        <rFont val="Calibri"/>
        <family val="2"/>
      </rPr>
      <t>/h) x Operating Hours p.a. (h)</t>
    </r>
  </si>
  <si>
    <t>Row 33</t>
  </si>
  <si>
    <t>Row 45</t>
  </si>
  <si>
    <t>Row 47</t>
  </si>
  <si>
    <t>The piping length is the vertical distance between the top of the borehole pump and well head level.  It is used to calculate the friction losses attributable to the pumping of water to the well head.</t>
  </si>
  <si>
    <t>Borehole system</t>
  </si>
  <si>
    <t>System Friction Losses (Above ground)</t>
  </si>
  <si>
    <t>Incorporated recommendations made by the TEA, incorporated dedicated borehole system help, input sheet and graphic.</t>
  </si>
  <si>
    <r>
      <t xml:space="preserve">Drive Efficiency  η </t>
    </r>
    <r>
      <rPr>
        <b/>
        <vertAlign val="subscript"/>
        <sz val="10"/>
        <color indexed="8"/>
        <rFont val="Calibri"/>
        <family val="2"/>
      </rPr>
      <t>Drive</t>
    </r>
  </si>
  <si>
    <t>Typcally in the range of 90 - 98.5% depending on type and age| If unknown select 97% | If VSD is 15 years old or greater, select 90%</t>
  </si>
  <si>
    <t>Drive Efficiency</t>
  </si>
  <si>
    <t>Use 98.5% as a typical best practice VSD efficiency value</t>
  </si>
  <si>
    <t>Drive Loss</t>
  </si>
  <si>
    <t>Potential Savings Available
(kWh per annum)</t>
  </si>
  <si>
    <t>Total</t>
  </si>
  <si>
    <t>The power consumption of the pump motor and drive is entered in this section.  You can do this in one of two alternative ways depending on what data and measurement equipment you have to hand.  You can:
- Measure the actual motor &amp; drive power consumption (Row 16) OR
- Measure the actual current and voltage at the motor &amp; drive and estimate the power factor (Row 22-27)
Regardless of which of the above approaches you use, you also need to enter the motor efficiency and the drive efficiency (Rows 34 and 36)</t>
  </si>
  <si>
    <r>
      <t xml:space="preserve">Drive Efficiency </t>
    </r>
    <r>
      <rPr>
        <b/>
        <sz val="10"/>
        <color indexed="8"/>
        <rFont val="Calibri"/>
        <family val="2"/>
      </rPr>
      <t xml:space="preserve">η </t>
    </r>
    <r>
      <rPr>
        <b/>
        <vertAlign val="subscript"/>
        <sz val="10"/>
        <color indexed="8"/>
        <rFont val="Calibri"/>
        <family val="2"/>
      </rPr>
      <t>Drive</t>
    </r>
  </si>
  <si>
    <t>Row 40</t>
  </si>
  <si>
    <t>Row 48</t>
  </si>
  <si>
    <t xml:space="preserve">Best Practice: Drive Efficiency </t>
  </si>
  <si>
    <t>This is equivalent to the highest value currently attainable in industry.  Typical values are approximately 1.5%.</t>
  </si>
  <si>
    <t>The actual power drawn by the motor and drive can be measured using a wattmeter.</t>
  </si>
  <si>
    <t>The Voltage of the motor and drive can be measured by connecting a Voltmeter.</t>
  </si>
  <si>
    <t xml:space="preserve">The drive efficiency should be available from manufacturer data.  Typical values for drive efficiency range between 90 and 98.5%. If your drive efficiency is unknown, enter 97%.  If your drive is 15 years or older, enter 90%.  </t>
  </si>
  <si>
    <t>Row 66</t>
  </si>
  <si>
    <t>Row 113</t>
  </si>
  <si>
    <t>Row 124</t>
  </si>
  <si>
    <t>Row 126</t>
  </si>
  <si>
    <t>Drive Loss (%) = 1 - Drive Efficiency (%)</t>
  </si>
  <si>
    <t xml:space="preserve">Incorporated further recommendations on Ver 6.0 made by the TEA. </t>
  </si>
  <si>
    <r>
      <rPr>
        <sz val="10"/>
        <rFont val="Calibri"/>
        <family val="2"/>
      </rPr>
      <t xml:space="preserve">The Overall System Efficiency (%) is calculated by using the following formula:
</t>
    </r>
    <r>
      <rPr>
        <b/>
        <sz val="10"/>
        <rFont val="Calibri"/>
        <family val="2"/>
      </rPr>
      <t>Overall System Efficiency (%) = Motor Efficiency (%) x Drive Efficiency (%) Pump Hydraulic Efficiency (%) x "Piping" Efficiency (%)</t>
    </r>
  </si>
  <si>
    <r>
      <t>Actual Losses
(kWh</t>
    </r>
    <r>
      <rPr>
        <b/>
        <vertAlign val="subscript"/>
        <sz val="10"/>
        <color indexed="8"/>
        <rFont val="Calibri"/>
        <family val="2"/>
      </rPr>
      <t xml:space="preserve"> </t>
    </r>
    <r>
      <rPr>
        <b/>
        <sz val="10"/>
        <color indexed="8"/>
        <rFont val="Calibri"/>
        <family val="2"/>
      </rPr>
      <t>per annum)</t>
    </r>
  </si>
  <si>
    <t>Actual Motor Consumption (inc. drive)</t>
  </si>
  <si>
    <t>Row 39</t>
  </si>
  <si>
    <t>Row 50</t>
  </si>
  <si>
    <t>Row 103</t>
  </si>
  <si>
    <t>Row 105</t>
  </si>
  <si>
    <t>Row 116</t>
  </si>
  <si>
    <t>Row 118</t>
  </si>
  <si>
    <t>Row 35</t>
  </si>
  <si>
    <t>Rows 14-39</t>
  </si>
  <si>
    <t>Rows 14-40</t>
  </si>
  <si>
    <r>
      <t xml:space="preserve">These are the due to internal friction in the system piping </t>
    </r>
    <r>
      <rPr>
        <i/>
        <sz val="10"/>
        <rFont val="Calibri"/>
        <family val="2"/>
      </rPr>
      <t>above</t>
    </r>
    <r>
      <rPr>
        <sz val="10"/>
        <rFont val="Calibri"/>
        <family val="2"/>
      </rPr>
      <t xml:space="preserve"> the well head.  They are calculated using the following formula:
</t>
    </r>
    <r>
      <rPr>
        <b/>
        <sz val="10"/>
        <rFont val="Calibri"/>
        <family val="2"/>
      </rPr>
      <t xml:space="preserve">System Friction Losses (m) = Borehole Discharge Pressure (m) - Static Discharge Head (m)
</t>
    </r>
  </si>
  <si>
    <t>Row 37</t>
  </si>
  <si>
    <t>Issued to SEAI</t>
  </si>
  <si>
    <t>Issued to SEAI for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</si>
</sst>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3" formatCode="_-* #,##0.00_-;\-* #,##0.00_-;_-* &quot;-&quot;??_-;_-@_-"/>
    <numFmt numFmtId="164" formatCode="_-&quot;€&quot;* #,##0.00_-;\-&quot;€&quot;* #,##0.00_-;_-&quot;€&quot;* &quot;-&quot;??_-;_-@_-"/>
    <numFmt numFmtId="165" formatCode="0.0"/>
    <numFmt numFmtId="166" formatCode="_-* #,##0_-;\-* #,##0_-;_-* &quot;-&quot;??_-;_-@_-"/>
    <numFmt numFmtId="167" formatCode="0.0000"/>
    <numFmt numFmtId="168" formatCode="0.0%"/>
    <numFmt numFmtId="169" formatCode="0.000"/>
    <numFmt numFmtId="170" formatCode="_-[$€-1809]* #,##0_-;\-[$€-1809]* #,##0_-;_-[$€-1809]* &quot;-&quot;??_-;_-@_-"/>
    <numFmt numFmtId="171" formatCode="[$-1809]dd\ mmmm\ yyyy;@"/>
    <numFmt numFmtId="172" formatCode="#,##0.00_ ;\-#,##0.00\ "/>
    <numFmt numFmtId="173" formatCode="_-* #,##0.0_-;\-* #,##0.0_-;_-* &quot;-&quot;??_-;_-@_-"/>
    <numFmt numFmtId="174" formatCode="_-* #,##0.000_-;\-* #,##0.000_-;_-* &quot;-&quot;??_-;_-@_-"/>
    <numFmt numFmtId="175" formatCode="&quot;€&quot;#,##0"/>
    <numFmt numFmtId="176" formatCode="0\ &quot;m&quot;"/>
    <numFmt numFmtId="177" formatCode="_-* #,##0.000_-;\-* #,##0.000_-;_-* &quot;-&quot;???_-;_-@_-"/>
    <numFmt numFmtId="178" formatCode="#,##0.000_ ;\-#,##0.000\ "/>
    <numFmt numFmtId="179" formatCode="0.0\ &quot;m&quot;"/>
    <numFmt numFmtId="180" formatCode=".0\ &quot;m&quot;"/>
    <numFmt numFmtId="181" formatCode="0.000000000"/>
  </numFmts>
  <fonts count="59">
    <font>
      <sz val="11"/>
      <color theme="1"/>
      <name val="Calibri"/>
      <family val="2"/>
      <scheme val="minor"/>
    </font>
    <font>
      <b/>
      <sz val="10"/>
      <color indexed="8"/>
      <name val="Calibri"/>
      <family val="2"/>
    </font>
    <font>
      <sz val="10"/>
      <color indexed="8"/>
      <name val="Calibri"/>
      <family val="2"/>
    </font>
    <font>
      <vertAlign val="superscript"/>
      <sz val="10"/>
      <color indexed="8"/>
      <name val="Calibri"/>
      <family val="2"/>
    </font>
    <font>
      <b/>
      <sz val="10"/>
      <name val="Calibri"/>
      <family val="2"/>
    </font>
    <font>
      <vertAlign val="superscript"/>
      <sz val="10"/>
      <name val="Calibri"/>
      <family val="2"/>
    </font>
    <font>
      <b/>
      <vertAlign val="subscript"/>
      <sz val="10"/>
      <color indexed="8"/>
      <name val="Calibri"/>
      <family val="2"/>
    </font>
    <font>
      <b/>
      <sz val="11"/>
      <name val="Calibri"/>
      <family val="2"/>
    </font>
    <font>
      <b/>
      <vertAlign val="superscript"/>
      <sz val="10"/>
      <name val="Calibri"/>
      <family val="2"/>
    </font>
    <font>
      <b/>
      <vertAlign val="superscript"/>
      <sz val="10"/>
      <color indexed="8"/>
      <name val="Calibri"/>
      <family val="2"/>
    </font>
    <font>
      <b/>
      <vertAlign val="subscript"/>
      <sz val="10"/>
      <name val="Calibri"/>
      <family val="2"/>
    </font>
    <font>
      <b/>
      <sz val="11"/>
      <color indexed="9"/>
      <name val="Calibri"/>
      <family val="2"/>
    </font>
    <font>
      <b/>
      <sz val="10"/>
      <color indexed="8"/>
      <name val="GreekS"/>
    </font>
    <font>
      <sz val="10"/>
      <color indexed="21"/>
      <name val="Calibri"/>
      <family val="2"/>
    </font>
    <font>
      <vertAlign val="superscript"/>
      <sz val="10"/>
      <color indexed="21"/>
      <name val="Calibri"/>
      <family val="2"/>
    </font>
    <font>
      <vertAlign val="subscript"/>
      <sz val="10"/>
      <color indexed="8"/>
      <name val="Calibri"/>
      <family val="2"/>
    </font>
    <font>
      <b/>
      <vertAlign val="subscript"/>
      <sz val="11"/>
      <color indexed="9"/>
      <name val="Calibri"/>
      <family val="2"/>
    </font>
    <font>
      <b/>
      <sz val="12"/>
      <color indexed="9"/>
      <name val="Arial"/>
      <family val="2"/>
    </font>
    <font>
      <b/>
      <sz val="8"/>
      <color indexed="9"/>
      <name val="Arial"/>
      <family val="2"/>
    </font>
    <font>
      <sz val="8"/>
      <name val="Myriad pro"/>
    </font>
    <font>
      <b/>
      <u/>
      <sz val="10"/>
      <color indexed="8"/>
      <name val="Calibri"/>
      <family val="2"/>
    </font>
    <font>
      <sz val="11"/>
      <color indexed="8"/>
      <name val="Calibri"/>
      <family val="2"/>
    </font>
    <font>
      <b/>
      <sz val="10"/>
      <color indexed="8"/>
      <name val="Calibri"/>
      <family val="2"/>
    </font>
    <font>
      <sz val="10"/>
      <color indexed="8"/>
      <name val="Calibri"/>
      <family val="2"/>
    </font>
    <font>
      <sz val="10"/>
      <color indexed="10"/>
      <name val="Calibri"/>
      <family val="2"/>
    </font>
    <font>
      <b/>
      <sz val="16"/>
      <color indexed="8"/>
      <name val="Calibri"/>
      <family val="2"/>
    </font>
    <font>
      <b/>
      <sz val="10"/>
      <name val="Calibri"/>
      <family val="2"/>
    </font>
    <font>
      <sz val="12"/>
      <color indexed="8"/>
      <name val="Calibri"/>
      <family val="2"/>
    </font>
    <font>
      <i/>
      <sz val="10"/>
      <color indexed="8"/>
      <name val="Calibri"/>
      <family val="2"/>
    </font>
    <font>
      <b/>
      <sz val="14"/>
      <color indexed="8"/>
      <name val="Calibri"/>
      <family val="2"/>
    </font>
    <font>
      <sz val="10"/>
      <name val="Calibri"/>
      <family val="2"/>
    </font>
    <font>
      <b/>
      <sz val="10"/>
      <color indexed="10"/>
      <name val="Calibri"/>
      <family val="2"/>
    </font>
    <font>
      <u/>
      <sz val="10"/>
      <color indexed="12"/>
      <name val="Calibri"/>
      <family val="2"/>
    </font>
    <font>
      <b/>
      <sz val="11"/>
      <color indexed="8"/>
      <name val="Calibri"/>
      <family val="2"/>
    </font>
    <font>
      <sz val="11"/>
      <color indexed="9"/>
      <name val="Verdana"/>
      <family val="2"/>
    </font>
    <font>
      <b/>
      <sz val="18"/>
      <color indexed="21"/>
      <name val="Calibri"/>
      <family val="2"/>
    </font>
    <font>
      <b/>
      <sz val="10"/>
      <color indexed="21"/>
      <name val="Calibri"/>
      <family val="2"/>
    </font>
    <font>
      <b/>
      <sz val="11"/>
      <color indexed="21"/>
      <name val="Calibri"/>
      <family val="2"/>
    </font>
    <font>
      <sz val="11"/>
      <color indexed="10"/>
      <name val="Calibri"/>
      <family val="2"/>
    </font>
    <font>
      <sz val="11"/>
      <color indexed="9"/>
      <name val="Calibri"/>
      <family val="2"/>
    </font>
    <font>
      <b/>
      <sz val="11"/>
      <color indexed="9"/>
      <name val="Calibri"/>
      <family val="2"/>
    </font>
    <font>
      <sz val="10"/>
      <color indexed="21"/>
      <name val="Calibri"/>
      <family val="2"/>
    </font>
    <font>
      <u/>
      <sz val="10"/>
      <color indexed="21"/>
      <name val="Calibri"/>
      <family val="2"/>
    </font>
    <font>
      <sz val="11"/>
      <color indexed="21"/>
      <name val="Calibri"/>
      <family val="2"/>
    </font>
    <font>
      <b/>
      <i/>
      <sz val="11"/>
      <color indexed="8"/>
      <name val="Calibri"/>
      <family val="2"/>
    </font>
    <font>
      <i/>
      <sz val="10"/>
      <color indexed="21"/>
      <name val="Calibri"/>
      <family val="2"/>
    </font>
    <font>
      <b/>
      <u/>
      <sz val="11"/>
      <color indexed="21"/>
      <name val="Calibri"/>
      <family val="2"/>
    </font>
    <font>
      <i/>
      <sz val="10"/>
      <name val="Calibri"/>
      <family val="2"/>
    </font>
    <font>
      <sz val="8"/>
      <name val="Calibri"/>
      <family val="2"/>
    </font>
    <font>
      <sz val="10"/>
      <color indexed="8"/>
      <name val="Calibri"/>
      <family val="2"/>
    </font>
    <font>
      <sz val="10"/>
      <color indexed="21"/>
      <name val="Calibri"/>
      <family val="2"/>
    </font>
    <font>
      <b/>
      <sz val="10"/>
      <color indexed="9"/>
      <name val="Calibri"/>
      <family val="2"/>
    </font>
    <font>
      <sz val="10"/>
      <color indexed="9"/>
      <name val="Calibri"/>
      <family val="2"/>
    </font>
    <font>
      <sz val="10"/>
      <color indexed="9"/>
      <name val="Calibri"/>
      <family val="2"/>
    </font>
    <font>
      <sz val="10"/>
      <name val="Calibri"/>
      <family val="2"/>
    </font>
    <font>
      <sz val="11"/>
      <color indexed="22"/>
      <name val="Calibri"/>
      <family val="2"/>
    </font>
    <font>
      <u/>
      <sz val="11"/>
      <color theme="10"/>
      <name val="Calibri"/>
      <family val="2"/>
    </font>
    <font>
      <sz val="11"/>
      <name val="Calibri"/>
      <family val="2"/>
      <scheme val="minor"/>
    </font>
    <font>
      <sz val="11"/>
      <name val="Calibri"/>
      <family val="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21"/>
        <bgColor indexed="64"/>
      </patternFill>
    </fill>
    <fill>
      <patternFill patternType="solid">
        <fgColor indexed="43"/>
        <bgColor indexed="64"/>
      </patternFill>
    </fill>
    <fill>
      <patternFill patternType="solid">
        <fgColor theme="0" tint="-0.249977111117893"/>
        <bgColor indexed="64"/>
      </patternFill>
    </fill>
    <fill>
      <patternFill patternType="solid">
        <fgColor theme="0"/>
        <bgColor indexed="64"/>
      </patternFill>
    </fill>
  </fills>
  <borders count="42">
    <border>
      <left/>
      <right/>
      <top/>
      <bottom/>
      <diagonal/>
    </border>
    <border>
      <left style="thin">
        <color indexed="55"/>
      </left>
      <right/>
      <top style="thin">
        <color indexed="55"/>
      </top>
      <bottom/>
      <diagonal/>
    </border>
    <border>
      <left/>
      <right/>
      <top style="thin">
        <color indexed="55"/>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right style="thin">
        <color indexed="55"/>
      </right>
      <top style="thin">
        <color indexed="55"/>
      </top>
      <bottom/>
      <diagonal/>
    </border>
    <border>
      <left style="thin">
        <color indexed="21"/>
      </left>
      <right/>
      <top style="thin">
        <color indexed="21"/>
      </top>
      <bottom/>
      <diagonal/>
    </border>
    <border>
      <left/>
      <right style="thin">
        <color indexed="21"/>
      </right>
      <top style="thin">
        <color indexed="21"/>
      </top>
      <bottom/>
      <diagonal/>
    </border>
    <border>
      <left style="thin">
        <color indexed="21"/>
      </left>
      <right/>
      <top/>
      <bottom/>
      <diagonal/>
    </border>
    <border>
      <left/>
      <right style="thin">
        <color indexed="21"/>
      </right>
      <top/>
      <bottom/>
      <diagonal/>
    </border>
    <border>
      <left style="thin">
        <color indexed="21"/>
      </left>
      <right/>
      <top/>
      <bottom style="thin">
        <color indexed="21"/>
      </bottom>
      <diagonal/>
    </border>
    <border>
      <left/>
      <right/>
      <top/>
      <bottom style="thin">
        <color indexed="21"/>
      </bottom>
      <diagonal/>
    </border>
    <border>
      <left/>
      <right style="thin">
        <color indexed="21"/>
      </right>
      <top/>
      <bottom style="thin">
        <color indexed="21"/>
      </bottom>
      <diagonal/>
    </border>
    <border>
      <left style="medium">
        <color indexed="21"/>
      </left>
      <right/>
      <top style="medium">
        <color indexed="21"/>
      </top>
      <bottom/>
      <diagonal/>
    </border>
    <border>
      <left/>
      <right/>
      <top style="medium">
        <color indexed="21"/>
      </top>
      <bottom/>
      <diagonal/>
    </border>
    <border>
      <left/>
      <right style="medium">
        <color indexed="21"/>
      </right>
      <top style="medium">
        <color indexed="21"/>
      </top>
      <bottom/>
      <diagonal/>
    </border>
    <border>
      <left style="medium">
        <color indexed="21"/>
      </left>
      <right/>
      <top/>
      <bottom/>
      <diagonal/>
    </border>
    <border>
      <left/>
      <right style="medium">
        <color indexed="21"/>
      </right>
      <top/>
      <bottom/>
      <diagonal/>
    </border>
    <border>
      <left style="medium">
        <color indexed="21"/>
      </left>
      <right/>
      <top/>
      <bottom style="medium">
        <color indexed="21"/>
      </bottom>
      <diagonal/>
    </border>
    <border>
      <left/>
      <right/>
      <top/>
      <bottom style="medium">
        <color indexed="21"/>
      </bottom>
      <diagonal/>
    </border>
    <border>
      <left/>
      <right style="medium">
        <color indexed="21"/>
      </right>
      <top/>
      <bottom style="medium">
        <color indexed="21"/>
      </bottom>
      <diagonal/>
    </border>
    <border>
      <left style="thin">
        <color indexed="55"/>
      </left>
      <right/>
      <top/>
      <bottom/>
      <diagonal/>
    </border>
    <border>
      <left style="thin">
        <color indexed="21"/>
      </left>
      <right/>
      <top style="thin">
        <color indexed="21"/>
      </top>
      <bottom style="thin">
        <color indexed="21"/>
      </bottom>
      <diagonal/>
    </border>
    <border>
      <left/>
      <right/>
      <top style="thin">
        <color indexed="21"/>
      </top>
      <bottom style="thin">
        <color indexed="21"/>
      </bottom>
      <diagonal/>
    </border>
    <border>
      <left/>
      <right style="thin">
        <color indexed="21"/>
      </right>
      <top style="thin">
        <color indexed="21"/>
      </top>
      <bottom style="thin">
        <color indexed="21"/>
      </bottom>
      <diagonal/>
    </border>
    <border>
      <left/>
      <right style="thin">
        <color indexed="55"/>
      </right>
      <top/>
      <bottom/>
      <diagonal/>
    </border>
    <border>
      <left/>
      <right/>
      <top style="thin">
        <color indexed="21"/>
      </top>
      <bottom/>
      <diagonal/>
    </border>
    <border>
      <left style="thin">
        <color indexed="21"/>
      </left>
      <right style="thin">
        <color indexed="21"/>
      </right>
      <top style="thin">
        <color indexed="21"/>
      </top>
      <bottom style="thin">
        <color indexed="2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21"/>
      </top>
      <bottom style="thin">
        <color indexed="55"/>
      </bottom>
      <diagonal/>
    </border>
  </borders>
  <cellStyleXfs count="5">
    <xf numFmtId="0" fontId="0" fillId="0" borderId="0"/>
    <xf numFmtId="43" fontId="21" fillId="0" borderId="0" applyFont="0" applyFill="0" applyBorder="0" applyAlignment="0" applyProtection="0"/>
    <xf numFmtId="164" fontId="21" fillId="0" borderId="0" applyFont="0" applyFill="0" applyBorder="0" applyAlignment="0" applyProtection="0"/>
    <xf numFmtId="0" fontId="56" fillId="0" borderId="0" applyNumberFormat="0" applyFill="0" applyBorder="0" applyAlignment="0" applyProtection="0">
      <alignment vertical="top"/>
      <protection locked="0"/>
    </xf>
    <xf numFmtId="9" fontId="21" fillId="0" borderId="0" applyFont="0" applyFill="0" applyBorder="0" applyAlignment="0" applyProtection="0"/>
  </cellStyleXfs>
  <cellXfs count="471">
    <xf numFmtId="0" fontId="0" fillId="0" borderId="0" xfId="0"/>
    <xf numFmtId="0" fontId="22" fillId="2" borderId="0" xfId="0" applyFont="1" applyFill="1" applyAlignment="1">
      <alignment vertical="center"/>
    </xf>
    <xf numFmtId="0" fontId="0" fillId="2" borderId="0" xfId="0" applyFill="1"/>
    <xf numFmtId="0" fontId="23" fillId="2" borderId="0" xfId="0" applyFont="1" applyFill="1"/>
    <xf numFmtId="0" fontId="0" fillId="2" borderId="0" xfId="0" applyFill="1" applyAlignment="1">
      <alignment horizontal="left"/>
    </xf>
    <xf numFmtId="171" fontId="0" fillId="2" borderId="0" xfId="0" applyNumberFormat="1" applyFill="1" applyAlignment="1">
      <alignment horizontal="left"/>
    </xf>
    <xf numFmtId="0" fontId="23" fillId="2" borderId="0" xfId="0" applyFont="1" applyFill="1" applyAlignment="1">
      <alignment vertical="center" wrapText="1"/>
    </xf>
    <xf numFmtId="0" fontId="24" fillId="2" borderId="0" xfId="0" applyFont="1" applyFill="1" applyAlignment="1">
      <alignment vertical="center"/>
    </xf>
    <xf numFmtId="0" fontId="23" fillId="2" borderId="0" xfId="0" applyFont="1" applyFill="1" applyAlignment="1">
      <alignment vertical="center"/>
    </xf>
    <xf numFmtId="0" fontId="23" fillId="2" borderId="0" xfId="0" applyFont="1" applyFill="1" applyAlignment="1">
      <alignment horizontal="center" vertical="center"/>
    </xf>
    <xf numFmtId="0" fontId="23" fillId="2" borderId="0" xfId="0" applyFont="1" applyFill="1" applyAlignment="1">
      <alignment horizontal="left" vertical="center"/>
    </xf>
    <xf numFmtId="0" fontId="22" fillId="2" borderId="0" xfId="0" applyFont="1" applyFill="1"/>
    <xf numFmtId="0" fontId="25" fillId="2" borderId="0" xfId="0" applyFont="1" applyFill="1" applyAlignment="1">
      <alignment vertical="center"/>
    </xf>
    <xf numFmtId="0" fontId="22" fillId="2" borderId="0" xfId="0" applyFont="1" applyFill="1" applyAlignment="1">
      <alignment horizontal="center" vertical="center"/>
    </xf>
    <xf numFmtId="0" fontId="26" fillId="2" borderId="0" xfId="0" applyFont="1" applyFill="1" applyAlignment="1">
      <alignment vertical="center"/>
    </xf>
    <xf numFmtId="0" fontId="27" fillId="2" borderId="0" xfId="0" applyFont="1" applyFill="1" applyAlignment="1">
      <alignment vertical="center"/>
    </xf>
    <xf numFmtId="0" fontId="23" fillId="2" borderId="0" xfId="0" applyFont="1" applyFill="1" applyAlignment="1">
      <alignment horizontal="center" vertical="center" wrapText="1"/>
    </xf>
    <xf numFmtId="0" fontId="28" fillId="2" borderId="0" xfId="0" applyFont="1" applyFill="1" applyAlignment="1">
      <alignment horizontal="center" vertical="center" wrapText="1"/>
    </xf>
    <xf numFmtId="9" fontId="21" fillId="2" borderId="0" xfId="4" applyFont="1" applyFill="1" applyBorder="1"/>
    <xf numFmtId="9" fontId="29" fillId="2" borderId="0" xfId="4" applyFont="1" applyFill="1" applyBorder="1"/>
    <xf numFmtId="9" fontId="21" fillId="2" borderId="0" xfId="4" applyFont="1" applyFill="1" applyBorder="1" applyAlignment="1">
      <alignment horizontal="center"/>
    </xf>
    <xf numFmtId="9" fontId="0" fillId="2" borderId="0" xfId="0" applyNumberFormat="1" applyFill="1"/>
    <xf numFmtId="9" fontId="21" fillId="2" borderId="0" xfId="1" applyNumberFormat="1" applyFont="1" applyFill="1" applyBorder="1"/>
    <xf numFmtId="166" fontId="21" fillId="2" borderId="0" xfId="1" applyNumberFormat="1" applyFont="1" applyFill="1" applyBorder="1" applyAlignment="1">
      <alignment horizontal="right"/>
    </xf>
    <xf numFmtId="9" fontId="29" fillId="2" borderId="0" xfId="4" applyFont="1" applyFill="1" applyBorder="1" applyAlignment="1">
      <alignment horizontal="center"/>
    </xf>
    <xf numFmtId="166" fontId="21" fillId="2" borderId="0" xfId="1" applyNumberFormat="1" applyFont="1" applyFill="1" applyBorder="1"/>
    <xf numFmtId="43" fontId="0" fillId="2" borderId="0" xfId="0" applyNumberFormat="1" applyFill="1"/>
    <xf numFmtId="168" fontId="22" fillId="2" borderId="0" xfId="0" applyNumberFormat="1" applyFont="1" applyFill="1" applyAlignment="1">
      <alignment horizontal="center" vertical="center"/>
    </xf>
    <xf numFmtId="0" fontId="23" fillId="0" borderId="0" xfId="0" applyFont="1" applyAlignment="1">
      <alignment horizontal="right" vertical="center"/>
    </xf>
    <xf numFmtId="9" fontId="23" fillId="2" borderId="0" xfId="0" applyNumberFormat="1" applyFont="1" applyFill="1" applyAlignment="1">
      <alignment vertical="center"/>
    </xf>
    <xf numFmtId="0" fontId="23" fillId="2" borderId="0" xfId="0" applyFont="1" applyFill="1" applyAlignment="1">
      <alignment horizontal="left" vertical="center" wrapText="1"/>
    </xf>
    <xf numFmtId="165" fontId="23" fillId="0" borderId="0" xfId="0" applyNumberFormat="1" applyFont="1" applyAlignment="1">
      <alignment horizontal="right" vertical="center"/>
    </xf>
    <xf numFmtId="0" fontId="28" fillId="2" borderId="0" xfId="0" applyFont="1" applyFill="1" applyAlignment="1">
      <alignment horizontal="left" vertical="center" wrapText="1"/>
    </xf>
    <xf numFmtId="168" fontId="23" fillId="2" borderId="0" xfId="0" applyNumberFormat="1" applyFont="1" applyFill="1" applyAlignment="1">
      <alignment vertical="center"/>
    </xf>
    <xf numFmtId="173" fontId="23" fillId="2" borderId="0" xfId="1" applyNumberFormat="1" applyFont="1" applyFill="1" applyBorder="1" applyAlignment="1">
      <alignment vertical="center"/>
    </xf>
    <xf numFmtId="165" fontId="23" fillId="2" borderId="0" xfId="0" applyNumberFormat="1" applyFont="1" applyFill="1" applyAlignment="1">
      <alignment vertical="center"/>
    </xf>
    <xf numFmtId="0" fontId="23" fillId="0" borderId="0" xfId="0" applyFont="1" applyAlignment="1">
      <alignment vertical="center"/>
    </xf>
    <xf numFmtId="0" fontId="30" fillId="2" borderId="0" xfId="0" applyFont="1" applyFill="1" applyAlignment="1">
      <alignment vertical="center"/>
    </xf>
    <xf numFmtId="0" fontId="26" fillId="2" borderId="1" xfId="0" applyFont="1" applyFill="1" applyBorder="1" applyAlignment="1">
      <alignment vertical="center"/>
    </xf>
    <xf numFmtId="0" fontId="23" fillId="0" borderId="2" xfId="0" applyFont="1" applyBorder="1" applyAlignment="1">
      <alignment horizontal="right" vertical="center"/>
    </xf>
    <xf numFmtId="0" fontId="23" fillId="2" borderId="2" xfId="0" applyFont="1" applyFill="1" applyBorder="1" applyAlignment="1">
      <alignment horizontal="left" vertical="center" wrapText="1"/>
    </xf>
    <xf numFmtId="0" fontId="23" fillId="2" borderId="3" xfId="0" applyFont="1" applyFill="1" applyBorder="1" applyAlignment="1">
      <alignment vertical="center"/>
    </xf>
    <xf numFmtId="0" fontId="23" fillId="2" borderId="4" xfId="0" applyFont="1" applyFill="1" applyBorder="1" applyAlignment="1">
      <alignment horizontal="left" vertical="center" wrapText="1"/>
    </xf>
    <xf numFmtId="0" fontId="23" fillId="2" borderId="5" xfId="0" applyFont="1" applyFill="1" applyBorder="1" applyAlignment="1">
      <alignment horizontal="left" vertical="center" wrapText="1"/>
    </xf>
    <xf numFmtId="0" fontId="30" fillId="2" borderId="3" xfId="0" applyFont="1" applyFill="1" applyBorder="1" applyAlignment="1">
      <alignment vertical="center"/>
    </xf>
    <xf numFmtId="0" fontId="23" fillId="2" borderId="1" xfId="0" applyFont="1" applyFill="1" applyBorder="1" applyAlignment="1">
      <alignment vertical="center"/>
    </xf>
    <xf numFmtId="0" fontId="31" fillId="2" borderId="0" xfId="0" applyFont="1" applyFill="1" applyAlignment="1">
      <alignment vertical="center"/>
    </xf>
    <xf numFmtId="0" fontId="24" fillId="2" borderId="7" xfId="0" applyFont="1" applyFill="1" applyBorder="1" applyAlignment="1">
      <alignment vertical="center"/>
    </xf>
    <xf numFmtId="0" fontId="23" fillId="2" borderId="8" xfId="0" applyFont="1" applyFill="1" applyBorder="1" applyAlignment="1">
      <alignment horizontal="left" vertical="center" wrapText="1"/>
    </xf>
    <xf numFmtId="0" fontId="24" fillId="2" borderId="9" xfId="0" applyFont="1" applyFill="1" applyBorder="1" applyAlignment="1">
      <alignment vertical="center"/>
    </xf>
    <xf numFmtId="0" fontId="23" fillId="2" borderId="10" xfId="0" applyFont="1" applyFill="1" applyBorder="1" applyAlignment="1">
      <alignment horizontal="left" vertical="center" wrapText="1"/>
    </xf>
    <xf numFmtId="0" fontId="23" fillId="2" borderId="10" xfId="0" applyFont="1" applyFill="1" applyBorder="1" applyAlignment="1">
      <alignment vertical="center" wrapText="1"/>
    </xf>
    <xf numFmtId="0" fontId="23" fillId="2" borderId="10" xfId="0" applyFont="1" applyFill="1" applyBorder="1" applyAlignment="1">
      <alignment horizontal="left" vertical="center"/>
    </xf>
    <xf numFmtId="0" fontId="32" fillId="2" borderId="10" xfId="3" applyFont="1" applyFill="1" applyBorder="1" applyAlignment="1" applyProtection="1">
      <alignment vertical="center" wrapText="1"/>
    </xf>
    <xf numFmtId="0" fontId="24" fillId="2" borderId="10" xfId="0" applyFont="1" applyFill="1" applyBorder="1" applyAlignment="1">
      <alignment horizontal="left" vertical="center" wrapText="1"/>
    </xf>
    <xf numFmtId="0" fontId="23" fillId="2" borderId="10" xfId="0" quotePrefix="1" applyFont="1" applyFill="1" applyBorder="1" applyAlignment="1">
      <alignment vertical="center" wrapText="1"/>
    </xf>
    <xf numFmtId="0" fontId="24" fillId="2" borderId="11" xfId="0" applyFont="1" applyFill="1" applyBorder="1" applyAlignment="1">
      <alignment vertical="center"/>
    </xf>
    <xf numFmtId="0" fontId="23" fillId="2" borderId="12" xfId="0" applyFont="1" applyFill="1" applyBorder="1" applyAlignment="1">
      <alignment vertical="center"/>
    </xf>
    <xf numFmtId="0" fontId="23" fillId="2" borderId="12" xfId="0" applyFont="1" applyFill="1" applyBorder="1" applyAlignment="1">
      <alignment horizontal="center" vertical="center" wrapText="1"/>
    </xf>
    <xf numFmtId="0" fontId="23" fillId="2" borderId="13" xfId="0" applyFont="1" applyFill="1" applyBorder="1" applyAlignment="1">
      <alignment vertical="center"/>
    </xf>
    <xf numFmtId="0" fontId="24" fillId="0" borderId="9" xfId="0" applyFont="1" applyBorder="1" applyAlignment="1">
      <alignment vertical="center"/>
    </xf>
    <xf numFmtId="0" fontId="23" fillId="0" borderId="10" xfId="0" applyFont="1" applyBorder="1" applyAlignment="1">
      <alignment vertical="center" wrapText="1"/>
    </xf>
    <xf numFmtId="168" fontId="23" fillId="2" borderId="12" xfId="0" applyNumberFormat="1" applyFont="1" applyFill="1" applyBorder="1" applyAlignment="1">
      <alignment vertical="center"/>
    </xf>
    <xf numFmtId="165" fontId="23" fillId="2" borderId="12" xfId="0" applyNumberFormat="1" applyFont="1" applyFill="1" applyBorder="1" applyAlignment="1">
      <alignment vertical="center"/>
    </xf>
    <xf numFmtId="0" fontId="23" fillId="2" borderId="12" xfId="0" applyFont="1" applyFill="1" applyBorder="1" applyAlignment="1">
      <alignment horizontal="left" vertical="center" wrapText="1"/>
    </xf>
    <xf numFmtId="0" fontId="23" fillId="2" borderId="12" xfId="0" applyFont="1" applyFill="1" applyBorder="1" applyAlignment="1">
      <alignment vertical="center" wrapText="1"/>
    </xf>
    <xf numFmtId="0" fontId="23" fillId="2" borderId="13" xfId="0" applyFont="1" applyFill="1" applyBorder="1" applyAlignment="1">
      <alignment vertical="center" wrapText="1"/>
    </xf>
    <xf numFmtId="0" fontId="24" fillId="2" borderId="14" xfId="0" applyFont="1" applyFill="1" applyBorder="1" applyAlignment="1">
      <alignment vertical="center"/>
    </xf>
    <xf numFmtId="0" fontId="24" fillId="2" borderId="15" xfId="0" applyFont="1" applyFill="1" applyBorder="1" applyAlignment="1">
      <alignment vertical="center"/>
    </xf>
    <xf numFmtId="0" fontId="23" fillId="2" borderId="15" xfId="0" applyFont="1" applyFill="1" applyBorder="1" applyAlignment="1">
      <alignment vertical="center"/>
    </xf>
    <xf numFmtId="0" fontId="22" fillId="2" borderId="15" xfId="0" applyFont="1" applyFill="1" applyBorder="1" applyAlignment="1">
      <alignment vertical="center"/>
    </xf>
    <xf numFmtId="0" fontId="23" fillId="2" borderId="16" xfId="0" applyFont="1" applyFill="1" applyBorder="1" applyAlignment="1">
      <alignment vertical="center"/>
    </xf>
    <xf numFmtId="0" fontId="31" fillId="2" borderId="17" xfId="0" applyFont="1" applyFill="1" applyBorder="1" applyAlignment="1">
      <alignment vertical="center"/>
    </xf>
    <xf numFmtId="0" fontId="22" fillId="2" borderId="18" xfId="0" applyFont="1" applyFill="1" applyBorder="1" applyAlignment="1">
      <alignment vertical="center"/>
    </xf>
    <xf numFmtId="0" fontId="24" fillId="2" borderId="17" xfId="0" applyFont="1" applyFill="1" applyBorder="1" applyAlignment="1">
      <alignment vertical="center"/>
    </xf>
    <xf numFmtId="0" fontId="23" fillId="2" borderId="18" xfId="0" applyFont="1" applyFill="1" applyBorder="1" applyAlignment="1">
      <alignment vertical="center"/>
    </xf>
    <xf numFmtId="0" fontId="23" fillId="2" borderId="18" xfId="0" applyFont="1" applyFill="1" applyBorder="1" applyAlignment="1">
      <alignment horizontal="left" vertical="center"/>
    </xf>
    <xf numFmtId="0" fontId="23" fillId="2" borderId="18" xfId="0" applyFont="1" applyFill="1" applyBorder="1" applyAlignment="1">
      <alignment vertical="center" wrapText="1"/>
    </xf>
    <xf numFmtId="0" fontId="24" fillId="0" borderId="17" xfId="0" applyFont="1" applyBorder="1" applyAlignment="1">
      <alignment vertical="center"/>
    </xf>
    <xf numFmtId="0" fontId="23" fillId="0" borderId="18" xfId="0" applyFont="1" applyBorder="1" applyAlignment="1">
      <alignment vertical="center"/>
    </xf>
    <xf numFmtId="0" fontId="24" fillId="2" borderId="19" xfId="0" applyFont="1" applyFill="1" applyBorder="1" applyAlignment="1">
      <alignment vertical="center"/>
    </xf>
    <xf numFmtId="0" fontId="24" fillId="2" borderId="20" xfId="0" applyFont="1" applyFill="1" applyBorder="1" applyAlignment="1">
      <alignment vertical="center"/>
    </xf>
    <xf numFmtId="0" fontId="23" fillId="2" borderId="20" xfId="0" applyFont="1" applyFill="1" applyBorder="1" applyAlignment="1">
      <alignment vertical="center"/>
    </xf>
    <xf numFmtId="9" fontId="23" fillId="2" borderId="20" xfId="4" applyFont="1" applyFill="1" applyBorder="1" applyAlignment="1">
      <alignment vertical="center"/>
    </xf>
    <xf numFmtId="0" fontId="23" fillId="2" borderId="20" xfId="0" applyFont="1" applyFill="1" applyBorder="1" applyAlignment="1">
      <alignment horizontal="center" vertical="center" wrapText="1"/>
    </xf>
    <xf numFmtId="0" fontId="23" fillId="2" borderId="21" xfId="0" applyFont="1" applyFill="1" applyBorder="1" applyAlignment="1">
      <alignment vertical="center"/>
    </xf>
    <xf numFmtId="0" fontId="22" fillId="2" borderId="22" xfId="0" applyFont="1" applyFill="1" applyBorder="1" applyAlignment="1">
      <alignment vertical="center"/>
    </xf>
    <xf numFmtId="0" fontId="22" fillId="2" borderId="22" xfId="0" applyFont="1" applyFill="1" applyBorder="1" applyAlignment="1">
      <alignment horizontal="left" vertical="center"/>
    </xf>
    <xf numFmtId="0" fontId="30" fillId="2" borderId="10" xfId="0" applyFont="1" applyFill="1" applyBorder="1" applyAlignment="1">
      <alignment vertical="center" wrapText="1"/>
    </xf>
    <xf numFmtId="9" fontId="22" fillId="2" borderId="12" xfId="4" applyFont="1" applyFill="1" applyBorder="1" applyAlignment="1">
      <alignment vertical="center"/>
    </xf>
    <xf numFmtId="0" fontId="30" fillId="2" borderId="12" xfId="0" applyFont="1" applyFill="1" applyBorder="1" applyAlignment="1">
      <alignment vertical="center" wrapText="1"/>
    </xf>
    <xf numFmtId="0" fontId="30" fillId="2" borderId="13" xfId="0" applyFont="1" applyFill="1" applyBorder="1" applyAlignment="1">
      <alignment vertical="center" wrapText="1"/>
    </xf>
    <xf numFmtId="0" fontId="22" fillId="2" borderId="15" xfId="0" applyFont="1" applyFill="1" applyBorder="1" applyAlignment="1">
      <alignment horizontal="center" vertical="center"/>
    </xf>
    <xf numFmtId="0" fontId="25" fillId="2" borderId="0" xfId="0" applyFont="1" applyFill="1" applyAlignment="1">
      <alignment horizontal="center" vertical="center"/>
    </xf>
    <xf numFmtId="0" fontId="26" fillId="2" borderId="2" xfId="0" applyFont="1" applyFill="1" applyBorder="1" applyAlignment="1">
      <alignment horizontal="center" vertical="center"/>
    </xf>
    <xf numFmtId="0" fontId="26" fillId="2" borderId="4" xfId="0" applyFont="1" applyFill="1" applyBorder="1" applyAlignment="1">
      <alignment horizontal="center" vertical="center"/>
    </xf>
    <xf numFmtId="0" fontId="26" fillId="2" borderId="0" xfId="0" applyFont="1" applyFill="1" applyAlignment="1">
      <alignment horizontal="center" vertical="center"/>
    </xf>
    <xf numFmtId="0" fontId="22" fillId="2" borderId="4" xfId="0" applyFont="1" applyFill="1" applyBorder="1" applyAlignment="1">
      <alignment horizontal="center" vertical="center"/>
    </xf>
    <xf numFmtId="0" fontId="22" fillId="2" borderId="2" xfId="0" applyFont="1" applyFill="1" applyBorder="1" applyAlignment="1">
      <alignment horizontal="center" vertical="center"/>
    </xf>
    <xf numFmtId="0" fontId="22" fillId="2" borderId="12" xfId="0" applyFont="1" applyFill="1" applyBorder="1" applyAlignment="1">
      <alignment horizontal="center" vertical="center"/>
    </xf>
    <xf numFmtId="168" fontId="22" fillId="2" borderId="12" xfId="0" applyNumberFormat="1" applyFont="1" applyFill="1" applyBorder="1" applyAlignment="1">
      <alignment horizontal="center" vertical="center"/>
    </xf>
    <xf numFmtId="0" fontId="22" fillId="2" borderId="20" xfId="0" applyFont="1" applyFill="1" applyBorder="1" applyAlignment="1">
      <alignment horizontal="center" vertical="center"/>
    </xf>
    <xf numFmtId="14" fontId="22" fillId="2" borderId="0" xfId="0" applyNumberFormat="1" applyFont="1" applyFill="1" applyAlignment="1">
      <alignment horizontal="center" vertical="center"/>
    </xf>
    <xf numFmtId="0" fontId="23" fillId="3" borderId="0" xfId="0" applyFont="1" applyFill="1" applyAlignment="1">
      <alignment vertical="center"/>
    </xf>
    <xf numFmtId="0" fontId="22" fillId="3" borderId="0" xfId="0" applyFont="1" applyFill="1" applyAlignment="1">
      <alignment vertical="center"/>
    </xf>
    <xf numFmtId="0" fontId="23" fillId="3" borderId="0" xfId="0" applyFont="1" applyFill="1" applyAlignment="1">
      <alignment horizontal="left" vertical="center"/>
    </xf>
    <xf numFmtId="0" fontId="23" fillId="3" borderId="0" xfId="0" applyFont="1" applyFill="1" applyAlignment="1">
      <alignment vertical="center" wrapText="1"/>
    </xf>
    <xf numFmtId="0" fontId="24" fillId="3" borderId="0" xfId="0" applyFont="1" applyFill="1" applyAlignment="1">
      <alignment vertical="center"/>
    </xf>
    <xf numFmtId="0" fontId="22" fillId="3" borderId="0" xfId="0" applyFont="1" applyFill="1" applyAlignment="1">
      <alignment horizontal="center" vertical="center"/>
    </xf>
    <xf numFmtId="0" fontId="0" fillId="3" borderId="0" xfId="0" applyFill="1" applyAlignment="1">
      <alignment vertical="center"/>
    </xf>
    <xf numFmtId="0" fontId="33" fillId="3" borderId="0" xfId="0" applyFont="1" applyFill="1" applyAlignment="1">
      <alignment vertical="center"/>
    </xf>
    <xf numFmtId="0" fontId="23" fillId="3" borderId="0" xfId="0" applyFont="1" applyFill="1" applyAlignment="1">
      <alignment horizontal="center" vertical="center"/>
    </xf>
    <xf numFmtId="0" fontId="34" fillId="0" borderId="0" xfId="0" applyFont="1"/>
    <xf numFmtId="0" fontId="35" fillId="2" borderId="0" xfId="0" applyFont="1" applyFill="1" applyAlignment="1">
      <alignment vertical="center"/>
    </xf>
    <xf numFmtId="0" fontId="36" fillId="2" borderId="0" xfId="0" applyFont="1" applyFill="1" applyAlignment="1">
      <alignment vertical="center"/>
    </xf>
    <xf numFmtId="0" fontId="36" fillId="2" borderId="0" xfId="0" applyFont="1" applyFill="1" applyAlignment="1">
      <alignment horizontal="center" vertical="center"/>
    </xf>
    <xf numFmtId="0" fontId="37" fillId="2" borderId="0" xfId="0" applyFont="1" applyFill="1" applyAlignment="1">
      <alignment vertical="center"/>
    </xf>
    <xf numFmtId="0" fontId="0" fillId="2" borderId="0" xfId="0" applyFill="1" applyAlignment="1">
      <alignment vertical="center"/>
    </xf>
    <xf numFmtId="0" fontId="38" fillId="2" borderId="17" xfId="0" applyFont="1" applyFill="1" applyBorder="1" applyAlignment="1">
      <alignment vertical="center"/>
    </xf>
    <xf numFmtId="0" fontId="39" fillId="4" borderId="23" xfId="0" applyFont="1" applyFill="1" applyBorder="1" applyAlignment="1">
      <alignment vertical="center"/>
    </xf>
    <xf numFmtId="0" fontId="40" fillId="4" borderId="24" xfId="0" applyFont="1" applyFill="1" applyBorder="1" applyAlignment="1">
      <alignment vertical="center"/>
    </xf>
    <xf numFmtId="0" fontId="40" fillId="4" borderId="24" xfId="0" applyFont="1" applyFill="1" applyBorder="1" applyAlignment="1">
      <alignment horizontal="center" vertical="center"/>
    </xf>
    <xf numFmtId="0" fontId="39" fillId="4" borderId="24" xfId="0" applyFont="1" applyFill="1" applyBorder="1" applyAlignment="1">
      <alignment horizontal="center" vertical="center"/>
    </xf>
    <xf numFmtId="0" fontId="39" fillId="4" borderId="24" xfId="0" applyFont="1" applyFill="1" applyBorder="1" applyAlignment="1">
      <alignment vertical="center"/>
    </xf>
    <xf numFmtId="0" fontId="39" fillId="4" borderId="25" xfId="0" applyFont="1" applyFill="1" applyBorder="1" applyAlignment="1">
      <alignment vertical="center"/>
    </xf>
    <xf numFmtId="0" fontId="0" fillId="2" borderId="18" xfId="0" applyFill="1" applyBorder="1" applyAlignment="1">
      <alignment vertical="center"/>
    </xf>
    <xf numFmtId="0" fontId="24" fillId="2" borderId="17" xfId="0" applyFont="1" applyFill="1" applyBorder="1"/>
    <xf numFmtId="0" fontId="23" fillId="2" borderId="18" xfId="0" applyFont="1" applyFill="1" applyBorder="1"/>
    <xf numFmtId="0" fontId="24" fillId="2" borderId="17" xfId="0" applyFont="1" applyFill="1" applyBorder="1" applyAlignment="1">
      <alignment vertical="center" wrapText="1"/>
    </xf>
    <xf numFmtId="0" fontId="24" fillId="2" borderId="19" xfId="0" applyFont="1" applyFill="1" applyBorder="1"/>
    <xf numFmtId="0" fontId="23" fillId="2" borderId="20" xfId="0" applyFont="1" applyFill="1" applyBorder="1"/>
    <xf numFmtId="0" fontId="23" fillId="2" borderId="21" xfId="0" applyFont="1" applyFill="1" applyBorder="1"/>
    <xf numFmtId="0" fontId="23" fillId="3" borderId="0" xfId="0" applyFont="1" applyFill="1"/>
    <xf numFmtId="9" fontId="23" fillId="3" borderId="0" xfId="4" applyFont="1" applyFill="1" applyBorder="1" applyAlignment="1">
      <alignment vertical="center"/>
    </xf>
    <xf numFmtId="0" fontId="24" fillId="3" borderId="0" xfId="0" applyFont="1" applyFill="1"/>
    <xf numFmtId="43" fontId="23" fillId="3" borderId="0" xfId="0" applyNumberFormat="1" applyFont="1" applyFill="1"/>
    <xf numFmtId="0" fontId="41" fillId="2" borderId="26" xfId="0" applyFont="1" applyFill="1" applyBorder="1" applyAlignment="1">
      <alignment vertical="center" wrapText="1"/>
    </xf>
    <xf numFmtId="0" fontId="41" fillId="2" borderId="5" xfId="0" applyFont="1" applyFill="1" applyBorder="1" applyAlignment="1">
      <alignment horizontal="left" vertical="center" wrapText="1"/>
    </xf>
    <xf numFmtId="0" fontId="41" fillId="2" borderId="0" xfId="0" applyFont="1" applyFill="1" applyAlignment="1">
      <alignment horizontal="left" vertical="center" wrapText="1"/>
    </xf>
    <xf numFmtId="0" fontId="41" fillId="2" borderId="0" xfId="0" applyFont="1" applyFill="1" applyAlignment="1">
      <alignment horizontal="left" vertical="center"/>
    </xf>
    <xf numFmtId="0" fontId="41" fillId="2" borderId="6" xfId="0" applyFont="1" applyFill="1" applyBorder="1" applyAlignment="1">
      <alignment horizontal="left" vertical="center" wrapText="1"/>
    </xf>
    <xf numFmtId="0" fontId="41" fillId="2" borderId="26" xfId="0" applyFont="1" applyFill="1" applyBorder="1" applyAlignment="1">
      <alignment horizontal="left" vertical="center" wrapText="1"/>
    </xf>
    <xf numFmtId="0" fontId="41" fillId="2" borderId="6" xfId="0" applyFont="1" applyFill="1" applyBorder="1" applyAlignment="1">
      <alignment horizontal="left" vertical="center"/>
    </xf>
    <xf numFmtId="0" fontId="42" fillId="2" borderId="26" xfId="3" applyFont="1" applyFill="1" applyBorder="1" applyAlignment="1" applyProtection="1">
      <alignment vertical="center" wrapText="1"/>
    </xf>
    <xf numFmtId="0" fontId="41" fillId="2" borderId="26" xfId="0" quotePrefix="1" applyFont="1" applyFill="1" applyBorder="1" applyAlignment="1">
      <alignment vertical="center" wrapText="1"/>
    </xf>
    <xf numFmtId="0" fontId="41" fillId="2" borderId="0" xfId="0" applyFont="1" applyFill="1" applyAlignment="1">
      <alignment vertical="center"/>
    </xf>
    <xf numFmtId="0" fontId="41" fillId="2" borderId="17" xfId="0" applyFont="1" applyFill="1" applyBorder="1" applyAlignment="1">
      <alignment vertical="center"/>
    </xf>
    <xf numFmtId="0" fontId="41" fillId="2" borderId="7" xfId="0" applyFont="1" applyFill="1" applyBorder="1" applyAlignment="1">
      <alignment vertical="center"/>
    </xf>
    <xf numFmtId="0" fontId="41" fillId="2" borderId="8" xfId="0" applyFont="1" applyFill="1" applyBorder="1" applyAlignment="1">
      <alignment horizontal="left" vertical="center" wrapText="1"/>
    </xf>
    <xf numFmtId="0" fontId="41" fillId="2" borderId="18" xfId="0" applyFont="1" applyFill="1" applyBorder="1" applyAlignment="1">
      <alignment horizontal="left" vertical="center"/>
    </xf>
    <xf numFmtId="0" fontId="41" fillId="3" borderId="0" xfId="0" applyFont="1" applyFill="1" applyAlignment="1">
      <alignment horizontal="left" vertical="center"/>
    </xf>
    <xf numFmtId="0" fontId="41" fillId="3" borderId="0" xfId="0" applyFont="1" applyFill="1" applyAlignment="1">
      <alignment vertical="center"/>
    </xf>
    <xf numFmtId="0" fontId="41" fillId="2" borderId="0" xfId="0" applyFont="1" applyFill="1" applyAlignment="1">
      <alignment vertical="center" wrapText="1"/>
    </xf>
    <xf numFmtId="0" fontId="41" fillId="0" borderId="0" xfId="0" applyFont="1" applyAlignment="1">
      <alignment vertical="center" wrapText="1"/>
    </xf>
    <xf numFmtId="0" fontId="41" fillId="2" borderId="0" xfId="0" quotePrefix="1" applyFont="1" applyFill="1" applyAlignment="1">
      <alignment vertical="center" wrapText="1"/>
    </xf>
    <xf numFmtId="0" fontId="41" fillId="2" borderId="12" xfId="0" applyFont="1" applyFill="1" applyBorder="1" applyAlignment="1">
      <alignment vertical="center" wrapText="1"/>
    </xf>
    <xf numFmtId="0" fontId="42" fillId="2" borderId="0" xfId="3" applyFont="1" applyFill="1" applyBorder="1" applyAlignment="1" applyProtection="1">
      <alignment vertical="center" wrapText="1"/>
    </xf>
    <xf numFmtId="0" fontId="36" fillId="2" borderId="0" xfId="0" applyFont="1" applyFill="1"/>
    <xf numFmtId="0" fontId="41" fillId="2" borderId="0" xfId="0" applyFont="1" applyFill="1"/>
    <xf numFmtId="9" fontId="41" fillId="2" borderId="0" xfId="0" applyNumberFormat="1" applyFont="1" applyFill="1" applyAlignment="1">
      <alignment wrapText="1"/>
    </xf>
    <xf numFmtId="9" fontId="41" fillId="2" borderId="0" xfId="0" applyNumberFormat="1" applyFont="1" applyFill="1"/>
    <xf numFmtId="43" fontId="41" fillId="2" borderId="0" xfId="0" applyNumberFormat="1" applyFont="1" applyFill="1"/>
    <xf numFmtId="10" fontId="41" fillId="2" borderId="0" xfId="1" applyNumberFormat="1" applyFont="1" applyFill="1" applyBorder="1"/>
    <xf numFmtId="0" fontId="40" fillId="2" borderId="0" xfId="0" applyFont="1" applyFill="1" applyAlignment="1">
      <alignment vertical="center"/>
    </xf>
    <xf numFmtId="0" fontId="40" fillId="4" borderId="23" xfId="0" applyFont="1" applyFill="1" applyBorder="1" applyAlignment="1">
      <alignment vertical="center"/>
    </xf>
    <xf numFmtId="0" fontId="40" fillId="4" borderId="25" xfId="0" applyFont="1" applyFill="1" applyBorder="1" applyAlignment="1">
      <alignment vertical="center"/>
    </xf>
    <xf numFmtId="0" fontId="40" fillId="2" borderId="9" xfId="0" applyFont="1" applyFill="1" applyBorder="1" applyAlignment="1">
      <alignment vertical="center"/>
    </xf>
    <xf numFmtId="0" fontId="40" fillId="2" borderId="10" xfId="0" applyFont="1" applyFill="1" applyBorder="1" applyAlignment="1">
      <alignment vertical="center"/>
    </xf>
    <xf numFmtId="0" fontId="30" fillId="2" borderId="9" xfId="0" applyFont="1" applyFill="1" applyBorder="1" applyAlignment="1">
      <alignment vertical="center"/>
    </xf>
    <xf numFmtId="0" fontId="26" fillId="2" borderId="10" xfId="0" applyFont="1" applyFill="1" applyBorder="1" applyAlignment="1">
      <alignment vertical="center"/>
    </xf>
    <xf numFmtId="0" fontId="26" fillId="2" borderId="9" xfId="0" applyFont="1" applyFill="1" applyBorder="1" applyAlignment="1">
      <alignment vertical="center"/>
    </xf>
    <xf numFmtId="0" fontId="22" fillId="2" borderId="11" xfId="0" applyFont="1" applyFill="1" applyBorder="1" applyAlignment="1">
      <alignment vertical="center"/>
    </xf>
    <xf numFmtId="9" fontId="22" fillId="2" borderId="13" xfId="4" applyFont="1" applyFill="1" applyBorder="1" applyAlignment="1">
      <alignment vertical="center"/>
    </xf>
    <xf numFmtId="0" fontId="40" fillId="4" borderId="7" xfId="0" applyFont="1" applyFill="1" applyBorder="1" applyAlignment="1">
      <alignment vertical="center"/>
    </xf>
    <xf numFmtId="0" fontId="40" fillId="4" borderId="27" xfId="0" applyFont="1" applyFill="1" applyBorder="1" applyAlignment="1">
      <alignment vertical="center"/>
    </xf>
    <xf numFmtId="0" fontId="40" fillId="4" borderId="8" xfId="0" applyFont="1" applyFill="1" applyBorder="1" applyAlignment="1">
      <alignment vertical="center"/>
    </xf>
    <xf numFmtId="0" fontId="22" fillId="2" borderId="9" xfId="0" applyFont="1" applyFill="1" applyBorder="1"/>
    <xf numFmtId="0" fontId="22" fillId="2" borderId="11" xfId="0" applyFont="1" applyFill="1" applyBorder="1"/>
    <xf numFmtId="166" fontId="21" fillId="2" borderId="12" xfId="1" applyNumberFormat="1" applyFont="1" applyFill="1" applyBorder="1"/>
    <xf numFmtId="0" fontId="0" fillId="2" borderId="13" xfId="0" applyFill="1" applyBorder="1"/>
    <xf numFmtId="166" fontId="23" fillId="2" borderId="0" xfId="1" applyNumberFormat="1" applyFont="1" applyFill="1" applyBorder="1"/>
    <xf numFmtId="0" fontId="23" fillId="2" borderId="10" xfId="0" applyFont="1" applyFill="1" applyBorder="1"/>
    <xf numFmtId="164" fontId="23" fillId="2" borderId="0" xfId="2" applyFont="1" applyFill="1" applyBorder="1"/>
    <xf numFmtId="0" fontId="23" fillId="2" borderId="9" xfId="0" applyFont="1" applyFill="1" applyBorder="1" applyAlignment="1">
      <alignment vertical="center" wrapText="1"/>
    </xf>
    <xf numFmtId="0" fontId="22" fillId="2" borderId="10" xfId="0" applyFont="1" applyFill="1" applyBorder="1" applyAlignment="1">
      <alignment vertical="center"/>
    </xf>
    <xf numFmtId="0" fontId="36" fillId="2" borderId="11" xfId="0" applyFont="1" applyFill="1" applyBorder="1"/>
    <xf numFmtId="9" fontId="43" fillId="2" borderId="12" xfId="1" applyNumberFormat="1" applyFont="1" applyFill="1" applyBorder="1"/>
    <xf numFmtId="166" fontId="43" fillId="2" borderId="12" xfId="1" applyNumberFormat="1" applyFont="1" applyFill="1" applyBorder="1" applyAlignment="1">
      <alignment horizontal="right"/>
    </xf>
    <xf numFmtId="170" fontId="43" fillId="2" borderId="13" xfId="0" applyNumberFormat="1" applyFont="1" applyFill="1" applyBorder="1"/>
    <xf numFmtId="0" fontId="22" fillId="2" borderId="10" xfId="0" applyFont="1" applyFill="1" applyBorder="1"/>
    <xf numFmtId="0" fontId="22" fillId="2" borderId="12" xfId="0" applyFont="1" applyFill="1" applyBorder="1"/>
    <xf numFmtId="0" fontId="23" fillId="2" borderId="12" xfId="0" applyFont="1" applyFill="1" applyBorder="1"/>
    <xf numFmtId="0" fontId="22" fillId="2" borderId="13" xfId="0" applyFont="1" applyFill="1" applyBorder="1"/>
    <xf numFmtId="0" fontId="0" fillId="2" borderId="14" xfId="0" applyFill="1"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9" xfId="0" applyFill="1" applyBorder="1"/>
    <xf numFmtId="0" fontId="0" fillId="2" borderId="20" xfId="0" applyFill="1" applyBorder="1"/>
    <xf numFmtId="0" fontId="0" fillId="2" borderId="21" xfId="0" applyFill="1" applyBorder="1"/>
    <xf numFmtId="0" fontId="40" fillId="4" borderId="28" xfId="0" applyFont="1" applyFill="1" applyBorder="1" applyAlignment="1">
      <alignment vertical="center"/>
    </xf>
    <xf numFmtId="0" fontId="0" fillId="2" borderId="10" xfId="0" applyFill="1" applyBorder="1"/>
    <xf numFmtId="0" fontId="26" fillId="2" borderId="11" xfId="0" applyFont="1" applyFill="1" applyBorder="1" applyAlignment="1">
      <alignment vertical="center"/>
    </xf>
    <xf numFmtId="0" fontId="26" fillId="2" borderId="12" xfId="0" applyFont="1" applyFill="1" applyBorder="1" applyAlignment="1">
      <alignment vertical="center"/>
    </xf>
    <xf numFmtId="0" fontId="23" fillId="2" borderId="13" xfId="0" applyFont="1" applyFill="1" applyBorder="1"/>
    <xf numFmtId="0" fontId="0" fillId="2" borderId="12" xfId="0" applyFill="1" applyBorder="1"/>
    <xf numFmtId="0" fontId="0" fillId="2" borderId="9" xfId="0" applyFill="1" applyBorder="1"/>
    <xf numFmtId="0" fontId="0" fillId="2" borderId="11" xfId="0" applyFill="1" applyBorder="1"/>
    <xf numFmtId="9" fontId="29" fillId="2" borderId="12" xfId="4" applyFont="1" applyFill="1" applyBorder="1"/>
    <xf numFmtId="171" fontId="0" fillId="2" borderId="12" xfId="0" applyNumberFormat="1" applyFill="1" applyBorder="1" applyAlignment="1">
      <alignment horizontal="left"/>
    </xf>
    <xf numFmtId="9" fontId="29" fillId="2" borderId="9" xfId="4" applyFont="1" applyFill="1" applyBorder="1" applyAlignment="1">
      <alignment horizontal="center"/>
    </xf>
    <xf numFmtId="9" fontId="21" fillId="2" borderId="9" xfId="4" applyFont="1" applyFill="1" applyBorder="1" applyAlignment="1">
      <alignment horizontal="center"/>
    </xf>
    <xf numFmtId="9" fontId="29" fillId="2" borderId="9" xfId="4" applyFont="1" applyFill="1" applyBorder="1" applyAlignment="1">
      <alignment horizontal="right"/>
    </xf>
    <xf numFmtId="2" fontId="29" fillId="2" borderId="10" xfId="0" applyNumberFormat="1" applyFont="1" applyFill="1" applyBorder="1" applyAlignment="1">
      <alignment horizontal="center"/>
    </xf>
    <xf numFmtId="0" fontId="23" fillId="2" borderId="10" xfId="0" applyFont="1" applyFill="1" applyBorder="1" applyAlignment="1">
      <alignment horizontal="center"/>
    </xf>
    <xf numFmtId="0" fontId="0" fillId="2" borderId="10" xfId="0" applyFill="1" applyBorder="1" applyAlignment="1">
      <alignment horizontal="center"/>
    </xf>
    <xf numFmtId="0" fontId="29" fillId="2" borderId="10" xfId="0" applyFont="1" applyFill="1" applyBorder="1" applyAlignment="1">
      <alignment horizontal="center" vertical="top"/>
    </xf>
    <xf numFmtId="9" fontId="29" fillId="2" borderId="10" xfId="4" applyFont="1" applyFill="1" applyBorder="1" applyAlignment="1">
      <alignment horizontal="center"/>
    </xf>
    <xf numFmtId="9" fontId="21" fillId="2" borderId="10" xfId="4" applyFont="1" applyFill="1" applyBorder="1" applyAlignment="1">
      <alignment horizontal="center"/>
    </xf>
    <xf numFmtId="0" fontId="0" fillId="3" borderId="29" xfId="0" applyFill="1" applyBorder="1"/>
    <xf numFmtId="0" fontId="33" fillId="3" borderId="30" xfId="0" applyFont="1" applyFill="1" applyBorder="1"/>
    <xf numFmtId="0" fontId="0" fillId="3" borderId="0" xfId="0" applyFill="1"/>
    <xf numFmtId="0" fontId="33" fillId="3" borderId="0" xfId="0" applyFont="1" applyFill="1" applyAlignment="1">
      <alignment horizontal="center"/>
    </xf>
    <xf numFmtId="0" fontId="33" fillId="3" borderId="31" xfId="0" applyFont="1" applyFill="1" applyBorder="1"/>
    <xf numFmtId="9" fontId="21" fillId="3" borderId="31" xfId="4" applyFont="1" applyFill="1" applyBorder="1"/>
    <xf numFmtId="0" fontId="22" fillId="3" borderId="31" xfId="0" applyFont="1" applyFill="1" applyBorder="1"/>
    <xf numFmtId="166" fontId="21" fillId="3" borderId="31" xfId="1" applyNumberFormat="1" applyFont="1" applyFill="1" applyBorder="1" applyAlignment="1">
      <alignment horizontal="right"/>
    </xf>
    <xf numFmtId="0" fontId="0" fillId="3" borderId="32" xfId="0" applyFill="1" applyBorder="1"/>
    <xf numFmtId="0" fontId="33" fillId="3" borderId="33" xfId="0" applyFont="1" applyFill="1" applyBorder="1"/>
    <xf numFmtId="0" fontId="44" fillId="3" borderId="31" xfId="0" applyFont="1" applyFill="1" applyBorder="1"/>
    <xf numFmtId="0" fontId="44" fillId="3" borderId="0" xfId="0" applyFont="1" applyFill="1"/>
    <xf numFmtId="0" fontId="0" fillId="3" borderId="31" xfId="0" applyFill="1" applyBorder="1"/>
    <xf numFmtId="0" fontId="0" fillId="3" borderId="34" xfId="0" applyFill="1" applyBorder="1"/>
    <xf numFmtId="0" fontId="33" fillId="3" borderId="35" xfId="0" applyFont="1" applyFill="1" applyBorder="1"/>
    <xf numFmtId="167" fontId="0" fillId="3" borderId="31" xfId="0" applyNumberFormat="1" applyFill="1" applyBorder="1"/>
    <xf numFmtId="167" fontId="0" fillId="3" borderId="0" xfId="0" applyNumberFormat="1" applyFill="1"/>
    <xf numFmtId="0" fontId="33" fillId="3" borderId="0" xfId="0" applyFont="1" applyFill="1"/>
    <xf numFmtId="169" fontId="0" fillId="3" borderId="31" xfId="0" applyNumberFormat="1" applyFill="1" applyBorder="1"/>
    <xf numFmtId="169" fontId="0" fillId="3" borderId="0" xfId="0" applyNumberFormat="1" applyFill="1"/>
    <xf numFmtId="2" fontId="0" fillId="3" borderId="0" xfId="0" applyNumberFormat="1" applyFill="1"/>
    <xf numFmtId="9" fontId="21" fillId="3" borderId="0" xfId="4" applyFont="1" applyFill="1" applyBorder="1"/>
    <xf numFmtId="0" fontId="17" fillId="4" borderId="36" xfId="0" applyFont="1" applyFill="1" applyBorder="1" applyAlignment="1">
      <alignment horizontal="centerContinuous" vertical="center"/>
    </xf>
    <xf numFmtId="0" fontId="18" fillId="4" borderId="36" xfId="0" applyFont="1" applyFill="1" applyBorder="1" applyAlignment="1">
      <alignment horizontal="center" vertical="center" wrapText="1"/>
    </xf>
    <xf numFmtId="165" fontId="19" fillId="0" borderId="37" xfId="0" applyNumberFormat="1" applyFont="1" applyBorder="1" applyAlignment="1">
      <alignment horizontal="center" vertical="center" wrapText="1"/>
    </xf>
    <xf numFmtId="0" fontId="19" fillId="0" borderId="37" xfId="0" applyFont="1" applyBorder="1" applyAlignment="1">
      <alignment vertical="center" wrapText="1"/>
    </xf>
    <xf numFmtId="14" fontId="19" fillId="0" borderId="37" xfId="0" applyNumberFormat="1" applyFont="1" applyBorder="1" applyAlignment="1">
      <alignment horizontal="center" vertical="center" wrapText="1"/>
    </xf>
    <xf numFmtId="165" fontId="19" fillId="0" borderId="36" xfId="0" applyNumberFormat="1" applyFont="1" applyBorder="1" applyAlignment="1">
      <alignment horizontal="center" vertical="center" wrapText="1"/>
    </xf>
    <xf numFmtId="0" fontId="19" fillId="0" borderId="36" xfId="0" applyFont="1" applyBorder="1" applyAlignment="1">
      <alignment vertical="center" wrapText="1"/>
    </xf>
    <xf numFmtId="14" fontId="19" fillId="0" borderId="36" xfId="0" applyNumberFormat="1" applyFont="1" applyBorder="1" applyAlignment="1">
      <alignment horizontal="center" vertical="center" wrapText="1"/>
    </xf>
    <xf numFmtId="49" fontId="35" fillId="2" borderId="0" xfId="0" applyNumberFormat="1" applyFont="1" applyFill="1" applyAlignment="1">
      <alignment vertical="center"/>
    </xf>
    <xf numFmtId="0" fontId="22" fillId="2" borderId="12" xfId="0" applyFont="1" applyFill="1" applyBorder="1" applyAlignment="1">
      <alignment vertical="center"/>
    </xf>
    <xf numFmtId="0" fontId="36" fillId="2" borderId="12" xfId="0" applyFont="1" applyFill="1" applyBorder="1"/>
    <xf numFmtId="0" fontId="26" fillId="2" borderId="0" xfId="0" applyFont="1" applyFill="1"/>
    <xf numFmtId="43" fontId="0" fillId="2" borderId="10" xfId="0" applyNumberFormat="1" applyFill="1" applyBorder="1"/>
    <xf numFmtId="43" fontId="0" fillId="2" borderId="13" xfId="0" applyNumberFormat="1" applyFill="1" applyBorder="1"/>
    <xf numFmtId="0" fontId="40" fillId="2" borderId="0" xfId="0" applyFont="1" applyFill="1" applyAlignment="1">
      <alignment horizontal="center"/>
    </xf>
    <xf numFmtId="0" fontId="40" fillId="2" borderId="10" xfId="0" applyFont="1" applyFill="1" applyBorder="1" applyAlignment="1">
      <alignment horizontal="center"/>
    </xf>
    <xf numFmtId="0" fontId="26" fillId="2" borderId="0" xfId="0" applyFont="1" applyFill="1" applyAlignment="1">
      <alignment horizontal="center"/>
    </xf>
    <xf numFmtId="0" fontId="26" fillId="2" borderId="10" xfId="0" applyFont="1" applyFill="1" applyBorder="1" applyAlignment="1">
      <alignment horizontal="center"/>
    </xf>
    <xf numFmtId="9" fontId="30" fillId="2" borderId="0" xfId="4" applyFont="1" applyFill="1" applyBorder="1" applyAlignment="1">
      <alignment horizontal="center" vertical="center"/>
    </xf>
    <xf numFmtId="9" fontId="30" fillId="2" borderId="10" xfId="4" applyFont="1" applyFill="1" applyBorder="1" applyAlignment="1">
      <alignment horizontal="center" vertical="center"/>
    </xf>
    <xf numFmtId="175" fontId="23" fillId="2" borderId="0" xfId="2" applyNumberFormat="1" applyFont="1" applyFill="1" applyBorder="1"/>
    <xf numFmtId="0" fontId="22" fillId="2" borderId="0" xfId="0" applyFont="1" applyFill="1" applyAlignment="1">
      <alignment horizontal="center" vertical="center" wrapText="1"/>
    </xf>
    <xf numFmtId="0" fontId="26" fillId="2" borderId="0" xfId="0" applyFont="1" applyFill="1" applyAlignment="1">
      <alignment horizontal="center" vertical="center" wrapText="1"/>
    </xf>
    <xf numFmtId="0" fontId="45" fillId="2" borderId="0" xfId="0" applyFont="1" applyFill="1" applyAlignment="1">
      <alignment vertical="top"/>
    </xf>
    <xf numFmtId="174" fontId="23" fillId="2" borderId="0" xfId="1" applyNumberFormat="1" applyFont="1" applyFill="1" applyBorder="1"/>
    <xf numFmtId="174" fontId="23" fillId="2" borderId="11" xfId="1" applyNumberFormat="1" applyFont="1" applyFill="1" applyBorder="1"/>
    <xf numFmtId="174" fontId="23" fillId="2" borderId="12" xfId="1" applyNumberFormat="1" applyFont="1" applyFill="1" applyBorder="1"/>
    <xf numFmtId="166" fontId="23" fillId="2" borderId="12" xfId="1" applyNumberFormat="1" applyFont="1" applyFill="1" applyBorder="1"/>
    <xf numFmtId="165" fontId="23" fillId="5" borderId="0" xfId="0" applyNumberFormat="1" applyFont="1" applyFill="1" applyAlignment="1" applyProtection="1">
      <alignment horizontal="right" vertical="center"/>
      <protection locked="0"/>
    </xf>
    <xf numFmtId="0" fontId="23" fillId="5" borderId="0" xfId="0" applyFont="1" applyFill="1" applyAlignment="1" applyProtection="1">
      <alignment horizontal="right" vertical="center"/>
      <protection locked="0"/>
    </xf>
    <xf numFmtId="9" fontId="23" fillId="5" borderId="0" xfId="0" applyNumberFormat="1" applyFont="1" applyFill="1" applyAlignment="1" applyProtection="1">
      <alignment vertical="center"/>
      <protection locked="0"/>
    </xf>
    <xf numFmtId="173" fontId="23" fillId="5" borderId="0" xfId="1" applyNumberFormat="1" applyFont="1" applyFill="1" applyBorder="1" applyAlignment="1" applyProtection="1">
      <alignment vertical="center"/>
      <protection locked="0"/>
    </xf>
    <xf numFmtId="0" fontId="30" fillId="5" borderId="0" xfId="0" applyFont="1" applyFill="1" applyAlignment="1" applyProtection="1">
      <alignment horizontal="left" vertical="center" wrapText="1"/>
      <protection locked="0"/>
    </xf>
    <xf numFmtId="0" fontId="23" fillId="5" borderId="0" xfId="0" applyFont="1" applyFill="1" applyAlignment="1" applyProtection="1">
      <alignment vertical="center"/>
      <protection locked="0"/>
    </xf>
    <xf numFmtId="166" fontId="23" fillId="5" borderId="0" xfId="1" applyNumberFormat="1" applyFont="1" applyFill="1" applyBorder="1" applyAlignment="1" applyProtection="1">
      <alignment vertical="center"/>
      <protection locked="0"/>
    </xf>
    <xf numFmtId="172" fontId="23" fillId="5" borderId="0" xfId="1" applyNumberFormat="1" applyFont="1" applyFill="1" applyBorder="1" applyAlignment="1" applyProtection="1">
      <alignment vertical="center"/>
      <protection locked="0"/>
    </xf>
    <xf numFmtId="9" fontId="30" fillId="5" borderId="0" xfId="0" applyNumberFormat="1" applyFont="1" applyFill="1" applyAlignment="1" applyProtection="1">
      <alignment vertical="center"/>
      <protection locked="0"/>
    </xf>
    <xf numFmtId="0" fontId="30" fillId="5" borderId="0" xfId="0" applyFont="1" applyFill="1" applyAlignment="1" applyProtection="1">
      <alignment vertical="center"/>
      <protection locked="0"/>
    </xf>
    <xf numFmtId="0" fontId="37" fillId="2" borderId="0" xfId="0" applyFont="1" applyFill="1" applyAlignment="1">
      <alignment horizontal="center" vertical="center"/>
    </xf>
    <xf numFmtId="0" fontId="46" fillId="2" borderId="0" xfId="0" applyFont="1" applyFill="1" applyAlignment="1">
      <alignment horizontal="center" vertical="center"/>
    </xf>
    <xf numFmtId="0" fontId="33" fillId="5" borderId="0" xfId="0" applyFont="1" applyFill="1" applyAlignment="1">
      <alignment horizontal="center" vertical="center"/>
    </xf>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23" fillId="0" borderId="0" xfId="0" applyFont="1" applyAlignment="1">
      <alignment wrapText="1"/>
    </xf>
    <xf numFmtId="0" fontId="23" fillId="0" borderId="0" xfId="0" applyFont="1"/>
    <xf numFmtId="0" fontId="28" fillId="0" borderId="0" xfId="0" applyFont="1"/>
    <xf numFmtId="0" fontId="33" fillId="3" borderId="38" xfId="0" applyFont="1" applyFill="1" applyBorder="1"/>
    <xf numFmtId="0" fontId="33" fillId="3" borderId="39" xfId="0" applyFont="1" applyFill="1" applyBorder="1"/>
    <xf numFmtId="0" fontId="0" fillId="3" borderId="40" xfId="0" applyFill="1" applyBorder="1"/>
    <xf numFmtId="14" fontId="22" fillId="5" borderId="0" xfId="0" applyNumberFormat="1" applyFont="1" applyFill="1" applyAlignment="1" applyProtection="1">
      <alignment vertical="center"/>
      <protection locked="0"/>
    </xf>
    <xf numFmtId="2" fontId="29" fillId="2" borderId="10" xfId="4" applyNumberFormat="1" applyFont="1" applyFill="1" applyBorder="1" applyAlignment="1">
      <alignment horizontal="center"/>
    </xf>
    <xf numFmtId="0" fontId="22" fillId="2" borderId="0" xfId="0" applyFont="1" applyFill="1" applyAlignment="1">
      <alignment horizontal="left" vertical="center"/>
    </xf>
    <xf numFmtId="0" fontId="2" fillId="0" borderId="0" xfId="0" applyFont="1" applyAlignment="1">
      <alignment wrapText="1"/>
    </xf>
    <xf numFmtId="0" fontId="13" fillId="2" borderId="0" xfId="0" applyFont="1" applyFill="1" applyAlignment="1">
      <alignment vertical="center" wrapText="1"/>
    </xf>
    <xf numFmtId="0" fontId="49" fillId="0" borderId="0" xfId="0" applyFont="1"/>
    <xf numFmtId="0" fontId="49" fillId="0" borderId="17" xfId="0" applyFont="1" applyBorder="1"/>
    <xf numFmtId="0" fontId="49" fillId="0" borderId="18" xfId="0" applyFont="1" applyBorder="1"/>
    <xf numFmtId="0" fontId="49" fillId="3" borderId="0" xfId="0" applyFont="1" applyFill="1"/>
    <xf numFmtId="0" fontId="2" fillId="0" borderId="24" xfId="0" applyFont="1" applyBorder="1" applyAlignment="1">
      <alignment horizontal="left" vertical="top" wrapText="1"/>
    </xf>
    <xf numFmtId="0" fontId="50" fillId="0" borderId="24" xfId="0" applyFont="1" applyBorder="1" applyAlignment="1">
      <alignment horizontal="left" vertical="top"/>
    </xf>
    <xf numFmtId="0" fontId="51" fillId="4" borderId="0" xfId="0" applyFont="1" applyFill="1"/>
    <xf numFmtId="0" fontId="52" fillId="4" borderId="0" xfId="0" applyFont="1" applyFill="1"/>
    <xf numFmtId="0" fontId="53" fillId="4" borderId="0" xfId="0" applyFont="1" applyFill="1" applyAlignment="1">
      <alignment wrapText="1"/>
    </xf>
    <xf numFmtId="0" fontId="30" fillId="0" borderId="24" xfId="0" applyFont="1" applyBorder="1" applyAlignment="1">
      <alignment horizontal="left" vertical="top" wrapText="1"/>
    </xf>
    <xf numFmtId="0" fontId="50" fillId="0" borderId="24" xfId="0" applyFont="1" applyBorder="1" applyAlignment="1">
      <alignment vertical="top"/>
    </xf>
    <xf numFmtId="0" fontId="54" fillId="0" borderId="24" xfId="0" applyFont="1" applyBorder="1" applyAlignment="1">
      <alignment vertical="top"/>
    </xf>
    <xf numFmtId="0" fontId="30" fillId="0" borderId="24" xfId="0" applyFont="1" applyBorder="1" applyAlignment="1">
      <alignment vertical="top" wrapText="1"/>
    </xf>
    <xf numFmtId="0" fontId="4" fillId="0" borderId="24" xfId="0" applyFont="1" applyBorder="1" applyAlignment="1">
      <alignment vertical="top" wrapText="1"/>
    </xf>
    <xf numFmtId="0" fontId="50" fillId="0" borderId="0" xfId="0" applyFont="1" applyAlignment="1">
      <alignment vertical="top"/>
    </xf>
    <xf numFmtId="0" fontId="54" fillId="0" borderId="0" xfId="0" applyFont="1" applyAlignment="1">
      <alignment vertical="top"/>
    </xf>
    <xf numFmtId="0" fontId="4" fillId="0" borderId="0" xfId="0" applyFont="1" applyAlignment="1">
      <alignment vertical="top" wrapText="1"/>
    </xf>
    <xf numFmtId="173" fontId="23" fillId="2" borderId="0" xfId="1" applyNumberFormat="1" applyFont="1" applyFill="1" applyBorder="1" applyAlignment="1">
      <alignment horizontal="center" vertical="center"/>
    </xf>
    <xf numFmtId="173" fontId="23" fillId="2" borderId="0" xfId="1" applyNumberFormat="1" applyFont="1" applyFill="1" applyBorder="1" applyAlignment="1"/>
    <xf numFmtId="0" fontId="1" fillId="2" borderId="22" xfId="0" applyFont="1" applyFill="1" applyBorder="1" applyAlignment="1">
      <alignment vertical="center"/>
    </xf>
    <xf numFmtId="0" fontId="2" fillId="0" borderId="24" xfId="0" applyFont="1" applyBorder="1" applyAlignment="1">
      <alignment vertical="top" wrapText="1"/>
    </xf>
    <xf numFmtId="0" fontId="50" fillId="0" borderId="27" xfId="0" applyFont="1" applyBorder="1" applyAlignment="1">
      <alignment vertical="top"/>
    </xf>
    <xf numFmtId="0" fontId="54" fillId="0" borderId="27" xfId="0" applyFont="1" applyBorder="1" applyAlignment="1">
      <alignment vertical="top"/>
    </xf>
    <xf numFmtId="0" fontId="4" fillId="0" borderId="27" xfId="0" applyFont="1" applyBorder="1" applyAlignment="1">
      <alignment vertical="top" wrapText="1"/>
    </xf>
    <xf numFmtId="0" fontId="54" fillId="0" borderId="12" xfId="0" applyFont="1" applyBorder="1" applyAlignment="1">
      <alignment vertical="top"/>
    </xf>
    <xf numFmtId="0" fontId="4" fillId="0" borderId="12" xfId="0" applyFont="1" applyBorder="1" applyAlignment="1">
      <alignment vertical="top" wrapText="1"/>
    </xf>
    <xf numFmtId="0" fontId="0" fillId="0" borderId="0" xfId="0" applyAlignment="1">
      <alignment wrapText="1"/>
    </xf>
    <xf numFmtId="0" fontId="13" fillId="2" borderId="0" xfId="0" quotePrefix="1" applyFont="1" applyFill="1" applyAlignment="1">
      <alignment vertical="center" wrapText="1"/>
    </xf>
    <xf numFmtId="0" fontId="1" fillId="2" borderId="0" xfId="0" applyFont="1" applyFill="1" applyAlignment="1">
      <alignment vertical="center"/>
    </xf>
    <xf numFmtId="168" fontId="1" fillId="2" borderId="0" xfId="0" applyNumberFormat="1" applyFont="1" applyFill="1" applyAlignment="1">
      <alignment vertical="center"/>
    </xf>
    <xf numFmtId="0" fontId="55" fillId="3" borderId="0" xfId="0" applyFont="1" applyFill="1"/>
    <xf numFmtId="2" fontId="55" fillId="3" borderId="0" xfId="0" applyNumberFormat="1" applyFont="1" applyFill="1"/>
    <xf numFmtId="49" fontId="13" fillId="2" borderId="0" xfId="0" applyNumberFormat="1" applyFont="1" applyFill="1" applyAlignment="1">
      <alignment vertical="center" wrapText="1"/>
    </xf>
    <xf numFmtId="0" fontId="2" fillId="3" borderId="0" xfId="0" applyFont="1" applyFill="1" applyAlignment="1">
      <alignment vertical="center"/>
    </xf>
    <xf numFmtId="0" fontId="30" fillId="0" borderId="12" xfId="0" applyFont="1" applyBorder="1" applyAlignment="1">
      <alignment vertical="top" wrapText="1"/>
    </xf>
    <xf numFmtId="9" fontId="22" fillId="2" borderId="0" xfId="4" applyFont="1" applyFill="1" applyBorder="1" applyAlignment="1">
      <alignment vertical="center"/>
    </xf>
    <xf numFmtId="0" fontId="30" fillId="2" borderId="0" xfId="0" applyFont="1" applyFill="1" applyAlignment="1">
      <alignment vertical="center" wrapText="1"/>
    </xf>
    <xf numFmtId="9" fontId="23" fillId="2" borderId="0" xfId="4" applyFont="1" applyFill="1" applyBorder="1" applyAlignment="1">
      <alignment vertical="center"/>
    </xf>
    <xf numFmtId="168" fontId="23" fillId="2" borderId="27" xfId="0" applyNumberFormat="1" applyFont="1" applyFill="1" applyBorder="1" applyAlignment="1">
      <alignment vertical="center"/>
    </xf>
    <xf numFmtId="168" fontId="22" fillId="2" borderId="27" xfId="0" applyNumberFormat="1" applyFont="1" applyFill="1" applyBorder="1" applyAlignment="1">
      <alignment horizontal="center" vertical="center"/>
    </xf>
    <xf numFmtId="165" fontId="23" fillId="2" borderId="27" xfId="0" applyNumberFormat="1" applyFont="1" applyFill="1" applyBorder="1" applyAlignment="1">
      <alignment vertical="center"/>
    </xf>
    <xf numFmtId="0" fontId="23" fillId="2" borderId="27" xfId="0" applyFont="1" applyFill="1" applyBorder="1" applyAlignment="1">
      <alignment horizontal="left" vertical="center" wrapText="1"/>
    </xf>
    <xf numFmtId="0" fontId="23" fillId="2" borderId="27" xfId="0" applyFont="1" applyFill="1" applyBorder="1" applyAlignment="1">
      <alignment vertical="center" wrapText="1"/>
    </xf>
    <xf numFmtId="0" fontId="23" fillId="2" borderId="8" xfId="0" applyFont="1" applyFill="1" applyBorder="1" applyAlignment="1">
      <alignment vertical="center" wrapText="1"/>
    </xf>
    <xf numFmtId="0" fontId="4" fillId="2" borderId="24" xfId="0" applyFont="1" applyFill="1" applyBorder="1" applyAlignment="1">
      <alignment vertical="top" wrapText="1"/>
    </xf>
    <xf numFmtId="171" fontId="0" fillId="5" borderId="0" xfId="0" applyNumberFormat="1" applyFill="1" applyAlignment="1" applyProtection="1">
      <alignment horizontal="center" vertical="center"/>
      <protection locked="0"/>
    </xf>
    <xf numFmtId="171" fontId="0" fillId="2" borderId="0" xfId="0" applyNumberFormat="1" applyFill="1" applyAlignment="1">
      <alignment horizontal="center"/>
    </xf>
    <xf numFmtId="168" fontId="23" fillId="2" borderId="0" xfId="1" applyNumberFormat="1" applyFont="1" applyFill="1" applyBorder="1" applyAlignment="1">
      <alignment horizontal="right"/>
    </xf>
    <xf numFmtId="177" fontId="0" fillId="2" borderId="10" xfId="0" applyNumberFormat="1" applyFill="1" applyBorder="1"/>
    <xf numFmtId="0" fontId="2" fillId="2" borderId="0" xfId="0" applyFont="1" applyFill="1" applyAlignment="1">
      <alignment horizontal="left" vertical="center" wrapText="1"/>
    </xf>
    <xf numFmtId="173" fontId="23" fillId="5" borderId="0" xfId="1" applyNumberFormat="1" applyFont="1" applyFill="1" applyBorder="1" applyAlignment="1" applyProtection="1">
      <alignment horizontal="left" vertical="center"/>
      <protection locked="0"/>
    </xf>
    <xf numFmtId="173" fontId="2" fillId="2" borderId="0" xfId="1" applyNumberFormat="1" applyFont="1" applyFill="1" applyBorder="1" applyAlignment="1">
      <alignment vertical="center"/>
    </xf>
    <xf numFmtId="169" fontId="23" fillId="5" borderId="0" xfId="0" applyNumberFormat="1" applyFont="1" applyFill="1" applyAlignment="1" applyProtection="1">
      <alignment vertical="center"/>
      <protection locked="0"/>
    </xf>
    <xf numFmtId="0" fontId="54" fillId="0" borderId="24" xfId="0" applyFont="1" applyBorder="1" applyAlignment="1">
      <alignment vertical="top" wrapText="1"/>
    </xf>
    <xf numFmtId="0" fontId="49" fillId="0" borderId="24" xfId="0" applyFont="1" applyBorder="1" applyAlignment="1">
      <alignment horizontal="left" vertical="top" wrapText="1"/>
    </xf>
    <xf numFmtId="0" fontId="54" fillId="0" borderId="12" xfId="0" applyFont="1" applyBorder="1" applyAlignment="1">
      <alignment vertical="top" wrapText="1"/>
    </xf>
    <xf numFmtId="0" fontId="54" fillId="2" borderId="24" xfId="0" applyFont="1" applyFill="1" applyBorder="1" applyAlignment="1">
      <alignment vertical="top" wrapText="1"/>
    </xf>
    <xf numFmtId="176" fontId="4" fillId="2" borderId="0" xfId="0" applyNumberFormat="1" applyFont="1" applyFill="1" applyAlignment="1">
      <alignment horizontal="center" vertical="center"/>
    </xf>
    <xf numFmtId="176" fontId="4" fillId="2" borderId="0" xfId="0" applyNumberFormat="1" applyFont="1" applyFill="1" applyAlignment="1">
      <alignment horizontal="left" vertical="top" indent="15"/>
    </xf>
    <xf numFmtId="0" fontId="1" fillId="2" borderId="22" xfId="0" applyFont="1" applyFill="1" applyBorder="1" applyAlignment="1">
      <alignment horizontal="left" vertical="center"/>
    </xf>
    <xf numFmtId="0" fontId="1" fillId="2" borderId="0" xfId="0" applyFont="1" applyFill="1" applyAlignment="1">
      <alignment horizontal="center" vertical="center"/>
    </xf>
    <xf numFmtId="0" fontId="23" fillId="2" borderId="0" xfId="0" applyFont="1" applyFill="1" applyAlignment="1">
      <alignment horizontal="left" vertical="center" wrapText="1" indent="17"/>
    </xf>
    <xf numFmtId="0" fontId="1" fillId="2" borderId="0" xfId="0" applyFont="1" applyFill="1" applyAlignment="1">
      <alignment horizontal="left" vertical="center" wrapText="1" indent="16"/>
    </xf>
    <xf numFmtId="3" fontId="1" fillId="2" borderId="0" xfId="0" applyNumberFormat="1" applyFont="1" applyFill="1" applyAlignment="1">
      <alignment horizontal="left" vertical="center" wrapText="1" indent="21"/>
    </xf>
    <xf numFmtId="176" fontId="4" fillId="2" borderId="0" xfId="0" applyNumberFormat="1" applyFont="1" applyFill="1" applyAlignment="1">
      <alignment horizontal="left"/>
    </xf>
    <xf numFmtId="0" fontId="13" fillId="0" borderId="24" xfId="0" applyFont="1" applyBorder="1" applyAlignment="1">
      <alignment horizontal="left" vertical="top" wrapText="1"/>
    </xf>
    <xf numFmtId="0" fontId="13" fillId="0" borderId="24" xfId="0" applyFont="1" applyBorder="1" applyAlignment="1">
      <alignment vertical="top"/>
    </xf>
    <xf numFmtId="0" fontId="13" fillId="2" borderId="0" xfId="0" applyFont="1" applyFill="1" applyAlignment="1">
      <alignment vertical="top"/>
    </xf>
    <xf numFmtId="0" fontId="22" fillId="5" borderId="0" xfId="0" applyFont="1" applyFill="1" applyAlignment="1" applyProtection="1">
      <alignment vertical="center"/>
      <protection locked="0"/>
    </xf>
    <xf numFmtId="0" fontId="0" fillId="3" borderId="0" xfId="0" applyFill="1" applyAlignment="1">
      <alignment wrapText="1"/>
    </xf>
    <xf numFmtId="0" fontId="57" fillId="3" borderId="0" xfId="0" applyFont="1" applyFill="1"/>
    <xf numFmtId="2" fontId="57" fillId="3" borderId="0" xfId="0" applyNumberFormat="1" applyFont="1" applyFill="1"/>
    <xf numFmtId="0" fontId="58" fillId="3" borderId="0" xfId="0" applyFont="1" applyFill="1"/>
    <xf numFmtId="2" fontId="58" fillId="3" borderId="0" xfId="0" applyNumberFormat="1" applyFont="1" applyFill="1"/>
    <xf numFmtId="173" fontId="23" fillId="0" borderId="0" xfId="1" applyNumberFormat="1" applyFont="1" applyFill="1" applyBorder="1" applyAlignment="1" applyProtection="1">
      <alignment vertical="center"/>
      <protection locked="0"/>
    </xf>
    <xf numFmtId="0" fontId="1" fillId="0" borderId="0" xfId="0" applyFont="1" applyAlignment="1">
      <alignment vertical="center"/>
    </xf>
    <xf numFmtId="0" fontId="23" fillId="0" borderId="10" xfId="0" quotePrefix="1" applyFont="1" applyBorder="1" applyAlignment="1">
      <alignment vertical="center" wrapText="1"/>
    </xf>
    <xf numFmtId="0" fontId="23" fillId="6" borderId="0" xfId="0" applyFont="1" applyFill="1" applyAlignment="1">
      <alignment vertical="center"/>
    </xf>
    <xf numFmtId="178" fontId="23" fillId="5" borderId="0" xfId="1" applyNumberFormat="1" applyFont="1" applyFill="1" applyBorder="1" applyAlignment="1" applyProtection="1">
      <alignment vertical="center"/>
      <protection locked="0"/>
    </xf>
    <xf numFmtId="0" fontId="1" fillId="5" borderId="0" xfId="0" applyFont="1" applyFill="1" applyAlignment="1" applyProtection="1">
      <alignment vertical="center"/>
      <protection locked="0"/>
    </xf>
    <xf numFmtId="0" fontId="22" fillId="2" borderId="24" xfId="0" applyFont="1" applyFill="1" applyBorder="1" applyAlignment="1">
      <alignment vertical="center"/>
    </xf>
    <xf numFmtId="9" fontId="22" fillId="2" borderId="24" xfId="4" applyFont="1" applyFill="1" applyBorder="1" applyAlignment="1">
      <alignment vertical="center"/>
    </xf>
    <xf numFmtId="0" fontId="11" fillId="4" borderId="23" xfId="0" applyFont="1" applyFill="1" applyBorder="1" applyAlignment="1">
      <alignment vertical="center"/>
    </xf>
    <xf numFmtId="0" fontId="40" fillId="2" borderId="27" xfId="0" applyFont="1" applyFill="1" applyBorder="1" applyAlignment="1">
      <alignment horizontal="center"/>
    </xf>
    <xf numFmtId="0" fontId="40" fillId="2" borderId="8" xfId="0" applyFont="1" applyFill="1" applyBorder="1" applyAlignment="1">
      <alignment horizontal="center"/>
    </xf>
    <xf numFmtId="0" fontId="40" fillId="4" borderId="13" xfId="0" applyFont="1" applyFill="1" applyBorder="1" applyAlignment="1">
      <alignment vertical="center"/>
    </xf>
    <xf numFmtId="43" fontId="23" fillId="3" borderId="0" xfId="0" applyNumberFormat="1" applyFont="1" applyFill="1" applyAlignment="1">
      <alignment vertical="center"/>
    </xf>
    <xf numFmtId="0" fontId="4" fillId="2" borderId="9" xfId="0" applyFont="1" applyFill="1" applyBorder="1" applyAlignment="1">
      <alignment vertical="center"/>
    </xf>
    <xf numFmtId="9" fontId="0" fillId="3" borderId="0" xfId="0" applyNumberFormat="1" applyFill="1"/>
    <xf numFmtId="3" fontId="0" fillId="3" borderId="0" xfId="0" applyNumberFormat="1" applyFill="1"/>
    <xf numFmtId="3" fontId="23" fillId="7" borderId="0" xfId="0" applyNumberFormat="1" applyFont="1" applyFill="1"/>
    <xf numFmtId="175" fontId="0" fillId="6" borderId="0" xfId="0" applyNumberFormat="1" applyFill="1"/>
    <xf numFmtId="174" fontId="2" fillId="2" borderId="9" xfId="1" applyNumberFormat="1" applyFont="1" applyFill="1" applyBorder="1"/>
    <xf numFmtId="43" fontId="2" fillId="2" borderId="0" xfId="1" applyFont="1" applyFill="1" applyBorder="1"/>
    <xf numFmtId="174" fontId="23" fillId="6" borderId="9" xfId="1" applyNumberFormat="1" applyFont="1" applyFill="1" applyBorder="1"/>
    <xf numFmtId="0" fontId="0" fillId="6" borderId="0" xfId="0" applyFill="1"/>
    <xf numFmtId="43" fontId="23" fillId="6" borderId="0" xfId="1" applyFont="1" applyFill="1" applyBorder="1"/>
    <xf numFmtId="43" fontId="23" fillId="6" borderId="9" xfId="1" applyFont="1" applyFill="1" applyBorder="1"/>
    <xf numFmtId="173" fontId="2" fillId="2" borderId="0" xfId="1" applyNumberFormat="1" applyFont="1" applyFill="1" applyBorder="1" applyAlignment="1"/>
    <xf numFmtId="168" fontId="1" fillId="2" borderId="0" xfId="0" applyNumberFormat="1" applyFont="1" applyFill="1" applyAlignment="1">
      <alignment horizontal="center" vertical="center"/>
    </xf>
    <xf numFmtId="0" fontId="1" fillId="2" borderId="0" xfId="0" applyFont="1" applyFill="1" applyAlignment="1">
      <alignment horizontal="left" vertical="center" wrapText="1" indent="4"/>
    </xf>
    <xf numFmtId="0" fontId="23" fillId="0" borderId="0" xfId="0" applyFont="1" applyAlignment="1">
      <alignment horizontal="center" vertical="center"/>
    </xf>
    <xf numFmtId="0" fontId="42" fillId="2" borderId="0" xfId="0" applyFont="1" applyFill="1" applyAlignment="1">
      <alignment vertical="center" wrapText="1"/>
    </xf>
    <xf numFmtId="179" fontId="4" fillId="2" borderId="0" xfId="0" applyNumberFormat="1" applyFont="1" applyFill="1" applyAlignment="1">
      <alignment horizontal="left" vertical="top"/>
    </xf>
    <xf numFmtId="179" fontId="1" fillId="2" borderId="0" xfId="0" applyNumberFormat="1" applyFont="1" applyFill="1"/>
    <xf numFmtId="179" fontId="4" fillId="2" borderId="0" xfId="0" applyNumberFormat="1" applyFont="1" applyFill="1" applyAlignment="1">
      <alignment horizontal="left" indent="2"/>
    </xf>
    <xf numFmtId="0" fontId="2" fillId="2" borderId="0" xfId="0" applyFont="1" applyFill="1" applyAlignment="1">
      <alignment vertical="center"/>
    </xf>
    <xf numFmtId="0" fontId="2" fillId="2" borderId="10" xfId="0" applyFont="1" applyFill="1" applyBorder="1" applyAlignment="1">
      <alignment vertical="center" wrapText="1"/>
    </xf>
    <xf numFmtId="0" fontId="2" fillId="2" borderId="18" xfId="0" applyFont="1" applyFill="1" applyBorder="1" applyAlignment="1">
      <alignment vertical="center"/>
    </xf>
    <xf numFmtId="0" fontId="30" fillId="0" borderId="24" xfId="0" applyFont="1" applyBorder="1" applyAlignment="1">
      <alignment vertical="top"/>
    </xf>
    <xf numFmtId="0" fontId="30" fillId="0" borderId="12" xfId="0" applyFont="1" applyBorder="1" applyAlignment="1">
      <alignment vertical="top"/>
    </xf>
    <xf numFmtId="0" fontId="30" fillId="0" borderId="27" xfId="0" applyFont="1" applyBorder="1" applyAlignment="1">
      <alignment vertical="top"/>
    </xf>
    <xf numFmtId="0" fontId="13" fillId="0" borderId="27" xfId="0" applyFont="1" applyBorder="1" applyAlignment="1">
      <alignment vertical="top"/>
    </xf>
    <xf numFmtId="0" fontId="52" fillId="4" borderId="0" xfId="0" applyFont="1" applyFill="1" applyAlignment="1">
      <alignment wrapText="1"/>
    </xf>
    <xf numFmtId="0" fontId="30" fillId="0" borderId="0" xfId="0" applyFont="1" applyAlignment="1">
      <alignment vertical="top"/>
    </xf>
    <xf numFmtId="0" fontId="13" fillId="0" borderId="0" xfId="0" applyFont="1" applyAlignment="1">
      <alignment vertical="top"/>
    </xf>
    <xf numFmtId="0" fontId="30" fillId="2" borderId="24" xfId="0" applyFont="1" applyFill="1" applyBorder="1" applyAlignment="1">
      <alignment vertical="top" wrapText="1"/>
    </xf>
    <xf numFmtId="0" fontId="13" fillId="2" borderId="24" xfId="0" applyFont="1" applyFill="1" applyBorder="1" applyAlignment="1">
      <alignment vertical="top"/>
    </xf>
    <xf numFmtId="0" fontId="2" fillId="3" borderId="0" xfId="0" applyFont="1" applyFill="1"/>
    <xf numFmtId="0" fontId="2" fillId="0" borderId="0" xfId="0" applyFont="1"/>
    <xf numFmtId="0" fontId="2" fillId="0" borderId="18" xfId="0" applyFont="1" applyBorder="1"/>
    <xf numFmtId="0" fontId="2" fillId="0" borderId="17" xfId="0" applyFont="1" applyBorder="1"/>
    <xf numFmtId="0" fontId="13" fillId="0" borderId="24" xfId="0" applyFont="1" applyBorder="1" applyAlignment="1">
      <alignment horizontal="left" vertical="top"/>
    </xf>
    <xf numFmtId="0" fontId="1" fillId="3" borderId="0" xfId="0" applyFont="1" applyFill="1" applyAlignment="1">
      <alignment vertical="center"/>
    </xf>
    <xf numFmtId="0" fontId="1" fillId="2" borderId="18" xfId="0" applyFont="1" applyFill="1" applyBorder="1" applyAlignment="1">
      <alignment vertical="center"/>
    </xf>
    <xf numFmtId="0" fontId="2" fillId="2" borderId="16" xfId="0" applyFont="1" applyFill="1" applyBorder="1" applyAlignment="1">
      <alignment vertical="center"/>
    </xf>
    <xf numFmtId="0" fontId="1" fillId="2" borderId="15" xfId="0" applyFont="1" applyFill="1" applyBorder="1" applyAlignment="1">
      <alignment horizontal="center" vertical="center"/>
    </xf>
    <xf numFmtId="0" fontId="2" fillId="2" borderId="15" xfId="0" applyFont="1" applyFill="1" applyBorder="1" applyAlignment="1">
      <alignment vertical="center"/>
    </xf>
    <xf numFmtId="0" fontId="4" fillId="2" borderId="9" xfId="0" applyFont="1" applyFill="1" applyBorder="1" applyAlignment="1">
      <alignment vertical="center" wrapText="1"/>
    </xf>
    <xf numFmtId="14" fontId="1" fillId="5" borderId="0" xfId="0" applyNumberFormat="1" applyFont="1" applyFill="1" applyAlignment="1" applyProtection="1">
      <alignment vertical="center"/>
      <protection locked="0"/>
    </xf>
    <xf numFmtId="179" fontId="4" fillId="2" borderId="0" xfId="0" applyNumberFormat="1" applyFont="1" applyFill="1" applyAlignment="1">
      <alignment horizontal="left"/>
    </xf>
    <xf numFmtId="180" fontId="4" fillId="2" borderId="0" xfId="0" applyNumberFormat="1" applyFont="1" applyFill="1" applyAlignment="1">
      <alignment horizontal="left" vertical="center"/>
    </xf>
    <xf numFmtId="2" fontId="1" fillId="0" borderId="0" xfId="0" applyNumberFormat="1" applyFont="1" applyAlignment="1">
      <alignment horizontal="left" indent="7"/>
    </xf>
    <xf numFmtId="176" fontId="1" fillId="2" borderId="0" xfId="0" applyNumberFormat="1" applyFont="1" applyFill="1" applyAlignment="1">
      <alignment horizontal="left" vertical="top" wrapText="1" indent="12"/>
    </xf>
    <xf numFmtId="179" fontId="4" fillId="2" borderId="0" xfId="0" applyNumberFormat="1" applyFont="1" applyFill="1" applyAlignment="1">
      <alignment horizontal="right"/>
    </xf>
    <xf numFmtId="0" fontId="1" fillId="2" borderId="0" xfId="0" applyFont="1" applyFill="1" applyAlignment="1">
      <alignment horizontal="center" vertical="center" wrapText="1"/>
    </xf>
    <xf numFmtId="0" fontId="1" fillId="2" borderId="10" xfId="0" applyFont="1" applyFill="1" applyBorder="1" applyAlignment="1">
      <alignment horizontal="center" vertical="center" wrapText="1"/>
    </xf>
    <xf numFmtId="3" fontId="0" fillId="2" borderId="10" xfId="0" applyNumberFormat="1" applyFill="1" applyBorder="1" applyAlignment="1">
      <alignment horizontal="right"/>
    </xf>
    <xf numFmtId="3" fontId="58" fillId="2" borderId="10" xfId="0" applyNumberFormat="1" applyFont="1" applyFill="1" applyBorder="1" applyAlignment="1">
      <alignment horizontal="right"/>
    </xf>
    <xf numFmtId="166" fontId="23" fillId="3" borderId="0" xfId="0" applyNumberFormat="1" applyFont="1" applyFill="1"/>
    <xf numFmtId="9" fontId="2" fillId="5" borderId="0" xfId="0" applyNumberFormat="1" applyFont="1" applyFill="1" applyAlignment="1" applyProtection="1">
      <alignment vertical="center"/>
      <protection locked="0"/>
    </xf>
    <xf numFmtId="0" fontId="4" fillId="2" borderId="22" xfId="0" applyFont="1" applyFill="1" applyBorder="1" applyAlignment="1">
      <alignment vertical="center"/>
    </xf>
    <xf numFmtId="0" fontId="13" fillId="2" borderId="26" xfId="0" applyFont="1" applyFill="1" applyBorder="1" applyAlignment="1">
      <alignment horizontal="left" vertical="center" wrapText="1"/>
    </xf>
    <xf numFmtId="0" fontId="4" fillId="2" borderId="0" xfId="0" applyFont="1" applyFill="1" applyAlignment="1">
      <alignment vertical="center"/>
    </xf>
    <xf numFmtId="0" fontId="4" fillId="2" borderId="0" xfId="0" applyFont="1" applyFill="1" applyAlignment="1">
      <alignment horizontal="center" vertical="center"/>
    </xf>
    <xf numFmtId="0" fontId="13" fillId="2" borderId="0" xfId="0" applyFont="1" applyFill="1" applyAlignment="1">
      <alignment horizontal="left" vertical="center" wrapText="1"/>
    </xf>
    <xf numFmtId="168" fontId="23" fillId="5" borderId="0" xfId="0" applyNumberFormat="1" applyFont="1" applyFill="1" applyAlignment="1" applyProtection="1">
      <alignment vertical="center"/>
      <protection locked="0"/>
    </xf>
    <xf numFmtId="168" fontId="30" fillId="2" borderId="0" xfId="4" applyNumberFormat="1" applyFont="1" applyFill="1" applyBorder="1" applyAlignment="1">
      <alignment horizontal="center" vertical="center"/>
    </xf>
    <xf numFmtId="0" fontId="1" fillId="2" borderId="9" xfId="0" applyFont="1" applyFill="1" applyBorder="1"/>
    <xf numFmtId="0" fontId="1" fillId="2" borderId="0" xfId="0" applyFont="1" applyFill="1"/>
    <xf numFmtId="3" fontId="23" fillId="3" borderId="0" xfId="0" applyNumberFormat="1" applyFont="1" applyFill="1"/>
    <xf numFmtId="0" fontId="2" fillId="3" borderId="0" xfId="0" applyFont="1" applyFill="1" applyAlignment="1">
      <alignment vertical="center" wrapText="1"/>
    </xf>
    <xf numFmtId="166" fontId="58" fillId="2" borderId="0" xfId="1" applyNumberFormat="1" applyFont="1" applyFill="1" applyBorder="1" applyAlignment="1">
      <alignment horizontal="right"/>
    </xf>
    <xf numFmtId="0" fontId="11" fillId="4" borderId="24" xfId="0" applyFont="1" applyFill="1" applyBorder="1" applyAlignment="1">
      <alignment vertical="center"/>
    </xf>
    <xf numFmtId="179" fontId="4" fillId="2" borderId="0" xfId="0" applyNumberFormat="1" applyFont="1" applyFill="1" applyAlignment="1">
      <alignment horizontal="left" vertical="center" indent="5"/>
    </xf>
    <xf numFmtId="181" fontId="23" fillId="3" borderId="0" xfId="0" applyNumberFormat="1" applyFont="1" applyFill="1"/>
    <xf numFmtId="0" fontId="45" fillId="2" borderId="15" xfId="0" applyFont="1" applyFill="1" applyBorder="1" applyAlignment="1">
      <alignment vertical="top" wrapText="1"/>
    </xf>
    <xf numFmtId="0" fontId="0" fillId="0" borderId="15" xfId="0" applyBorder="1" applyAlignment="1">
      <alignment wrapText="1"/>
    </xf>
    <xf numFmtId="0" fontId="2" fillId="0" borderId="0" xfId="0" applyFont="1" applyAlignment="1">
      <alignment vertical="top" wrapText="1"/>
    </xf>
    <xf numFmtId="0" fontId="23" fillId="0" borderId="0" xfId="0" applyFont="1" applyAlignment="1">
      <alignment vertical="top" wrapText="1"/>
    </xf>
    <xf numFmtId="0" fontId="2" fillId="0" borderId="0" xfId="0" applyFont="1" applyAlignment="1">
      <alignment horizontal="left" vertical="top" wrapText="1"/>
    </xf>
    <xf numFmtId="0" fontId="45" fillId="2" borderId="0" xfId="0" applyFont="1" applyFill="1" applyAlignment="1">
      <alignment horizontal="left" vertical="top" wrapText="1"/>
    </xf>
    <xf numFmtId="0" fontId="1" fillId="5" borderId="0" xfId="0" applyFont="1" applyFill="1" applyAlignment="1" applyProtection="1">
      <alignment vertical="center"/>
      <protection locked="0"/>
    </xf>
    <xf numFmtId="0" fontId="45" fillId="2" borderId="41" xfId="0" applyFont="1" applyFill="1" applyBorder="1" applyAlignment="1">
      <alignment horizontal="left" vertical="top" wrapText="1"/>
    </xf>
    <xf numFmtId="0" fontId="47" fillId="2" borderId="0" xfId="0" applyFont="1" applyFill="1" applyAlignment="1">
      <alignment horizontal="left" vertical="top" wrapText="1"/>
    </xf>
    <xf numFmtId="0" fontId="45" fillId="2" borderId="12" xfId="0" applyFont="1" applyFill="1" applyBorder="1" applyAlignment="1">
      <alignment horizontal="left" vertical="top" wrapText="1"/>
    </xf>
    <xf numFmtId="0" fontId="22" fillId="5" borderId="0" xfId="0" applyFont="1" applyFill="1" applyAlignment="1" applyProtection="1">
      <alignment vertical="center"/>
      <protection locked="0"/>
    </xf>
    <xf numFmtId="173" fontId="23" fillId="5" borderId="0" xfId="1" applyNumberFormat="1" applyFont="1" applyFill="1" applyBorder="1" applyAlignment="1" applyProtection="1">
      <alignment horizontal="center" vertical="center"/>
      <protection locked="0"/>
    </xf>
    <xf numFmtId="0" fontId="45" fillId="2" borderId="2" xfId="0" applyFont="1" applyFill="1" applyBorder="1" applyAlignment="1">
      <alignment vertical="top" wrapText="1"/>
    </xf>
    <xf numFmtId="0" fontId="0" fillId="0" borderId="2" xfId="0" applyBorder="1" applyAlignment="1">
      <alignment wrapText="1"/>
    </xf>
    <xf numFmtId="0" fontId="33" fillId="3" borderId="31" xfId="0" applyFont="1" applyFill="1" applyBorder="1" applyAlignment="1">
      <alignment horizontal="center"/>
    </xf>
    <xf numFmtId="0" fontId="0" fillId="3" borderId="0" xfId="0" applyFill="1" applyAlignment="1">
      <alignment horizontal="center" wrapText="1"/>
    </xf>
  </cellXfs>
  <cellStyles count="5">
    <cellStyle name="Hiperligação" xfId="3" builtinId="8"/>
    <cellStyle name="Moeda" xfId="2" builtinId="4"/>
    <cellStyle name="Normal" xfId="0" builtinId="0"/>
    <cellStyle name="Percentagem" xfId="4" builtinId="5"/>
    <cellStyle name="Vírgula" xfId="1" builtinId="3"/>
  </cellStyles>
  <dxfs count="9">
    <dxf>
      <font>
        <color rgb="FFFF0000"/>
      </font>
    </dxf>
    <dxf>
      <font>
        <color rgb="FFFF0000"/>
      </font>
    </dxf>
    <dxf>
      <font>
        <color rgb="FFFF0000"/>
      </font>
    </dxf>
    <dxf>
      <font>
        <color rgb="FFFF0000"/>
      </font>
    </dxf>
    <dxf>
      <font>
        <color rgb="FFFF0000"/>
      </font>
    </dxf>
    <dxf>
      <numFmt numFmtId="182" formatCode="General\ &quot;m&quot;"/>
    </dxf>
    <dxf>
      <font>
        <color theme="0"/>
      </font>
      <fill>
        <patternFill patternType="solid">
          <bgColor theme="0"/>
        </patternFill>
      </fill>
      <border>
        <left/>
        <right/>
        <top/>
        <bottom/>
      </border>
    </dxf>
    <dxf>
      <numFmt numFmtId="182" formatCode="General\ &quot;m&quot;"/>
    </dxf>
    <dxf>
      <font>
        <color theme="0"/>
      </font>
      <fill>
        <patternFill patternType="solid">
          <bgColor theme="0"/>
        </patternFill>
      </fill>
      <border>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n-IE"/>
              <a:t>Efficiency: Actual vs Best Practice</a:t>
            </a:r>
          </a:p>
        </c:rich>
      </c:tx>
      <c:overlay val="0"/>
      <c:spPr>
        <a:noFill/>
        <a:ln w="25400">
          <a:noFill/>
        </a:ln>
      </c:spPr>
    </c:title>
    <c:autoTitleDeleted val="0"/>
    <c:plotArea>
      <c:layout>
        <c:manualLayout>
          <c:layoutTarget val="inner"/>
          <c:xMode val="edge"/>
          <c:yMode val="edge"/>
          <c:x val="0.16908252444360519"/>
          <c:y val="0.14367856411234992"/>
          <c:w val="0.78502600634531261"/>
          <c:h val="0.58620854157838753"/>
        </c:manualLayout>
      </c:layout>
      <c:barChart>
        <c:barDir val="col"/>
        <c:grouping val="clustered"/>
        <c:varyColors val="0"/>
        <c:ser>
          <c:idx val="0"/>
          <c:order val="0"/>
          <c:tx>
            <c:strRef>
              <c:f>Summary!$E$14</c:f>
              <c:strCache>
                <c:ptCount val="1"/>
                <c:pt idx="0">
                  <c:v>Actual</c:v>
                </c:pt>
              </c:strCache>
            </c:strRef>
          </c:tx>
          <c:invertIfNegative val="0"/>
          <c:dLbls>
            <c:dLbl>
              <c:idx val="0"/>
              <c:layout>
                <c:manualLayout>
                  <c:x val="1.9791537993868711E-2"/>
                  <c:y val="-5.336636869518256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628-4419-9422-5452CD8A3D47}"/>
                </c:ext>
              </c:extLst>
            </c:dLbl>
            <c:spPr>
              <a:noFill/>
              <a:ln w="25400">
                <a:noFill/>
              </a:ln>
            </c:spPr>
            <c:txPr>
              <a:bodyPr/>
              <a:lstStyle/>
              <a:p>
                <a:pPr>
                  <a:defRPr sz="1000" b="0" i="0" u="none" strike="noStrike" baseline="0">
                    <a:solidFill>
                      <a:srgbClr val="000000"/>
                    </a:solidFill>
                    <a:latin typeface="Calibri"/>
                    <a:ea typeface="Calibri"/>
                    <a:cs typeface="Calibri"/>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Summary!$C$16:$C$24</c:f>
              <c:strCache>
                <c:ptCount val="9"/>
                <c:pt idx="0">
                  <c:v>Motor Efficiency</c:v>
                </c:pt>
                <c:pt idx="2">
                  <c:v>Drive Efficiency</c:v>
                </c:pt>
                <c:pt idx="4">
                  <c:v>Pump Hydraulic Efficiency</c:v>
                </c:pt>
                <c:pt idx="6">
                  <c:v>"Piping" Efficiency</c:v>
                </c:pt>
                <c:pt idx="8">
                  <c:v>Overall System Efficiency</c:v>
                </c:pt>
              </c:strCache>
            </c:strRef>
          </c:cat>
          <c:val>
            <c:numRef>
              <c:f>Summary!$E$16:$E$24</c:f>
              <c:numCache>
                <c:formatCode>0%</c:formatCode>
                <c:ptCount val="9"/>
                <c:pt idx="0">
                  <c:v>0</c:v>
                </c:pt>
                <c:pt idx="2">
                  <c:v>0</c:v>
                </c:pt>
                <c:pt idx="4">
                  <c:v>0</c:v>
                </c:pt>
                <c:pt idx="6">
                  <c:v>0</c:v>
                </c:pt>
                <c:pt idx="8">
                  <c:v>0</c:v>
                </c:pt>
              </c:numCache>
            </c:numRef>
          </c:val>
          <c:extLst>
            <c:ext xmlns:c16="http://schemas.microsoft.com/office/drawing/2014/chart" uri="{C3380CC4-5D6E-409C-BE32-E72D297353CC}">
              <c16:uniqueId val="{00000001-5628-4419-9422-5452CD8A3D47}"/>
            </c:ext>
          </c:extLst>
        </c:ser>
        <c:ser>
          <c:idx val="1"/>
          <c:order val="1"/>
          <c:tx>
            <c:strRef>
              <c:f>Summary!$F$14</c:f>
              <c:strCache>
                <c:ptCount val="1"/>
                <c:pt idx="0">
                  <c:v>Best Practice</c:v>
                </c:pt>
              </c:strCache>
            </c:strRef>
          </c:tx>
          <c:invertIfNegative val="0"/>
          <c:dLbls>
            <c:dLbl>
              <c:idx val="0"/>
              <c:layout>
                <c:manualLayout>
                  <c:x val="2.2127557974529092E-2"/>
                  <c:y val="-5.336636869518256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628-4419-9422-5452CD8A3D47}"/>
                </c:ext>
              </c:extLst>
            </c:dLbl>
            <c:dLbl>
              <c:idx val="6"/>
              <c:layout>
                <c:manualLayout>
                  <c:x val="1.8331808240015072E-2"/>
                  <c:y val="-2.46306558727130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628-4419-9422-5452CD8A3D47}"/>
                </c:ext>
              </c:extLst>
            </c:dLbl>
            <c:spPr>
              <a:noFill/>
              <a:ln w="25400">
                <a:noFill/>
              </a:ln>
            </c:spPr>
            <c:txPr>
              <a:bodyPr/>
              <a:lstStyle/>
              <a:p>
                <a:pPr>
                  <a:defRPr sz="1000" b="0" i="0" u="none" strike="noStrike" baseline="0">
                    <a:solidFill>
                      <a:srgbClr val="000000"/>
                    </a:solidFill>
                    <a:latin typeface="Calibri"/>
                    <a:ea typeface="Calibri"/>
                    <a:cs typeface="Calibri"/>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Summary!$C$16:$C$24</c:f>
              <c:strCache>
                <c:ptCount val="9"/>
                <c:pt idx="0">
                  <c:v>Motor Efficiency</c:v>
                </c:pt>
                <c:pt idx="2">
                  <c:v>Drive Efficiency</c:v>
                </c:pt>
                <c:pt idx="4">
                  <c:v>Pump Hydraulic Efficiency</c:v>
                </c:pt>
                <c:pt idx="6">
                  <c:v>"Piping" Efficiency</c:v>
                </c:pt>
                <c:pt idx="8">
                  <c:v>Overall System Efficiency</c:v>
                </c:pt>
              </c:strCache>
            </c:strRef>
          </c:cat>
          <c:val>
            <c:numRef>
              <c:f>Summary!$F$16:$F$24</c:f>
              <c:numCache>
                <c:formatCode>0%</c:formatCode>
                <c:ptCount val="9"/>
                <c:pt idx="0">
                  <c:v>0</c:v>
                </c:pt>
                <c:pt idx="2" formatCode="0.0%">
                  <c:v>0</c:v>
                </c:pt>
                <c:pt idx="4">
                  <c:v>0</c:v>
                </c:pt>
                <c:pt idx="6">
                  <c:v>0</c:v>
                </c:pt>
                <c:pt idx="8">
                  <c:v>0</c:v>
                </c:pt>
              </c:numCache>
            </c:numRef>
          </c:val>
          <c:extLst>
            <c:ext xmlns:c16="http://schemas.microsoft.com/office/drawing/2014/chart" uri="{C3380CC4-5D6E-409C-BE32-E72D297353CC}">
              <c16:uniqueId val="{00000004-5628-4419-9422-5452CD8A3D47}"/>
            </c:ext>
          </c:extLst>
        </c:ser>
        <c:dLbls>
          <c:showLegendKey val="0"/>
          <c:showVal val="1"/>
          <c:showCatName val="0"/>
          <c:showSerName val="0"/>
          <c:showPercent val="0"/>
          <c:showBubbleSize val="0"/>
        </c:dLbls>
        <c:gapWidth val="0"/>
        <c:overlap val="-17"/>
        <c:axId val="192091648"/>
        <c:axId val="192093184"/>
      </c:barChart>
      <c:catAx>
        <c:axId val="192091648"/>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pt-PT"/>
          </a:p>
        </c:txPr>
        <c:crossAx val="192093184"/>
        <c:crosses val="autoZero"/>
        <c:auto val="1"/>
        <c:lblAlgn val="ctr"/>
        <c:lblOffset val="100"/>
        <c:noMultiLvlLbl val="0"/>
      </c:catAx>
      <c:valAx>
        <c:axId val="192093184"/>
        <c:scaling>
          <c:orientation val="minMax"/>
          <c:max val="1"/>
        </c:scaling>
        <c:delete val="0"/>
        <c:axPos val="l"/>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pt-PT"/>
          </a:p>
        </c:txPr>
        <c:crossAx val="192091648"/>
        <c:crosses val="autoZero"/>
        <c:crossBetween val="between"/>
      </c:valAx>
    </c:plotArea>
    <c:legend>
      <c:legendPos val="r"/>
      <c:layout>
        <c:manualLayout>
          <c:xMode val="edge"/>
          <c:yMode val="edge"/>
          <c:x val="0.28260930090920988"/>
          <c:y val="0.90517499011253733"/>
          <c:w val="0.38647438407215912"/>
          <c:h val="6.8965735447452672E-2"/>
        </c:manualLayout>
      </c:layout>
      <c:overlay val="0"/>
      <c:txPr>
        <a:bodyPr/>
        <a:lstStyle/>
        <a:p>
          <a:pPr>
            <a:defRPr sz="845" b="0" i="0" u="none" strike="noStrike" baseline="0">
              <a:solidFill>
                <a:srgbClr val="000000"/>
              </a:solidFill>
              <a:latin typeface="Calibri"/>
              <a:ea typeface="Calibri"/>
              <a:cs typeface="Calibri"/>
            </a:defRPr>
          </a:pPr>
          <a:endParaRPr lang="pt-PT"/>
        </a:p>
      </c:txPr>
    </c:legend>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pt-PT"/>
    </a:p>
  </c:txPr>
  <c:printSettings>
    <c:headerFooter/>
    <c:pageMargins b="0.75000000000000488" l="0.70000000000000062" r="0.70000000000000062" t="0.75000000000000488"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n-IE"/>
              <a:t>Electrical Energy Breakdown</a:t>
            </a:r>
          </a:p>
        </c:rich>
      </c:tx>
      <c:layout>
        <c:manualLayout>
          <c:xMode val="edge"/>
          <c:yMode val="edge"/>
          <c:x val="1.7667844522968202E-2"/>
          <c:y val="0.14545481814773217"/>
        </c:manualLayout>
      </c:layout>
      <c:overlay val="0"/>
      <c:spPr>
        <a:noFill/>
        <a:ln w="25400">
          <a:noFill/>
        </a:ln>
      </c:spPr>
    </c:title>
    <c:autoTitleDeleted val="0"/>
    <c:plotArea>
      <c:layout>
        <c:manualLayout>
          <c:layoutTarget val="inner"/>
          <c:xMode val="edge"/>
          <c:yMode val="edge"/>
          <c:x val="0.13622291021671817"/>
          <c:y val="0.37500000000000105"/>
          <c:w val="0.37770897832817463"/>
          <c:h val="0.33152173913043637"/>
        </c:manualLayout>
      </c:layout>
      <c:pieChart>
        <c:varyColors val="1"/>
        <c:ser>
          <c:idx val="0"/>
          <c:order val="0"/>
          <c:dLbls>
            <c:spPr>
              <a:noFill/>
              <a:ln w="25400">
                <a:noFill/>
              </a:ln>
            </c:spPr>
            <c:txPr>
              <a:bodyPr/>
              <a:lstStyle/>
              <a:p>
                <a:pPr>
                  <a:defRPr sz="1000" b="0" i="0" u="none" strike="noStrike" baseline="0">
                    <a:solidFill>
                      <a:srgbClr val="000000"/>
                    </a:solidFill>
                    <a:latin typeface="Calibri"/>
                    <a:ea typeface="Calibri"/>
                    <a:cs typeface="Calibri"/>
                  </a:defRPr>
                </a:pPr>
                <a:endParaRPr lang="pt-PT"/>
              </a:p>
            </c:txPr>
            <c:showLegendKey val="0"/>
            <c:showVal val="0"/>
            <c:showCatName val="0"/>
            <c:showSerName val="0"/>
            <c:showPercent val="1"/>
            <c:showBubbleSize val="0"/>
            <c:showLeaderLines val="1"/>
            <c:extLst>
              <c:ext xmlns:c15="http://schemas.microsoft.com/office/drawing/2012/chart" uri="{CE6537A1-D6FC-4f65-9D91-7224C49458BB}"/>
            </c:extLst>
          </c:dLbls>
          <c:cat>
            <c:strRef>
              <c:f>'Fixed Data'!$N$2:$N$5</c:f>
              <c:strCache>
                <c:ptCount val="4"/>
                <c:pt idx="0">
                  <c:v>Motor Losses</c:v>
                </c:pt>
                <c:pt idx="1">
                  <c:v>Pumping Losses</c:v>
                </c:pt>
                <c:pt idx="2">
                  <c:v>Friction Losses</c:v>
                </c:pt>
                <c:pt idx="3">
                  <c:v>Useful work done</c:v>
                </c:pt>
              </c:strCache>
            </c:strRef>
          </c:cat>
          <c:val>
            <c:numRef>
              <c:f>'Fixed Data'!$O$2:$O$5</c:f>
              <c:numCache>
                <c:formatCode>_-* #\ ##0_-;\-* #\ ##0_-;_-* "-"??_-;_-@_-</c:formatCode>
                <c:ptCount val="4"/>
                <c:pt idx="0">
                  <c:v>0</c:v>
                </c:pt>
                <c:pt idx="1">
                  <c:v>0</c:v>
                </c:pt>
                <c:pt idx="2">
                  <c:v>0</c:v>
                </c:pt>
                <c:pt idx="3">
                  <c:v>0</c:v>
                </c:pt>
              </c:numCache>
            </c:numRef>
          </c:val>
          <c:extLst>
            <c:ext xmlns:c16="http://schemas.microsoft.com/office/drawing/2014/chart" uri="{C3380CC4-5D6E-409C-BE32-E72D297353CC}">
              <c16:uniqueId val="{00000000-AA03-4687-9BE3-F625FF5C1573}"/>
            </c:ext>
          </c:extLst>
        </c:ser>
        <c:dLbls>
          <c:showLegendKey val="0"/>
          <c:showVal val="0"/>
          <c:showCatName val="0"/>
          <c:showSerName val="0"/>
          <c:showPercent val="1"/>
          <c:showBubbleSize val="0"/>
          <c:showLeaderLines val="1"/>
        </c:dLbls>
        <c:firstSliceAng val="0"/>
      </c:pieChart>
      <c:spPr>
        <a:noFill/>
        <a:ln w="25400">
          <a:noFill/>
        </a:ln>
      </c:spPr>
    </c:plotArea>
    <c:legend>
      <c:legendPos val="r"/>
      <c:layout>
        <c:manualLayout>
          <c:xMode val="edge"/>
          <c:yMode val="edge"/>
          <c:x val="4.9535627834507039E-2"/>
          <c:y val="0.83423908375089473"/>
          <c:w val="0.7027862329929605"/>
          <c:h val="0.12500010225994468"/>
        </c:manualLayout>
      </c:layout>
      <c:overlay val="0"/>
      <c:txPr>
        <a:bodyPr/>
        <a:lstStyle/>
        <a:p>
          <a:pPr>
            <a:defRPr sz="845" b="0" i="0" u="none" strike="noStrike" baseline="0">
              <a:solidFill>
                <a:srgbClr val="000000"/>
              </a:solidFill>
              <a:latin typeface="Calibri"/>
              <a:ea typeface="Calibri"/>
              <a:cs typeface="Calibri"/>
            </a:defRPr>
          </a:pPr>
          <a:endParaRPr lang="pt-PT"/>
        </a:p>
      </c:txPr>
    </c:legend>
    <c:plotVisOnly val="1"/>
    <c:dispBlanksAs val="zero"/>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pt-PT"/>
    </a:p>
  </c:txPr>
  <c:printSettings>
    <c:headerFooter/>
    <c:pageMargins b="0.75000000000000366" l="0.70000000000000062" r="0.70000000000000062" t="0.75000000000000366"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png"/><Relationship Id="rId7" Type="http://schemas.openxmlformats.org/officeDocument/2006/relationships/hyperlink" Target="http://www.kerrycoco.ie/en/" TargetMode="External"/><Relationship Id="rId2" Type="http://schemas.openxmlformats.org/officeDocument/2006/relationships/hyperlink" Target="http://www.aiea.ie/agencies/midlands_energy_agency" TargetMode="External"/><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jpeg"/><Relationship Id="rId4" Type="http://schemas.openxmlformats.org/officeDocument/2006/relationships/hyperlink" Target="http://www.tea.ie/"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png"/><Relationship Id="rId7" Type="http://schemas.openxmlformats.org/officeDocument/2006/relationships/hyperlink" Target="http://www.kerrycoco.ie/en/" TargetMode="External"/><Relationship Id="rId2" Type="http://schemas.openxmlformats.org/officeDocument/2006/relationships/hyperlink" Target="http://www.aiea.ie/agencies/midlands_energy_agency" TargetMode="External"/><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jpeg"/><Relationship Id="rId4" Type="http://schemas.openxmlformats.org/officeDocument/2006/relationships/hyperlink" Target="http://www.tea.ie/" TargetMode="External"/></Relationships>
</file>

<file path=xl/drawings/_rels/drawing3.xml.rels><?xml version="1.0" encoding="UTF-8" standalone="yes"?>
<Relationships xmlns="http://schemas.openxmlformats.org/package/2006/relationships"><Relationship Id="rId3" Type="http://schemas.openxmlformats.org/officeDocument/2006/relationships/hyperlink" Target="http://www.tea.ie/" TargetMode="Externa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hyperlink" Target="http://www.aiea.ie/agencies/midlands_energy_agency" TargetMode="External"/><Relationship Id="rId6" Type="http://schemas.openxmlformats.org/officeDocument/2006/relationships/hyperlink" Target="http://www.kerrycoco.ie/en/" TargetMode="External"/><Relationship Id="rId5" Type="http://schemas.openxmlformats.org/officeDocument/2006/relationships/image" Target="../media/image4.png"/><Relationship Id="rId4" Type="http://schemas.openxmlformats.org/officeDocument/2006/relationships/image" Target="../media/image3.jpeg"/></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png"/><Relationship Id="rId7" Type="http://schemas.openxmlformats.org/officeDocument/2006/relationships/hyperlink" Target="http://www.kerrycoco.ie/en/" TargetMode="External"/><Relationship Id="rId2" Type="http://schemas.openxmlformats.org/officeDocument/2006/relationships/hyperlink" Target="http://www.aiea.ie/agencies/midlands_energy_agency" TargetMode="External"/><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jpeg"/><Relationship Id="rId4" Type="http://schemas.openxmlformats.org/officeDocument/2006/relationships/hyperlink" Target="http://www.tea.ie/" TargetMode="External"/></Relationships>
</file>

<file path=xl/drawings/_rels/drawing5.xml.rels><?xml version="1.0" encoding="UTF-8" standalone="yes"?>
<Relationships xmlns="http://schemas.openxmlformats.org/package/2006/relationships"><Relationship Id="rId3" Type="http://schemas.openxmlformats.org/officeDocument/2006/relationships/hyperlink" Target="http://www.tea.ie/" TargetMode="Externa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hyperlink" Target="http://www.aiea.ie/agencies/midlands_energy_agency" TargetMode="External"/><Relationship Id="rId6" Type="http://schemas.openxmlformats.org/officeDocument/2006/relationships/hyperlink" Target="http://www.kerrycoco.ie/en/" TargetMode="External"/><Relationship Id="rId5" Type="http://schemas.openxmlformats.org/officeDocument/2006/relationships/image" Target="../media/image4.png"/><Relationship Id="rId4" Type="http://schemas.openxmlformats.org/officeDocument/2006/relationships/image" Target="../media/image3.jpeg"/></Relationships>
</file>

<file path=xl/drawings/_rels/drawing6.xml.rels><?xml version="1.0" encoding="UTF-8" standalone="yes"?>
<Relationships xmlns="http://schemas.openxmlformats.org/package/2006/relationships"><Relationship Id="rId3" Type="http://schemas.openxmlformats.org/officeDocument/2006/relationships/hyperlink" Target="http://www.tea.ie/" TargetMode="External"/><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hyperlink" Target="http://www.aiea.ie/agencies/midlands_energy_agency" TargetMode="External"/><Relationship Id="rId6" Type="http://schemas.openxmlformats.org/officeDocument/2006/relationships/hyperlink" Target="http://www.kerrycoco.ie/en/" TargetMode="External"/><Relationship Id="rId5" Type="http://schemas.openxmlformats.org/officeDocument/2006/relationships/image" Target="../media/image4.png"/><Relationship Id="rId4" Type="http://schemas.openxmlformats.org/officeDocument/2006/relationships/image" Target="../media/image3.jpeg"/></Relationships>
</file>

<file path=xl/drawings/_rels/drawing7.xml.rels><?xml version="1.0" encoding="UTF-8" standalone="yes"?>
<Relationships xmlns="http://schemas.openxmlformats.org/package/2006/relationships"><Relationship Id="rId8" Type="http://schemas.openxmlformats.org/officeDocument/2006/relationships/hyperlink" Target="http://www.kerrycoco.ie/en/" TargetMode="External"/><Relationship Id="rId3" Type="http://schemas.openxmlformats.org/officeDocument/2006/relationships/hyperlink" Target="http://www.aiea.ie/agencies/midlands_energy_agency" TargetMode="External"/><Relationship Id="rId7"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jpeg"/><Relationship Id="rId5" Type="http://schemas.openxmlformats.org/officeDocument/2006/relationships/hyperlink" Target="http://www.tea.ie/" TargetMode="External"/><Relationship Id="rId4" Type="http://schemas.openxmlformats.org/officeDocument/2006/relationships/image" Target="../media/image2.png"/><Relationship Id="rId9" Type="http://schemas.openxmlformats.org/officeDocument/2006/relationships/image" Target="../media/image5.png"/></Relationships>
</file>

<file path=xl/drawings/_rels/drawing8.xml.rels><?xml version="1.0" encoding="UTF-8" standalone="yes"?>
<Relationships xmlns="http://schemas.openxmlformats.org/package/2006/relationships"><Relationship Id="rId3" Type="http://schemas.openxmlformats.org/officeDocument/2006/relationships/hyperlink" Target="http://www.tea.ie/" TargetMode="External"/><Relationship Id="rId2" Type="http://schemas.openxmlformats.org/officeDocument/2006/relationships/image" Target="../media/image2.png"/><Relationship Id="rId1" Type="http://schemas.openxmlformats.org/officeDocument/2006/relationships/hyperlink" Target="http://www.aiea.ie/agencies/midlands_energy_agency" TargetMode="External"/><Relationship Id="rId6" Type="http://schemas.openxmlformats.org/officeDocument/2006/relationships/image" Target="../media/image5.png"/><Relationship Id="rId5" Type="http://schemas.openxmlformats.org/officeDocument/2006/relationships/hyperlink" Target="http://www.kerrycoco.ie/en/" TargetMode="External"/><Relationship Id="rId4"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28575</xdr:rowOff>
    </xdr:from>
    <xdr:to>
      <xdr:col>5</xdr:col>
      <xdr:colOff>9525</xdr:colOff>
      <xdr:row>3</xdr:row>
      <xdr:rowOff>247650</xdr:rowOff>
    </xdr:to>
    <xdr:pic>
      <xdr:nvPicPr>
        <xdr:cNvPr id="3726" name="Picture 7" descr="SEI logo">
          <a:extLst>
            <a:ext uri="{FF2B5EF4-FFF2-40B4-BE49-F238E27FC236}">
              <a16:creationId xmlns:a16="http://schemas.microsoft.com/office/drawing/2014/main" id="{00000000-0008-0000-0000-00008E0E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895975" y="123825"/>
          <a:ext cx="9525" cy="571500"/>
        </a:xfrm>
        <a:prstGeom prst="rect">
          <a:avLst/>
        </a:prstGeom>
        <a:noFill/>
        <a:ln w="9525">
          <a:noFill/>
          <a:miter lim="800000"/>
          <a:headEnd/>
          <a:tailEnd/>
        </a:ln>
      </xdr:spPr>
    </xdr:pic>
    <xdr:clientData/>
  </xdr:twoCellAnchor>
  <xdr:twoCellAnchor editAs="oneCell">
    <xdr:from>
      <xdr:col>3</xdr:col>
      <xdr:colOff>1095375</xdr:colOff>
      <xdr:row>13</xdr:row>
      <xdr:rowOff>457200</xdr:rowOff>
    </xdr:from>
    <xdr:to>
      <xdr:col>3</xdr:col>
      <xdr:colOff>3876675</xdr:colOff>
      <xdr:row>13</xdr:row>
      <xdr:rowOff>752475</xdr:rowOff>
    </xdr:to>
    <xdr:pic>
      <xdr:nvPicPr>
        <xdr:cNvPr id="3727" name="Picture 6">
          <a:hlinkClick xmlns:r="http://schemas.openxmlformats.org/officeDocument/2006/relationships" r:id="rId2"/>
          <a:extLst>
            <a:ext uri="{FF2B5EF4-FFF2-40B4-BE49-F238E27FC236}">
              <a16:creationId xmlns:a16="http://schemas.microsoft.com/office/drawing/2014/main" id="{00000000-0008-0000-0000-00008F0E0000}"/>
            </a:ext>
          </a:extLst>
        </xdr:cNvPr>
        <xdr:cNvPicPr>
          <a:picLocks noChangeAspect="1" noChangeArrowheads="1"/>
        </xdr:cNvPicPr>
      </xdr:nvPicPr>
      <xdr:blipFill>
        <a:blip xmlns:r="http://schemas.openxmlformats.org/officeDocument/2006/relationships" r:embed="rId3" cstate="print"/>
        <a:srcRect l="378" t="11765" r="9074" b="5882"/>
        <a:stretch>
          <a:fillRect/>
        </a:stretch>
      </xdr:blipFill>
      <xdr:spPr bwMode="auto">
        <a:xfrm>
          <a:off x="1381125" y="5076825"/>
          <a:ext cx="2781300" cy="295275"/>
        </a:xfrm>
        <a:prstGeom prst="rect">
          <a:avLst/>
        </a:prstGeom>
        <a:noFill/>
        <a:ln w="9525">
          <a:noFill/>
          <a:miter lim="800000"/>
          <a:headEnd/>
          <a:tailEnd/>
        </a:ln>
      </xdr:spPr>
    </xdr:pic>
    <xdr:clientData/>
  </xdr:twoCellAnchor>
  <xdr:twoCellAnchor editAs="oneCell">
    <xdr:from>
      <xdr:col>1</xdr:col>
      <xdr:colOff>66675</xdr:colOff>
      <xdr:row>13</xdr:row>
      <xdr:rowOff>409575</xdr:rowOff>
    </xdr:from>
    <xdr:to>
      <xdr:col>3</xdr:col>
      <xdr:colOff>838200</xdr:colOff>
      <xdr:row>13</xdr:row>
      <xdr:rowOff>819150</xdr:rowOff>
    </xdr:to>
    <xdr:pic>
      <xdr:nvPicPr>
        <xdr:cNvPr id="3728" name="Picture 7" descr="http://profile.ak.fbcdn.net/object3/426/104/n129598759409_2759.jpg">
          <a:hlinkClick xmlns:r="http://schemas.openxmlformats.org/officeDocument/2006/relationships" r:id="rId4"/>
          <a:extLst>
            <a:ext uri="{FF2B5EF4-FFF2-40B4-BE49-F238E27FC236}">
              <a16:creationId xmlns:a16="http://schemas.microsoft.com/office/drawing/2014/main" id="{00000000-0008-0000-0000-0000900E0000}"/>
            </a:ext>
          </a:extLst>
        </xdr:cNvPr>
        <xdr:cNvPicPr>
          <a:picLocks noChangeAspect="1" noChangeArrowheads="1"/>
        </xdr:cNvPicPr>
      </xdr:nvPicPr>
      <xdr:blipFill>
        <a:blip xmlns:r="http://schemas.openxmlformats.org/officeDocument/2006/relationships" r:embed="rId5" cstate="print"/>
        <a:srcRect b="8403"/>
        <a:stretch>
          <a:fillRect/>
        </a:stretch>
      </xdr:blipFill>
      <xdr:spPr bwMode="auto">
        <a:xfrm>
          <a:off x="161925" y="5029200"/>
          <a:ext cx="962025" cy="409575"/>
        </a:xfrm>
        <a:prstGeom prst="rect">
          <a:avLst/>
        </a:prstGeom>
        <a:noFill/>
        <a:ln w="9525">
          <a:noFill/>
          <a:miter lim="800000"/>
          <a:headEnd/>
          <a:tailEnd/>
        </a:ln>
      </xdr:spPr>
    </xdr:pic>
    <xdr:clientData/>
  </xdr:twoCellAnchor>
  <xdr:twoCellAnchor>
    <xdr:from>
      <xdr:col>3</xdr:col>
      <xdr:colOff>3686175</xdr:colOff>
      <xdr:row>1</xdr:row>
      <xdr:rowOff>47625</xdr:rowOff>
    </xdr:from>
    <xdr:to>
      <xdr:col>5</xdr:col>
      <xdr:colOff>28575</xdr:colOff>
      <xdr:row>4</xdr:row>
      <xdr:rowOff>0</xdr:rowOff>
    </xdr:to>
    <xdr:pic>
      <xdr:nvPicPr>
        <xdr:cNvPr id="3729" name="Picture 650">
          <a:extLst>
            <a:ext uri="{FF2B5EF4-FFF2-40B4-BE49-F238E27FC236}">
              <a16:creationId xmlns:a16="http://schemas.microsoft.com/office/drawing/2014/main" id="{00000000-0008-0000-0000-0000910E0000}"/>
            </a:ext>
          </a:extLst>
        </xdr:cNvPr>
        <xdr:cNvPicPr>
          <a:picLocks noChangeAspect="1" noChangeArrowheads="1"/>
        </xdr:cNvPicPr>
      </xdr:nvPicPr>
      <xdr:blipFill>
        <a:blip xmlns:r="http://schemas.openxmlformats.org/officeDocument/2006/relationships" r:embed="rId6" cstate="print"/>
        <a:srcRect l="3365" t="18462" r="58473" b="73396"/>
        <a:stretch>
          <a:fillRect/>
        </a:stretch>
      </xdr:blipFill>
      <xdr:spPr bwMode="auto">
        <a:xfrm>
          <a:off x="3971925" y="142875"/>
          <a:ext cx="1952625" cy="571500"/>
        </a:xfrm>
        <a:prstGeom prst="rect">
          <a:avLst/>
        </a:prstGeom>
        <a:noFill/>
        <a:ln w="9525">
          <a:noFill/>
          <a:miter lim="800000"/>
          <a:headEnd/>
          <a:tailEnd/>
        </a:ln>
      </xdr:spPr>
    </xdr:pic>
    <xdr:clientData/>
  </xdr:twoCellAnchor>
  <xdr:twoCellAnchor>
    <xdr:from>
      <xdr:col>3</xdr:col>
      <xdr:colOff>4210050</xdr:colOff>
      <xdr:row>13</xdr:row>
      <xdr:rowOff>257175</xdr:rowOff>
    </xdr:from>
    <xdr:to>
      <xdr:col>3</xdr:col>
      <xdr:colOff>4772025</xdr:colOff>
      <xdr:row>13</xdr:row>
      <xdr:rowOff>885825</xdr:rowOff>
    </xdr:to>
    <xdr:pic>
      <xdr:nvPicPr>
        <xdr:cNvPr id="3730" name="Picture 653" descr="kerrycocologo">
          <a:hlinkClick xmlns:r="http://schemas.openxmlformats.org/officeDocument/2006/relationships" r:id="rId7"/>
          <a:extLst>
            <a:ext uri="{FF2B5EF4-FFF2-40B4-BE49-F238E27FC236}">
              <a16:creationId xmlns:a16="http://schemas.microsoft.com/office/drawing/2014/main" id="{00000000-0008-0000-0000-0000920E0000}"/>
            </a:ext>
          </a:extLst>
        </xdr:cNvPr>
        <xdr:cNvPicPr>
          <a:picLocks noChangeAspect="1" noChangeArrowheads="1"/>
        </xdr:cNvPicPr>
      </xdr:nvPicPr>
      <xdr:blipFill>
        <a:blip xmlns:r="http://schemas.openxmlformats.org/officeDocument/2006/relationships" r:embed="rId8" cstate="print"/>
        <a:srcRect l="10257" t="5791" r="14102"/>
        <a:stretch>
          <a:fillRect/>
        </a:stretch>
      </xdr:blipFill>
      <xdr:spPr bwMode="auto">
        <a:xfrm>
          <a:off x="4495800" y="4876800"/>
          <a:ext cx="561975" cy="628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1</xdr:row>
      <xdr:rowOff>28575</xdr:rowOff>
    </xdr:from>
    <xdr:to>
      <xdr:col>6</xdr:col>
      <xdr:colOff>9525</xdr:colOff>
      <xdr:row>3</xdr:row>
      <xdr:rowOff>247650</xdr:rowOff>
    </xdr:to>
    <xdr:pic>
      <xdr:nvPicPr>
        <xdr:cNvPr id="19059" name="Picture 7" descr="SEI logo">
          <a:extLst>
            <a:ext uri="{FF2B5EF4-FFF2-40B4-BE49-F238E27FC236}">
              <a16:creationId xmlns:a16="http://schemas.microsoft.com/office/drawing/2014/main" id="{00000000-0008-0000-0100-0000734A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610600" y="133350"/>
          <a:ext cx="9525" cy="571500"/>
        </a:xfrm>
        <a:prstGeom prst="rect">
          <a:avLst/>
        </a:prstGeom>
        <a:noFill/>
        <a:ln w="9525">
          <a:noFill/>
          <a:miter lim="800000"/>
          <a:headEnd/>
          <a:tailEnd/>
        </a:ln>
      </xdr:spPr>
    </xdr:pic>
    <xdr:clientData/>
  </xdr:twoCellAnchor>
  <xdr:twoCellAnchor editAs="oneCell">
    <xdr:from>
      <xdr:col>3</xdr:col>
      <xdr:colOff>285750</xdr:colOff>
      <xdr:row>63</xdr:row>
      <xdr:rowOff>152400</xdr:rowOff>
    </xdr:from>
    <xdr:to>
      <xdr:col>4</xdr:col>
      <xdr:colOff>1581150</xdr:colOff>
      <xdr:row>65</xdr:row>
      <xdr:rowOff>66675</xdr:rowOff>
    </xdr:to>
    <xdr:pic>
      <xdr:nvPicPr>
        <xdr:cNvPr id="19060" name="Picture 6">
          <a:hlinkClick xmlns:r="http://schemas.openxmlformats.org/officeDocument/2006/relationships" r:id="rId2"/>
          <a:extLst>
            <a:ext uri="{FF2B5EF4-FFF2-40B4-BE49-F238E27FC236}">
              <a16:creationId xmlns:a16="http://schemas.microsoft.com/office/drawing/2014/main" id="{00000000-0008-0000-0100-0000744A0000}"/>
            </a:ext>
          </a:extLst>
        </xdr:cNvPr>
        <xdr:cNvPicPr>
          <a:picLocks noChangeAspect="1" noChangeArrowheads="1"/>
        </xdr:cNvPicPr>
      </xdr:nvPicPr>
      <xdr:blipFill>
        <a:blip xmlns:r="http://schemas.openxmlformats.org/officeDocument/2006/relationships" r:embed="rId3" cstate="print"/>
        <a:srcRect l="378" t="11765" r="9074" b="5882"/>
        <a:stretch>
          <a:fillRect/>
        </a:stretch>
      </xdr:blipFill>
      <xdr:spPr bwMode="auto">
        <a:xfrm>
          <a:off x="1162050" y="23193375"/>
          <a:ext cx="2771775" cy="295275"/>
        </a:xfrm>
        <a:prstGeom prst="rect">
          <a:avLst/>
        </a:prstGeom>
        <a:noFill/>
        <a:ln w="9525">
          <a:noFill/>
          <a:miter lim="800000"/>
          <a:headEnd/>
          <a:tailEnd/>
        </a:ln>
      </xdr:spPr>
    </xdr:pic>
    <xdr:clientData/>
  </xdr:twoCellAnchor>
  <xdr:twoCellAnchor editAs="oneCell">
    <xdr:from>
      <xdr:col>1</xdr:col>
      <xdr:colOff>28575</xdr:colOff>
      <xdr:row>63</xdr:row>
      <xdr:rowOff>57150</xdr:rowOff>
    </xdr:from>
    <xdr:to>
      <xdr:col>3</xdr:col>
      <xdr:colOff>228600</xdr:colOff>
      <xdr:row>65</xdr:row>
      <xdr:rowOff>85725</xdr:rowOff>
    </xdr:to>
    <xdr:pic>
      <xdr:nvPicPr>
        <xdr:cNvPr id="19061" name="Picture 7" descr="http://profile.ak.fbcdn.net/object3/426/104/n129598759409_2759.jpg">
          <a:hlinkClick xmlns:r="http://schemas.openxmlformats.org/officeDocument/2006/relationships" r:id="rId4"/>
          <a:extLst>
            <a:ext uri="{FF2B5EF4-FFF2-40B4-BE49-F238E27FC236}">
              <a16:creationId xmlns:a16="http://schemas.microsoft.com/office/drawing/2014/main" id="{00000000-0008-0000-0100-0000754A0000}"/>
            </a:ext>
          </a:extLst>
        </xdr:cNvPr>
        <xdr:cNvPicPr>
          <a:picLocks noChangeAspect="1" noChangeArrowheads="1"/>
        </xdr:cNvPicPr>
      </xdr:nvPicPr>
      <xdr:blipFill>
        <a:blip xmlns:r="http://schemas.openxmlformats.org/officeDocument/2006/relationships" r:embed="rId5" cstate="print"/>
        <a:srcRect b="8403"/>
        <a:stretch>
          <a:fillRect/>
        </a:stretch>
      </xdr:blipFill>
      <xdr:spPr bwMode="auto">
        <a:xfrm>
          <a:off x="142875" y="23098125"/>
          <a:ext cx="962025" cy="409575"/>
        </a:xfrm>
        <a:prstGeom prst="rect">
          <a:avLst/>
        </a:prstGeom>
        <a:noFill/>
        <a:ln w="9525">
          <a:noFill/>
          <a:miter lim="800000"/>
          <a:headEnd/>
          <a:tailEnd/>
        </a:ln>
      </xdr:spPr>
    </xdr:pic>
    <xdr:clientData/>
  </xdr:twoCellAnchor>
  <xdr:twoCellAnchor>
    <xdr:from>
      <xdr:col>4</xdr:col>
      <xdr:colOff>4333875</xdr:colOff>
      <xdr:row>1</xdr:row>
      <xdr:rowOff>47625</xdr:rowOff>
    </xdr:from>
    <xdr:to>
      <xdr:col>6</xdr:col>
      <xdr:colOff>28575</xdr:colOff>
      <xdr:row>4</xdr:row>
      <xdr:rowOff>0</xdr:rowOff>
    </xdr:to>
    <xdr:pic>
      <xdr:nvPicPr>
        <xdr:cNvPr id="19062" name="Picture 625">
          <a:extLst>
            <a:ext uri="{FF2B5EF4-FFF2-40B4-BE49-F238E27FC236}">
              <a16:creationId xmlns:a16="http://schemas.microsoft.com/office/drawing/2014/main" id="{00000000-0008-0000-0100-0000764A0000}"/>
            </a:ext>
          </a:extLst>
        </xdr:cNvPr>
        <xdr:cNvPicPr>
          <a:picLocks noChangeAspect="1" noChangeArrowheads="1"/>
        </xdr:cNvPicPr>
      </xdr:nvPicPr>
      <xdr:blipFill>
        <a:blip xmlns:r="http://schemas.openxmlformats.org/officeDocument/2006/relationships" r:embed="rId6" cstate="print"/>
        <a:srcRect l="3365" t="18462" r="58473" b="73396"/>
        <a:stretch>
          <a:fillRect/>
        </a:stretch>
      </xdr:blipFill>
      <xdr:spPr bwMode="auto">
        <a:xfrm>
          <a:off x="6686550" y="152400"/>
          <a:ext cx="1952625" cy="571500"/>
        </a:xfrm>
        <a:prstGeom prst="rect">
          <a:avLst/>
        </a:prstGeom>
        <a:noFill/>
        <a:ln w="9525">
          <a:noFill/>
          <a:miter lim="800000"/>
          <a:headEnd/>
          <a:tailEnd/>
        </a:ln>
      </xdr:spPr>
    </xdr:pic>
    <xdr:clientData/>
  </xdr:twoCellAnchor>
  <xdr:twoCellAnchor>
    <xdr:from>
      <xdr:col>4</xdr:col>
      <xdr:colOff>1714500</xdr:colOff>
      <xdr:row>63</xdr:row>
      <xdr:rowOff>19050</xdr:rowOff>
    </xdr:from>
    <xdr:to>
      <xdr:col>4</xdr:col>
      <xdr:colOff>2276475</xdr:colOff>
      <xdr:row>66</xdr:row>
      <xdr:rowOff>76200</xdr:rowOff>
    </xdr:to>
    <xdr:pic>
      <xdr:nvPicPr>
        <xdr:cNvPr id="19063" name="Picture 626" descr="kerrycocologo">
          <a:hlinkClick xmlns:r="http://schemas.openxmlformats.org/officeDocument/2006/relationships" r:id="rId7"/>
          <a:extLst>
            <a:ext uri="{FF2B5EF4-FFF2-40B4-BE49-F238E27FC236}">
              <a16:creationId xmlns:a16="http://schemas.microsoft.com/office/drawing/2014/main" id="{00000000-0008-0000-0100-0000774A0000}"/>
            </a:ext>
          </a:extLst>
        </xdr:cNvPr>
        <xdr:cNvPicPr>
          <a:picLocks noChangeAspect="1" noChangeArrowheads="1"/>
        </xdr:cNvPicPr>
      </xdr:nvPicPr>
      <xdr:blipFill>
        <a:blip xmlns:r="http://schemas.openxmlformats.org/officeDocument/2006/relationships" r:embed="rId8" cstate="print"/>
        <a:srcRect l="10257" t="5791" r="14102"/>
        <a:stretch>
          <a:fillRect/>
        </a:stretch>
      </xdr:blipFill>
      <xdr:spPr bwMode="auto">
        <a:xfrm>
          <a:off x="4067175" y="23060025"/>
          <a:ext cx="561975" cy="6286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1743075</xdr:colOff>
      <xdr:row>126</xdr:row>
      <xdr:rowOff>381000</xdr:rowOff>
    </xdr:from>
    <xdr:to>
      <xdr:col>7</xdr:col>
      <xdr:colOff>600075</xdr:colOff>
      <xdr:row>126</xdr:row>
      <xdr:rowOff>676275</xdr:rowOff>
    </xdr:to>
    <xdr:pic>
      <xdr:nvPicPr>
        <xdr:cNvPr id="1641" name="Picture 6">
          <a:hlinkClick xmlns:r="http://schemas.openxmlformats.org/officeDocument/2006/relationships" r:id="rId1"/>
          <a:extLst>
            <a:ext uri="{FF2B5EF4-FFF2-40B4-BE49-F238E27FC236}">
              <a16:creationId xmlns:a16="http://schemas.microsoft.com/office/drawing/2014/main" id="{00000000-0008-0000-0200-000069060000}"/>
            </a:ext>
          </a:extLst>
        </xdr:cNvPr>
        <xdr:cNvPicPr>
          <a:picLocks noChangeAspect="1" noChangeArrowheads="1"/>
        </xdr:cNvPicPr>
      </xdr:nvPicPr>
      <xdr:blipFill>
        <a:blip xmlns:r="http://schemas.openxmlformats.org/officeDocument/2006/relationships" r:embed="rId2" cstate="print"/>
        <a:srcRect l="378" t="11765" r="9074" b="5882"/>
        <a:stretch>
          <a:fillRect/>
        </a:stretch>
      </xdr:blipFill>
      <xdr:spPr bwMode="auto">
        <a:xfrm>
          <a:off x="2000250" y="22107525"/>
          <a:ext cx="2762250" cy="295275"/>
        </a:xfrm>
        <a:prstGeom prst="rect">
          <a:avLst/>
        </a:prstGeom>
        <a:noFill/>
        <a:ln w="9525">
          <a:noFill/>
          <a:miter lim="800000"/>
          <a:headEnd/>
          <a:tailEnd/>
        </a:ln>
      </xdr:spPr>
    </xdr:pic>
    <xdr:clientData/>
  </xdr:twoCellAnchor>
  <xdr:twoCellAnchor editAs="oneCell">
    <xdr:from>
      <xdr:col>1</xdr:col>
      <xdr:colOff>47625</xdr:colOff>
      <xdr:row>126</xdr:row>
      <xdr:rowOff>285750</xdr:rowOff>
    </xdr:from>
    <xdr:to>
      <xdr:col>3</xdr:col>
      <xdr:colOff>885825</xdr:colOff>
      <xdr:row>126</xdr:row>
      <xdr:rowOff>695325</xdr:rowOff>
    </xdr:to>
    <xdr:pic>
      <xdr:nvPicPr>
        <xdr:cNvPr id="1642" name="Picture 7" descr="http://profile.ak.fbcdn.net/object3/426/104/n129598759409_2759.jpg">
          <a:hlinkClick xmlns:r="http://schemas.openxmlformats.org/officeDocument/2006/relationships" r:id="rId3"/>
          <a:extLst>
            <a:ext uri="{FF2B5EF4-FFF2-40B4-BE49-F238E27FC236}">
              <a16:creationId xmlns:a16="http://schemas.microsoft.com/office/drawing/2014/main" id="{00000000-0008-0000-0200-00006A060000}"/>
            </a:ext>
          </a:extLst>
        </xdr:cNvPr>
        <xdr:cNvPicPr>
          <a:picLocks noChangeAspect="1" noChangeArrowheads="1"/>
        </xdr:cNvPicPr>
      </xdr:nvPicPr>
      <xdr:blipFill>
        <a:blip xmlns:r="http://schemas.openxmlformats.org/officeDocument/2006/relationships" r:embed="rId4" cstate="print"/>
        <a:srcRect b="8403"/>
        <a:stretch>
          <a:fillRect/>
        </a:stretch>
      </xdr:blipFill>
      <xdr:spPr bwMode="auto">
        <a:xfrm>
          <a:off x="180975" y="22012275"/>
          <a:ext cx="962025" cy="409575"/>
        </a:xfrm>
        <a:prstGeom prst="rect">
          <a:avLst/>
        </a:prstGeom>
        <a:noFill/>
        <a:ln w="9525">
          <a:noFill/>
          <a:miter lim="800000"/>
          <a:headEnd/>
          <a:tailEnd/>
        </a:ln>
      </xdr:spPr>
    </xdr:pic>
    <xdr:clientData/>
  </xdr:twoCellAnchor>
  <xdr:twoCellAnchor>
    <xdr:from>
      <xdr:col>7</xdr:col>
      <xdr:colOff>2247900</xdr:colOff>
      <xdr:row>1</xdr:row>
      <xdr:rowOff>28575</xdr:rowOff>
    </xdr:from>
    <xdr:to>
      <xdr:col>9</xdr:col>
      <xdr:colOff>28575</xdr:colOff>
      <xdr:row>3</xdr:row>
      <xdr:rowOff>247650</xdr:rowOff>
    </xdr:to>
    <xdr:pic>
      <xdr:nvPicPr>
        <xdr:cNvPr id="1643" name="Picture 615">
          <a:extLst>
            <a:ext uri="{FF2B5EF4-FFF2-40B4-BE49-F238E27FC236}">
              <a16:creationId xmlns:a16="http://schemas.microsoft.com/office/drawing/2014/main" id="{00000000-0008-0000-0200-00006B060000}"/>
            </a:ext>
          </a:extLst>
        </xdr:cNvPr>
        <xdr:cNvPicPr>
          <a:picLocks noChangeAspect="1" noChangeArrowheads="1"/>
        </xdr:cNvPicPr>
      </xdr:nvPicPr>
      <xdr:blipFill>
        <a:blip xmlns:r="http://schemas.openxmlformats.org/officeDocument/2006/relationships" r:embed="rId5" cstate="print"/>
        <a:srcRect l="3365" t="18462" r="58473" b="73396"/>
        <a:stretch>
          <a:fillRect/>
        </a:stretch>
      </xdr:blipFill>
      <xdr:spPr bwMode="auto">
        <a:xfrm>
          <a:off x="6086475" y="171450"/>
          <a:ext cx="1952625" cy="571500"/>
        </a:xfrm>
        <a:prstGeom prst="rect">
          <a:avLst/>
        </a:prstGeom>
        <a:noFill/>
        <a:ln w="9525">
          <a:noFill/>
          <a:miter lim="800000"/>
          <a:headEnd/>
          <a:tailEnd/>
        </a:ln>
      </xdr:spPr>
    </xdr:pic>
    <xdr:clientData/>
  </xdr:twoCellAnchor>
  <xdr:twoCellAnchor>
    <xdr:from>
      <xdr:col>7</xdr:col>
      <xdr:colOff>1762125</xdr:colOff>
      <xdr:row>126</xdr:row>
      <xdr:rowOff>257175</xdr:rowOff>
    </xdr:from>
    <xdr:to>
      <xdr:col>7</xdr:col>
      <xdr:colOff>2324100</xdr:colOff>
      <xdr:row>126</xdr:row>
      <xdr:rowOff>885825</xdr:rowOff>
    </xdr:to>
    <xdr:pic>
      <xdr:nvPicPr>
        <xdr:cNvPr id="1644" name="Picture 616" descr="kerrycocologo">
          <a:hlinkClick xmlns:r="http://schemas.openxmlformats.org/officeDocument/2006/relationships" r:id="rId6"/>
          <a:extLst>
            <a:ext uri="{FF2B5EF4-FFF2-40B4-BE49-F238E27FC236}">
              <a16:creationId xmlns:a16="http://schemas.microsoft.com/office/drawing/2014/main" id="{00000000-0008-0000-0200-00006C060000}"/>
            </a:ext>
          </a:extLst>
        </xdr:cNvPr>
        <xdr:cNvPicPr>
          <a:picLocks noChangeAspect="1" noChangeArrowheads="1"/>
        </xdr:cNvPicPr>
      </xdr:nvPicPr>
      <xdr:blipFill>
        <a:blip xmlns:r="http://schemas.openxmlformats.org/officeDocument/2006/relationships" r:embed="rId7" cstate="print"/>
        <a:srcRect l="10257" t="5791" r="14102"/>
        <a:stretch>
          <a:fillRect/>
        </a:stretch>
      </xdr:blipFill>
      <xdr:spPr bwMode="auto">
        <a:xfrm>
          <a:off x="5600700" y="21983700"/>
          <a:ext cx="561975" cy="62865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2</xdr:col>
          <xdr:colOff>12700</xdr:colOff>
          <xdr:row>65</xdr:row>
          <xdr:rowOff>25400</xdr:rowOff>
        </xdr:from>
        <xdr:to>
          <xdr:col>7</xdr:col>
          <xdr:colOff>2444750</xdr:colOff>
          <xdr:row>97</xdr:row>
          <xdr:rowOff>0</xdr:rowOff>
        </xdr:to>
        <xdr:sp macro="" textlink="">
          <xdr:nvSpPr>
            <xdr:cNvPr id="1466" name="Object 442" hidden="1">
              <a:extLst>
                <a:ext uri="{63B3BB69-23CF-44E3-9099-C40C66FF867C}">
                  <a14:compatExt spid="_x0000_s1466"/>
                </a:ext>
                <a:ext uri="{FF2B5EF4-FFF2-40B4-BE49-F238E27FC236}">
                  <a16:creationId xmlns:a16="http://schemas.microsoft.com/office/drawing/2014/main" id="{00000000-0008-0000-0200-0000BA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6</xdr:col>
      <xdr:colOff>0</xdr:colOff>
      <xdr:row>1</xdr:row>
      <xdr:rowOff>28575</xdr:rowOff>
    </xdr:from>
    <xdr:to>
      <xdr:col>6</xdr:col>
      <xdr:colOff>9525</xdr:colOff>
      <xdr:row>4</xdr:row>
      <xdr:rowOff>57150</xdr:rowOff>
    </xdr:to>
    <xdr:pic>
      <xdr:nvPicPr>
        <xdr:cNvPr id="2" name="Picture 7" descr="SEI logo">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57600" y="219075"/>
          <a:ext cx="9525" cy="542925"/>
        </a:xfrm>
        <a:prstGeom prst="rect">
          <a:avLst/>
        </a:prstGeom>
        <a:noFill/>
        <a:ln w="9525">
          <a:noFill/>
          <a:miter lim="800000"/>
          <a:headEnd/>
          <a:tailEnd/>
        </a:ln>
      </xdr:spPr>
    </xdr:pic>
    <xdr:clientData/>
  </xdr:twoCellAnchor>
  <xdr:twoCellAnchor editAs="oneCell">
    <xdr:from>
      <xdr:col>3</xdr:col>
      <xdr:colOff>285750</xdr:colOff>
      <xdr:row>64</xdr:row>
      <xdr:rowOff>152400</xdr:rowOff>
    </xdr:from>
    <xdr:to>
      <xdr:col>3</xdr:col>
      <xdr:colOff>1219200</xdr:colOff>
      <xdr:row>66</xdr:row>
      <xdr:rowOff>66675</xdr:rowOff>
    </xdr:to>
    <xdr:pic>
      <xdr:nvPicPr>
        <xdr:cNvPr id="3" name="Picture 6">
          <a:hlinkClick xmlns:r="http://schemas.openxmlformats.org/officeDocument/2006/relationships" r:id="rId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3" cstate="print"/>
        <a:srcRect l="378" t="11765" r="9074" b="5882"/>
        <a:stretch>
          <a:fillRect/>
        </a:stretch>
      </xdr:blipFill>
      <xdr:spPr bwMode="auto">
        <a:xfrm>
          <a:off x="2114550" y="11772900"/>
          <a:ext cx="323850" cy="295275"/>
        </a:xfrm>
        <a:prstGeom prst="rect">
          <a:avLst/>
        </a:prstGeom>
        <a:noFill/>
        <a:ln w="9525">
          <a:noFill/>
          <a:miter lim="800000"/>
          <a:headEnd/>
          <a:tailEnd/>
        </a:ln>
      </xdr:spPr>
    </xdr:pic>
    <xdr:clientData/>
  </xdr:twoCellAnchor>
  <xdr:twoCellAnchor editAs="oneCell">
    <xdr:from>
      <xdr:col>1</xdr:col>
      <xdr:colOff>28575</xdr:colOff>
      <xdr:row>64</xdr:row>
      <xdr:rowOff>57150</xdr:rowOff>
    </xdr:from>
    <xdr:to>
      <xdr:col>3</xdr:col>
      <xdr:colOff>685800</xdr:colOff>
      <xdr:row>66</xdr:row>
      <xdr:rowOff>85725</xdr:rowOff>
    </xdr:to>
    <xdr:pic>
      <xdr:nvPicPr>
        <xdr:cNvPr id="4" name="Picture 7" descr="http://profile.ak.fbcdn.net/object3/426/104/n129598759409_2759.jpg">
          <a:hlinkClick xmlns:r="http://schemas.openxmlformats.org/officeDocument/2006/relationships" r:id="rId4"/>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5" cstate="print"/>
        <a:srcRect b="8403"/>
        <a:stretch>
          <a:fillRect/>
        </a:stretch>
      </xdr:blipFill>
      <xdr:spPr bwMode="auto">
        <a:xfrm>
          <a:off x="638175" y="11677650"/>
          <a:ext cx="1800225" cy="409575"/>
        </a:xfrm>
        <a:prstGeom prst="rect">
          <a:avLst/>
        </a:prstGeom>
        <a:noFill/>
        <a:ln w="9525">
          <a:noFill/>
          <a:miter lim="800000"/>
          <a:headEnd/>
          <a:tailEnd/>
        </a:ln>
      </xdr:spPr>
    </xdr:pic>
    <xdr:clientData/>
  </xdr:twoCellAnchor>
  <xdr:twoCellAnchor>
    <xdr:from>
      <xdr:col>4</xdr:col>
      <xdr:colOff>4333875</xdr:colOff>
      <xdr:row>1</xdr:row>
      <xdr:rowOff>47625</xdr:rowOff>
    </xdr:from>
    <xdr:to>
      <xdr:col>6</xdr:col>
      <xdr:colOff>28575</xdr:colOff>
      <xdr:row>4</xdr:row>
      <xdr:rowOff>0</xdr:rowOff>
    </xdr:to>
    <xdr:pic>
      <xdr:nvPicPr>
        <xdr:cNvPr id="5" name="Picture 625">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6" cstate="print"/>
        <a:srcRect l="3365" t="18462" r="58473" b="73396"/>
        <a:stretch>
          <a:fillRect/>
        </a:stretch>
      </xdr:blipFill>
      <xdr:spPr bwMode="auto">
        <a:xfrm>
          <a:off x="3048000" y="238125"/>
          <a:ext cx="638175" cy="523875"/>
        </a:xfrm>
        <a:prstGeom prst="rect">
          <a:avLst/>
        </a:prstGeom>
        <a:noFill/>
        <a:ln w="9525">
          <a:noFill/>
          <a:miter lim="800000"/>
          <a:headEnd/>
          <a:tailEnd/>
        </a:ln>
      </xdr:spPr>
    </xdr:pic>
    <xdr:clientData/>
  </xdr:twoCellAnchor>
  <xdr:twoCellAnchor>
    <xdr:from>
      <xdr:col>4</xdr:col>
      <xdr:colOff>1714500</xdr:colOff>
      <xdr:row>64</xdr:row>
      <xdr:rowOff>19050</xdr:rowOff>
    </xdr:from>
    <xdr:to>
      <xdr:col>4</xdr:col>
      <xdr:colOff>2276475</xdr:colOff>
      <xdr:row>67</xdr:row>
      <xdr:rowOff>76200</xdr:rowOff>
    </xdr:to>
    <xdr:pic>
      <xdr:nvPicPr>
        <xdr:cNvPr id="6" name="Picture 626" descr="kerrycocologo">
          <a:hlinkClick xmlns:r="http://schemas.openxmlformats.org/officeDocument/2006/relationships" r:id="rId7"/>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8" cstate="print"/>
        <a:srcRect l="10257" t="5791" r="14102"/>
        <a:stretch>
          <a:fillRect/>
        </a:stretch>
      </xdr:blipFill>
      <xdr:spPr bwMode="auto">
        <a:xfrm>
          <a:off x="3048000" y="11639550"/>
          <a:ext cx="0" cy="6286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1743075</xdr:colOff>
      <xdr:row>130</xdr:row>
      <xdr:rowOff>381000</xdr:rowOff>
    </xdr:from>
    <xdr:to>
      <xdr:col>7</xdr:col>
      <xdr:colOff>600075</xdr:colOff>
      <xdr:row>130</xdr:row>
      <xdr:rowOff>676275</xdr:rowOff>
    </xdr:to>
    <xdr:pic>
      <xdr:nvPicPr>
        <xdr:cNvPr id="2" name="Picture 6">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2" cstate="print"/>
        <a:srcRect l="378" t="11765" r="9074" b="5882"/>
        <a:stretch>
          <a:fillRect/>
        </a:stretch>
      </xdr:blipFill>
      <xdr:spPr bwMode="auto">
        <a:xfrm>
          <a:off x="2000250" y="21736050"/>
          <a:ext cx="2762250" cy="295275"/>
        </a:xfrm>
        <a:prstGeom prst="rect">
          <a:avLst/>
        </a:prstGeom>
        <a:noFill/>
        <a:ln w="9525">
          <a:noFill/>
          <a:miter lim="800000"/>
          <a:headEnd/>
          <a:tailEnd/>
        </a:ln>
      </xdr:spPr>
    </xdr:pic>
    <xdr:clientData/>
  </xdr:twoCellAnchor>
  <xdr:twoCellAnchor editAs="oneCell">
    <xdr:from>
      <xdr:col>1</xdr:col>
      <xdr:colOff>47625</xdr:colOff>
      <xdr:row>130</xdr:row>
      <xdr:rowOff>285750</xdr:rowOff>
    </xdr:from>
    <xdr:to>
      <xdr:col>3</xdr:col>
      <xdr:colOff>885825</xdr:colOff>
      <xdr:row>130</xdr:row>
      <xdr:rowOff>695325</xdr:rowOff>
    </xdr:to>
    <xdr:pic>
      <xdr:nvPicPr>
        <xdr:cNvPr id="3" name="Picture 7" descr="http://profile.ak.fbcdn.net/object3/426/104/n129598759409_2759.jpg">
          <a:hlinkClick xmlns:r="http://schemas.openxmlformats.org/officeDocument/2006/relationships" r:id="rId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4" cstate="print"/>
        <a:srcRect b="8403"/>
        <a:stretch>
          <a:fillRect/>
        </a:stretch>
      </xdr:blipFill>
      <xdr:spPr bwMode="auto">
        <a:xfrm>
          <a:off x="180975" y="21640800"/>
          <a:ext cx="962025" cy="409575"/>
        </a:xfrm>
        <a:prstGeom prst="rect">
          <a:avLst/>
        </a:prstGeom>
        <a:noFill/>
        <a:ln w="9525">
          <a:noFill/>
          <a:miter lim="800000"/>
          <a:headEnd/>
          <a:tailEnd/>
        </a:ln>
      </xdr:spPr>
    </xdr:pic>
    <xdr:clientData/>
  </xdr:twoCellAnchor>
  <xdr:twoCellAnchor>
    <xdr:from>
      <xdr:col>7</xdr:col>
      <xdr:colOff>2247900</xdr:colOff>
      <xdr:row>1</xdr:row>
      <xdr:rowOff>28575</xdr:rowOff>
    </xdr:from>
    <xdr:to>
      <xdr:col>9</xdr:col>
      <xdr:colOff>28575</xdr:colOff>
      <xdr:row>3</xdr:row>
      <xdr:rowOff>247650</xdr:rowOff>
    </xdr:to>
    <xdr:pic>
      <xdr:nvPicPr>
        <xdr:cNvPr id="4" name="Picture 615">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5" cstate="print"/>
        <a:srcRect l="3365" t="18462" r="58473" b="73396"/>
        <a:stretch>
          <a:fillRect/>
        </a:stretch>
      </xdr:blipFill>
      <xdr:spPr bwMode="auto">
        <a:xfrm>
          <a:off x="6086475" y="171450"/>
          <a:ext cx="1952625" cy="571500"/>
        </a:xfrm>
        <a:prstGeom prst="rect">
          <a:avLst/>
        </a:prstGeom>
        <a:noFill/>
        <a:ln w="9525">
          <a:noFill/>
          <a:miter lim="800000"/>
          <a:headEnd/>
          <a:tailEnd/>
        </a:ln>
      </xdr:spPr>
    </xdr:pic>
    <xdr:clientData/>
  </xdr:twoCellAnchor>
  <xdr:twoCellAnchor>
    <xdr:from>
      <xdr:col>7</xdr:col>
      <xdr:colOff>1762125</xdr:colOff>
      <xdr:row>130</xdr:row>
      <xdr:rowOff>257175</xdr:rowOff>
    </xdr:from>
    <xdr:to>
      <xdr:col>7</xdr:col>
      <xdr:colOff>2324100</xdr:colOff>
      <xdr:row>130</xdr:row>
      <xdr:rowOff>885825</xdr:rowOff>
    </xdr:to>
    <xdr:pic>
      <xdr:nvPicPr>
        <xdr:cNvPr id="5" name="Picture 616" descr="kerrycocologo">
          <a:hlinkClick xmlns:r="http://schemas.openxmlformats.org/officeDocument/2006/relationships" r:id="rId6"/>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7" cstate="print"/>
        <a:srcRect l="10257" t="5791" r="14102"/>
        <a:stretch>
          <a:fillRect/>
        </a:stretch>
      </xdr:blipFill>
      <xdr:spPr bwMode="auto">
        <a:xfrm>
          <a:off x="5600700" y="21612225"/>
          <a:ext cx="561975" cy="62865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2</xdr:col>
          <xdr:colOff>6350</xdr:colOff>
          <xdr:row>69</xdr:row>
          <xdr:rowOff>25400</xdr:rowOff>
        </xdr:from>
        <xdr:to>
          <xdr:col>8</xdr:col>
          <xdr:colOff>25400</xdr:colOff>
          <xdr:row>103</xdr:row>
          <xdr:rowOff>0</xdr:rowOff>
        </xdr:to>
        <xdr:sp macro="" textlink="">
          <xdr:nvSpPr>
            <xdr:cNvPr id="3091" name="Object 19" hidden="1">
              <a:extLst>
                <a:ext uri="{63B3BB69-23CF-44E3-9099-C40C66FF867C}">
                  <a14:compatExt spid="_x0000_s3091"/>
                </a:ext>
                <a:ext uri="{FF2B5EF4-FFF2-40B4-BE49-F238E27FC236}">
                  <a16:creationId xmlns:a16="http://schemas.microsoft.com/office/drawing/2014/main" id="{00000000-0008-0000-0400-00001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3</xdr:col>
      <xdr:colOff>0</xdr:colOff>
      <xdr:row>65</xdr:row>
      <xdr:rowOff>371475</xdr:rowOff>
    </xdr:from>
    <xdr:to>
      <xdr:col>7</xdr:col>
      <xdr:colOff>771525</xdr:colOff>
      <xdr:row>65</xdr:row>
      <xdr:rowOff>666750</xdr:rowOff>
    </xdr:to>
    <xdr:pic>
      <xdr:nvPicPr>
        <xdr:cNvPr id="4585" name="Picture 6">
          <a:hlinkClick xmlns:r="http://schemas.openxmlformats.org/officeDocument/2006/relationships" r:id="rId1"/>
          <a:extLst>
            <a:ext uri="{FF2B5EF4-FFF2-40B4-BE49-F238E27FC236}">
              <a16:creationId xmlns:a16="http://schemas.microsoft.com/office/drawing/2014/main" id="{00000000-0008-0000-0500-0000E9110000}"/>
            </a:ext>
          </a:extLst>
        </xdr:cNvPr>
        <xdr:cNvPicPr>
          <a:picLocks noChangeAspect="1" noChangeArrowheads="1"/>
        </xdr:cNvPicPr>
      </xdr:nvPicPr>
      <xdr:blipFill>
        <a:blip xmlns:r="http://schemas.openxmlformats.org/officeDocument/2006/relationships" r:embed="rId2" cstate="print"/>
        <a:srcRect l="378" t="11765" r="9074" b="5882"/>
        <a:stretch>
          <a:fillRect/>
        </a:stretch>
      </xdr:blipFill>
      <xdr:spPr bwMode="auto">
        <a:xfrm>
          <a:off x="1666875" y="7524750"/>
          <a:ext cx="2771775" cy="295275"/>
        </a:xfrm>
        <a:prstGeom prst="rect">
          <a:avLst/>
        </a:prstGeom>
        <a:noFill/>
        <a:ln w="9525">
          <a:noFill/>
          <a:miter lim="800000"/>
          <a:headEnd/>
          <a:tailEnd/>
        </a:ln>
      </xdr:spPr>
    </xdr:pic>
    <xdr:clientData/>
  </xdr:twoCellAnchor>
  <xdr:twoCellAnchor editAs="oneCell">
    <xdr:from>
      <xdr:col>2</xdr:col>
      <xdr:colOff>419100</xdr:colOff>
      <xdr:row>65</xdr:row>
      <xdr:rowOff>276225</xdr:rowOff>
    </xdr:from>
    <xdr:to>
      <xdr:col>2</xdr:col>
      <xdr:colOff>1381125</xdr:colOff>
      <xdr:row>65</xdr:row>
      <xdr:rowOff>685800</xdr:rowOff>
    </xdr:to>
    <xdr:pic>
      <xdr:nvPicPr>
        <xdr:cNvPr id="4586" name="Picture 7" descr="http://profile.ak.fbcdn.net/object3/426/104/n129598759409_2759.jpg">
          <a:hlinkClick xmlns:r="http://schemas.openxmlformats.org/officeDocument/2006/relationships" r:id="rId3"/>
          <a:extLst>
            <a:ext uri="{FF2B5EF4-FFF2-40B4-BE49-F238E27FC236}">
              <a16:creationId xmlns:a16="http://schemas.microsoft.com/office/drawing/2014/main" id="{00000000-0008-0000-0500-0000EA110000}"/>
            </a:ext>
          </a:extLst>
        </xdr:cNvPr>
        <xdr:cNvPicPr>
          <a:picLocks noChangeAspect="1" noChangeArrowheads="1"/>
        </xdr:cNvPicPr>
      </xdr:nvPicPr>
      <xdr:blipFill>
        <a:blip xmlns:r="http://schemas.openxmlformats.org/officeDocument/2006/relationships" r:embed="rId4" cstate="print"/>
        <a:srcRect b="8403"/>
        <a:stretch>
          <a:fillRect/>
        </a:stretch>
      </xdr:blipFill>
      <xdr:spPr bwMode="auto">
        <a:xfrm>
          <a:off x="552450" y="7429500"/>
          <a:ext cx="962025" cy="409575"/>
        </a:xfrm>
        <a:prstGeom prst="rect">
          <a:avLst/>
        </a:prstGeom>
        <a:noFill/>
        <a:ln w="9525">
          <a:noFill/>
          <a:miter lim="800000"/>
          <a:headEnd/>
          <a:tailEnd/>
        </a:ln>
      </xdr:spPr>
    </xdr:pic>
    <xdr:clientData/>
  </xdr:twoCellAnchor>
  <xdr:twoCellAnchor>
    <xdr:from>
      <xdr:col>7</xdr:col>
      <xdr:colOff>619125</xdr:colOff>
      <xdr:row>1</xdr:row>
      <xdr:rowOff>28575</xdr:rowOff>
    </xdr:from>
    <xdr:to>
      <xdr:col>9</xdr:col>
      <xdr:colOff>47625</xdr:colOff>
      <xdr:row>3</xdr:row>
      <xdr:rowOff>247650</xdr:rowOff>
    </xdr:to>
    <xdr:pic>
      <xdr:nvPicPr>
        <xdr:cNvPr id="4587" name="Picture 487">
          <a:extLst>
            <a:ext uri="{FF2B5EF4-FFF2-40B4-BE49-F238E27FC236}">
              <a16:creationId xmlns:a16="http://schemas.microsoft.com/office/drawing/2014/main" id="{00000000-0008-0000-0500-0000EB110000}"/>
            </a:ext>
          </a:extLst>
        </xdr:cNvPr>
        <xdr:cNvPicPr>
          <a:picLocks noChangeAspect="1" noChangeArrowheads="1"/>
        </xdr:cNvPicPr>
      </xdr:nvPicPr>
      <xdr:blipFill>
        <a:blip xmlns:r="http://schemas.openxmlformats.org/officeDocument/2006/relationships" r:embed="rId5" cstate="print"/>
        <a:srcRect l="3365" t="18462" r="58473" b="73396"/>
        <a:stretch>
          <a:fillRect/>
        </a:stretch>
      </xdr:blipFill>
      <xdr:spPr bwMode="auto">
        <a:xfrm>
          <a:off x="4181475" y="142875"/>
          <a:ext cx="1952625" cy="571500"/>
        </a:xfrm>
        <a:prstGeom prst="rect">
          <a:avLst/>
        </a:prstGeom>
        <a:noFill/>
        <a:ln w="9525">
          <a:noFill/>
          <a:miter lim="800000"/>
          <a:headEnd/>
          <a:tailEnd/>
        </a:ln>
      </xdr:spPr>
    </xdr:pic>
    <xdr:clientData/>
  </xdr:twoCellAnchor>
  <xdr:twoCellAnchor>
    <xdr:from>
      <xdr:col>7</xdr:col>
      <xdr:colOff>1066800</xdr:colOff>
      <xdr:row>65</xdr:row>
      <xdr:rowOff>209550</xdr:rowOff>
    </xdr:from>
    <xdr:to>
      <xdr:col>8</xdr:col>
      <xdr:colOff>352425</xdr:colOff>
      <xdr:row>65</xdr:row>
      <xdr:rowOff>838200</xdr:rowOff>
    </xdr:to>
    <xdr:pic>
      <xdr:nvPicPr>
        <xdr:cNvPr id="4588" name="Picture 488" descr="kerrycocologo">
          <a:hlinkClick xmlns:r="http://schemas.openxmlformats.org/officeDocument/2006/relationships" r:id="rId6"/>
          <a:extLst>
            <a:ext uri="{FF2B5EF4-FFF2-40B4-BE49-F238E27FC236}">
              <a16:creationId xmlns:a16="http://schemas.microsoft.com/office/drawing/2014/main" id="{00000000-0008-0000-0500-0000EC110000}"/>
            </a:ext>
          </a:extLst>
        </xdr:cNvPr>
        <xdr:cNvPicPr>
          <a:picLocks noChangeAspect="1" noChangeArrowheads="1"/>
        </xdr:cNvPicPr>
      </xdr:nvPicPr>
      <xdr:blipFill>
        <a:blip xmlns:r="http://schemas.openxmlformats.org/officeDocument/2006/relationships" r:embed="rId7" cstate="print"/>
        <a:srcRect l="10257" t="5791" r="14102"/>
        <a:stretch>
          <a:fillRect/>
        </a:stretch>
      </xdr:blipFill>
      <xdr:spPr bwMode="auto">
        <a:xfrm>
          <a:off x="4629150" y="7362825"/>
          <a:ext cx="561975" cy="6286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171450</xdr:colOff>
      <xdr:row>17</xdr:row>
      <xdr:rowOff>209550</xdr:rowOff>
    </xdr:from>
    <xdr:to>
      <xdr:col>4</xdr:col>
      <xdr:colOff>1219200</xdr:colOff>
      <xdr:row>31</xdr:row>
      <xdr:rowOff>0</xdr:rowOff>
    </xdr:to>
    <xdr:grpSp>
      <xdr:nvGrpSpPr>
        <xdr:cNvPr id="329918" name="Group 31">
          <a:extLst>
            <a:ext uri="{FF2B5EF4-FFF2-40B4-BE49-F238E27FC236}">
              <a16:creationId xmlns:a16="http://schemas.microsoft.com/office/drawing/2014/main" id="{00000000-0008-0000-0600-0000BE080500}"/>
            </a:ext>
          </a:extLst>
        </xdr:cNvPr>
        <xdr:cNvGrpSpPr>
          <a:grpSpLocks/>
        </xdr:cNvGrpSpPr>
      </xdr:nvGrpSpPr>
      <xdr:grpSpPr bwMode="auto">
        <a:xfrm>
          <a:off x="317500" y="3575050"/>
          <a:ext cx="3124200" cy="3054350"/>
          <a:chOff x="1422" y="435"/>
          <a:chExt cx="220" cy="281"/>
        </a:xfrm>
      </xdr:grpSpPr>
      <xdr:sp macro="" textlink="">
        <xdr:nvSpPr>
          <xdr:cNvPr id="329932" name="Freeform 16">
            <a:extLst>
              <a:ext uri="{FF2B5EF4-FFF2-40B4-BE49-F238E27FC236}">
                <a16:creationId xmlns:a16="http://schemas.microsoft.com/office/drawing/2014/main" id="{00000000-0008-0000-0600-0000CC080500}"/>
              </a:ext>
            </a:extLst>
          </xdr:cNvPr>
          <xdr:cNvSpPr>
            <a:spLocks/>
          </xdr:cNvSpPr>
        </xdr:nvSpPr>
        <xdr:spPr bwMode="auto">
          <a:xfrm>
            <a:off x="1422" y="435"/>
            <a:ext cx="76" cy="30"/>
          </a:xfrm>
          <a:custGeom>
            <a:avLst/>
            <a:gdLst>
              <a:gd name="T0" fmla="*/ 0 w 76"/>
              <a:gd name="T1" fmla="*/ 0 h 30"/>
              <a:gd name="T2" fmla="*/ 53 w 76"/>
              <a:gd name="T3" fmla="*/ 0 h 30"/>
              <a:gd name="T4" fmla="*/ 76 w 76"/>
              <a:gd name="T5" fmla="*/ 13 h 30"/>
              <a:gd name="T6" fmla="*/ 53 w 76"/>
              <a:gd name="T7" fmla="*/ 30 h 30"/>
              <a:gd name="T8" fmla="*/ 0 w 76"/>
              <a:gd name="T9" fmla="*/ 30 h 30"/>
              <a:gd name="T10" fmla="*/ 0 w 76"/>
              <a:gd name="T11" fmla="*/ 0 h 30"/>
              <a:gd name="T12" fmla="*/ 0 60000 65536"/>
              <a:gd name="T13" fmla="*/ 0 60000 65536"/>
              <a:gd name="T14" fmla="*/ 0 60000 65536"/>
              <a:gd name="T15" fmla="*/ 0 60000 65536"/>
              <a:gd name="T16" fmla="*/ 0 60000 65536"/>
              <a:gd name="T17" fmla="*/ 0 60000 65536"/>
              <a:gd name="T18" fmla="*/ 0 w 76"/>
              <a:gd name="T19" fmla="*/ 0 h 30"/>
              <a:gd name="T20" fmla="*/ 76 w 76"/>
              <a:gd name="T21" fmla="*/ 30 h 30"/>
            </a:gdLst>
            <a:ahLst/>
            <a:cxnLst>
              <a:cxn ang="T12">
                <a:pos x="T0" y="T1"/>
              </a:cxn>
              <a:cxn ang="T13">
                <a:pos x="T2" y="T3"/>
              </a:cxn>
              <a:cxn ang="T14">
                <a:pos x="T4" y="T5"/>
              </a:cxn>
              <a:cxn ang="T15">
                <a:pos x="T6" y="T7"/>
              </a:cxn>
              <a:cxn ang="T16">
                <a:pos x="T8" y="T9"/>
              </a:cxn>
              <a:cxn ang="T17">
                <a:pos x="T10" y="T11"/>
              </a:cxn>
            </a:cxnLst>
            <a:rect l="T18" t="T19" r="T20" b="T21"/>
            <a:pathLst>
              <a:path w="76" h="30">
                <a:moveTo>
                  <a:pt x="0" y="0"/>
                </a:moveTo>
                <a:lnTo>
                  <a:pt x="53" y="0"/>
                </a:lnTo>
                <a:lnTo>
                  <a:pt x="76" y="13"/>
                </a:lnTo>
                <a:lnTo>
                  <a:pt x="53" y="30"/>
                </a:lnTo>
                <a:lnTo>
                  <a:pt x="0" y="30"/>
                </a:lnTo>
                <a:lnTo>
                  <a:pt x="0" y="0"/>
                </a:lnTo>
                <a:close/>
              </a:path>
            </a:pathLst>
          </a:custGeom>
          <a:solidFill>
            <a:srgbClr val="00FF00"/>
          </a:solidFill>
          <a:ln w="9525">
            <a:noFill/>
            <a:round/>
            <a:headEnd/>
            <a:tailEnd/>
          </a:ln>
        </xdr:spPr>
      </xdr:sp>
      <xdr:sp macro="" textlink="">
        <xdr:nvSpPr>
          <xdr:cNvPr id="329933" name="Freeform 17">
            <a:extLst>
              <a:ext uri="{FF2B5EF4-FFF2-40B4-BE49-F238E27FC236}">
                <a16:creationId xmlns:a16="http://schemas.microsoft.com/office/drawing/2014/main" id="{00000000-0008-0000-0600-0000CD080500}"/>
              </a:ext>
            </a:extLst>
          </xdr:cNvPr>
          <xdr:cNvSpPr>
            <a:spLocks/>
          </xdr:cNvSpPr>
        </xdr:nvSpPr>
        <xdr:spPr bwMode="auto">
          <a:xfrm>
            <a:off x="1447" y="478"/>
            <a:ext cx="76" cy="31"/>
          </a:xfrm>
          <a:custGeom>
            <a:avLst/>
            <a:gdLst>
              <a:gd name="T0" fmla="*/ 0 w 76"/>
              <a:gd name="T1" fmla="*/ 0 h 30"/>
              <a:gd name="T2" fmla="*/ 53 w 76"/>
              <a:gd name="T3" fmla="*/ 0 h 30"/>
              <a:gd name="T4" fmla="*/ 76 w 76"/>
              <a:gd name="T5" fmla="*/ 13 h 30"/>
              <a:gd name="T6" fmla="*/ 53 w 76"/>
              <a:gd name="T7" fmla="*/ 102 h 30"/>
              <a:gd name="T8" fmla="*/ 0 w 76"/>
              <a:gd name="T9" fmla="*/ 102 h 30"/>
              <a:gd name="T10" fmla="*/ 0 w 76"/>
              <a:gd name="T11" fmla="*/ 0 h 30"/>
              <a:gd name="T12" fmla="*/ 0 60000 65536"/>
              <a:gd name="T13" fmla="*/ 0 60000 65536"/>
              <a:gd name="T14" fmla="*/ 0 60000 65536"/>
              <a:gd name="T15" fmla="*/ 0 60000 65536"/>
              <a:gd name="T16" fmla="*/ 0 60000 65536"/>
              <a:gd name="T17" fmla="*/ 0 60000 65536"/>
              <a:gd name="T18" fmla="*/ 0 w 76"/>
              <a:gd name="T19" fmla="*/ 0 h 30"/>
              <a:gd name="T20" fmla="*/ 76 w 76"/>
              <a:gd name="T21" fmla="*/ 30 h 30"/>
            </a:gdLst>
            <a:ahLst/>
            <a:cxnLst>
              <a:cxn ang="T12">
                <a:pos x="T0" y="T1"/>
              </a:cxn>
              <a:cxn ang="T13">
                <a:pos x="T2" y="T3"/>
              </a:cxn>
              <a:cxn ang="T14">
                <a:pos x="T4" y="T5"/>
              </a:cxn>
              <a:cxn ang="T15">
                <a:pos x="T6" y="T7"/>
              </a:cxn>
              <a:cxn ang="T16">
                <a:pos x="T8" y="T9"/>
              </a:cxn>
              <a:cxn ang="T17">
                <a:pos x="T10" y="T11"/>
              </a:cxn>
            </a:cxnLst>
            <a:rect l="T18" t="T19" r="T20" b="T21"/>
            <a:pathLst>
              <a:path w="76" h="30">
                <a:moveTo>
                  <a:pt x="0" y="0"/>
                </a:moveTo>
                <a:lnTo>
                  <a:pt x="53" y="0"/>
                </a:lnTo>
                <a:lnTo>
                  <a:pt x="76" y="13"/>
                </a:lnTo>
                <a:lnTo>
                  <a:pt x="53" y="30"/>
                </a:lnTo>
                <a:lnTo>
                  <a:pt x="0" y="30"/>
                </a:lnTo>
                <a:lnTo>
                  <a:pt x="0" y="0"/>
                </a:lnTo>
                <a:close/>
              </a:path>
            </a:pathLst>
          </a:custGeom>
          <a:solidFill>
            <a:srgbClr val="99CC00"/>
          </a:solidFill>
          <a:ln w="9525">
            <a:noFill/>
            <a:round/>
            <a:headEnd/>
            <a:tailEnd/>
          </a:ln>
        </xdr:spPr>
      </xdr:sp>
      <xdr:sp macro="" textlink="">
        <xdr:nvSpPr>
          <xdr:cNvPr id="329934" name="Freeform 18">
            <a:extLst>
              <a:ext uri="{FF2B5EF4-FFF2-40B4-BE49-F238E27FC236}">
                <a16:creationId xmlns:a16="http://schemas.microsoft.com/office/drawing/2014/main" id="{00000000-0008-0000-0600-0000CE080500}"/>
              </a:ext>
            </a:extLst>
          </xdr:cNvPr>
          <xdr:cNvSpPr>
            <a:spLocks/>
          </xdr:cNvSpPr>
        </xdr:nvSpPr>
        <xdr:spPr bwMode="auto">
          <a:xfrm>
            <a:off x="1472" y="522"/>
            <a:ext cx="76" cy="30"/>
          </a:xfrm>
          <a:custGeom>
            <a:avLst/>
            <a:gdLst>
              <a:gd name="T0" fmla="*/ 0 w 76"/>
              <a:gd name="T1" fmla="*/ 0 h 30"/>
              <a:gd name="T2" fmla="*/ 53 w 76"/>
              <a:gd name="T3" fmla="*/ 0 h 30"/>
              <a:gd name="T4" fmla="*/ 76 w 76"/>
              <a:gd name="T5" fmla="*/ 13 h 30"/>
              <a:gd name="T6" fmla="*/ 53 w 76"/>
              <a:gd name="T7" fmla="*/ 30 h 30"/>
              <a:gd name="T8" fmla="*/ 0 w 76"/>
              <a:gd name="T9" fmla="*/ 30 h 30"/>
              <a:gd name="T10" fmla="*/ 0 w 76"/>
              <a:gd name="T11" fmla="*/ 0 h 30"/>
              <a:gd name="T12" fmla="*/ 0 60000 65536"/>
              <a:gd name="T13" fmla="*/ 0 60000 65536"/>
              <a:gd name="T14" fmla="*/ 0 60000 65536"/>
              <a:gd name="T15" fmla="*/ 0 60000 65536"/>
              <a:gd name="T16" fmla="*/ 0 60000 65536"/>
              <a:gd name="T17" fmla="*/ 0 60000 65536"/>
              <a:gd name="T18" fmla="*/ 0 w 76"/>
              <a:gd name="T19" fmla="*/ 0 h 30"/>
              <a:gd name="T20" fmla="*/ 76 w 76"/>
              <a:gd name="T21" fmla="*/ 30 h 30"/>
            </a:gdLst>
            <a:ahLst/>
            <a:cxnLst>
              <a:cxn ang="T12">
                <a:pos x="T0" y="T1"/>
              </a:cxn>
              <a:cxn ang="T13">
                <a:pos x="T2" y="T3"/>
              </a:cxn>
              <a:cxn ang="T14">
                <a:pos x="T4" y="T5"/>
              </a:cxn>
              <a:cxn ang="T15">
                <a:pos x="T6" y="T7"/>
              </a:cxn>
              <a:cxn ang="T16">
                <a:pos x="T8" y="T9"/>
              </a:cxn>
              <a:cxn ang="T17">
                <a:pos x="T10" y="T11"/>
              </a:cxn>
            </a:cxnLst>
            <a:rect l="T18" t="T19" r="T20" b="T21"/>
            <a:pathLst>
              <a:path w="76" h="30">
                <a:moveTo>
                  <a:pt x="0" y="0"/>
                </a:moveTo>
                <a:lnTo>
                  <a:pt x="53" y="0"/>
                </a:lnTo>
                <a:lnTo>
                  <a:pt x="76" y="13"/>
                </a:lnTo>
                <a:lnTo>
                  <a:pt x="53" y="30"/>
                </a:lnTo>
                <a:lnTo>
                  <a:pt x="0" y="30"/>
                </a:lnTo>
                <a:lnTo>
                  <a:pt x="0" y="0"/>
                </a:lnTo>
                <a:close/>
              </a:path>
            </a:pathLst>
          </a:custGeom>
          <a:solidFill>
            <a:srgbClr val="339966"/>
          </a:solidFill>
          <a:ln w="9525">
            <a:noFill/>
            <a:round/>
            <a:headEnd/>
            <a:tailEnd/>
          </a:ln>
        </xdr:spPr>
      </xdr:sp>
      <xdr:sp macro="" textlink="">
        <xdr:nvSpPr>
          <xdr:cNvPr id="329935" name="Freeform 19">
            <a:extLst>
              <a:ext uri="{FF2B5EF4-FFF2-40B4-BE49-F238E27FC236}">
                <a16:creationId xmlns:a16="http://schemas.microsoft.com/office/drawing/2014/main" id="{00000000-0008-0000-0600-0000CF080500}"/>
              </a:ext>
            </a:extLst>
          </xdr:cNvPr>
          <xdr:cNvSpPr>
            <a:spLocks/>
          </xdr:cNvSpPr>
        </xdr:nvSpPr>
        <xdr:spPr bwMode="auto">
          <a:xfrm>
            <a:off x="1495" y="561"/>
            <a:ext cx="76" cy="29"/>
          </a:xfrm>
          <a:custGeom>
            <a:avLst/>
            <a:gdLst>
              <a:gd name="T0" fmla="*/ 0 w 76"/>
              <a:gd name="T1" fmla="*/ 0 h 30"/>
              <a:gd name="T2" fmla="*/ 53 w 76"/>
              <a:gd name="T3" fmla="*/ 0 h 30"/>
              <a:gd name="T4" fmla="*/ 76 w 76"/>
              <a:gd name="T5" fmla="*/ 13 h 30"/>
              <a:gd name="T6" fmla="*/ 53 w 76"/>
              <a:gd name="T7" fmla="*/ 15 h 30"/>
              <a:gd name="T8" fmla="*/ 0 w 76"/>
              <a:gd name="T9" fmla="*/ 15 h 30"/>
              <a:gd name="T10" fmla="*/ 0 w 76"/>
              <a:gd name="T11" fmla="*/ 0 h 30"/>
              <a:gd name="T12" fmla="*/ 0 60000 65536"/>
              <a:gd name="T13" fmla="*/ 0 60000 65536"/>
              <a:gd name="T14" fmla="*/ 0 60000 65536"/>
              <a:gd name="T15" fmla="*/ 0 60000 65536"/>
              <a:gd name="T16" fmla="*/ 0 60000 65536"/>
              <a:gd name="T17" fmla="*/ 0 60000 65536"/>
              <a:gd name="T18" fmla="*/ 0 w 76"/>
              <a:gd name="T19" fmla="*/ 0 h 30"/>
              <a:gd name="T20" fmla="*/ 76 w 76"/>
              <a:gd name="T21" fmla="*/ 30 h 30"/>
            </a:gdLst>
            <a:ahLst/>
            <a:cxnLst>
              <a:cxn ang="T12">
                <a:pos x="T0" y="T1"/>
              </a:cxn>
              <a:cxn ang="T13">
                <a:pos x="T2" y="T3"/>
              </a:cxn>
              <a:cxn ang="T14">
                <a:pos x="T4" y="T5"/>
              </a:cxn>
              <a:cxn ang="T15">
                <a:pos x="T6" y="T7"/>
              </a:cxn>
              <a:cxn ang="T16">
                <a:pos x="T8" y="T9"/>
              </a:cxn>
              <a:cxn ang="T17">
                <a:pos x="T10" y="T11"/>
              </a:cxn>
            </a:cxnLst>
            <a:rect l="T18" t="T19" r="T20" b="T21"/>
            <a:pathLst>
              <a:path w="76" h="30">
                <a:moveTo>
                  <a:pt x="0" y="0"/>
                </a:moveTo>
                <a:lnTo>
                  <a:pt x="53" y="0"/>
                </a:lnTo>
                <a:lnTo>
                  <a:pt x="76" y="13"/>
                </a:lnTo>
                <a:lnTo>
                  <a:pt x="53" y="30"/>
                </a:lnTo>
                <a:lnTo>
                  <a:pt x="0" y="30"/>
                </a:lnTo>
                <a:lnTo>
                  <a:pt x="0" y="0"/>
                </a:lnTo>
                <a:close/>
              </a:path>
            </a:pathLst>
          </a:custGeom>
          <a:solidFill>
            <a:srgbClr val="FFFF00"/>
          </a:solidFill>
          <a:ln w="9525">
            <a:noFill/>
            <a:round/>
            <a:headEnd/>
            <a:tailEnd/>
          </a:ln>
        </xdr:spPr>
      </xdr:sp>
      <xdr:sp macro="" textlink="">
        <xdr:nvSpPr>
          <xdr:cNvPr id="329936" name="Freeform 20">
            <a:extLst>
              <a:ext uri="{FF2B5EF4-FFF2-40B4-BE49-F238E27FC236}">
                <a16:creationId xmlns:a16="http://schemas.microsoft.com/office/drawing/2014/main" id="{00000000-0008-0000-0600-0000D0080500}"/>
              </a:ext>
            </a:extLst>
          </xdr:cNvPr>
          <xdr:cNvSpPr>
            <a:spLocks/>
          </xdr:cNvSpPr>
        </xdr:nvSpPr>
        <xdr:spPr bwMode="auto">
          <a:xfrm>
            <a:off x="1519" y="603"/>
            <a:ext cx="76" cy="30"/>
          </a:xfrm>
          <a:custGeom>
            <a:avLst/>
            <a:gdLst>
              <a:gd name="T0" fmla="*/ 0 w 76"/>
              <a:gd name="T1" fmla="*/ 0 h 30"/>
              <a:gd name="T2" fmla="*/ 53 w 76"/>
              <a:gd name="T3" fmla="*/ 0 h 30"/>
              <a:gd name="T4" fmla="*/ 76 w 76"/>
              <a:gd name="T5" fmla="*/ 13 h 30"/>
              <a:gd name="T6" fmla="*/ 53 w 76"/>
              <a:gd name="T7" fmla="*/ 30 h 30"/>
              <a:gd name="T8" fmla="*/ 0 w 76"/>
              <a:gd name="T9" fmla="*/ 30 h 30"/>
              <a:gd name="T10" fmla="*/ 0 w 76"/>
              <a:gd name="T11" fmla="*/ 0 h 30"/>
              <a:gd name="T12" fmla="*/ 0 60000 65536"/>
              <a:gd name="T13" fmla="*/ 0 60000 65536"/>
              <a:gd name="T14" fmla="*/ 0 60000 65536"/>
              <a:gd name="T15" fmla="*/ 0 60000 65536"/>
              <a:gd name="T16" fmla="*/ 0 60000 65536"/>
              <a:gd name="T17" fmla="*/ 0 60000 65536"/>
              <a:gd name="T18" fmla="*/ 0 w 76"/>
              <a:gd name="T19" fmla="*/ 0 h 30"/>
              <a:gd name="T20" fmla="*/ 76 w 76"/>
              <a:gd name="T21" fmla="*/ 30 h 30"/>
            </a:gdLst>
            <a:ahLst/>
            <a:cxnLst>
              <a:cxn ang="T12">
                <a:pos x="T0" y="T1"/>
              </a:cxn>
              <a:cxn ang="T13">
                <a:pos x="T2" y="T3"/>
              </a:cxn>
              <a:cxn ang="T14">
                <a:pos x="T4" y="T5"/>
              </a:cxn>
              <a:cxn ang="T15">
                <a:pos x="T6" y="T7"/>
              </a:cxn>
              <a:cxn ang="T16">
                <a:pos x="T8" y="T9"/>
              </a:cxn>
              <a:cxn ang="T17">
                <a:pos x="T10" y="T11"/>
              </a:cxn>
            </a:cxnLst>
            <a:rect l="T18" t="T19" r="T20" b="T21"/>
            <a:pathLst>
              <a:path w="76" h="30">
                <a:moveTo>
                  <a:pt x="0" y="0"/>
                </a:moveTo>
                <a:lnTo>
                  <a:pt x="53" y="0"/>
                </a:lnTo>
                <a:lnTo>
                  <a:pt x="76" y="13"/>
                </a:lnTo>
                <a:lnTo>
                  <a:pt x="53" y="30"/>
                </a:lnTo>
                <a:lnTo>
                  <a:pt x="0" y="30"/>
                </a:lnTo>
                <a:lnTo>
                  <a:pt x="0" y="0"/>
                </a:lnTo>
                <a:close/>
              </a:path>
            </a:pathLst>
          </a:custGeom>
          <a:solidFill>
            <a:srgbClr val="FFCC00"/>
          </a:solidFill>
          <a:ln w="9525">
            <a:noFill/>
            <a:round/>
            <a:headEnd/>
            <a:tailEnd/>
          </a:ln>
        </xdr:spPr>
      </xdr:sp>
      <xdr:sp macro="" textlink="">
        <xdr:nvSpPr>
          <xdr:cNvPr id="329937" name="Freeform 21">
            <a:extLst>
              <a:ext uri="{FF2B5EF4-FFF2-40B4-BE49-F238E27FC236}">
                <a16:creationId xmlns:a16="http://schemas.microsoft.com/office/drawing/2014/main" id="{00000000-0008-0000-0600-0000D1080500}"/>
              </a:ext>
            </a:extLst>
          </xdr:cNvPr>
          <xdr:cNvSpPr>
            <a:spLocks/>
          </xdr:cNvSpPr>
        </xdr:nvSpPr>
        <xdr:spPr bwMode="auto">
          <a:xfrm>
            <a:off x="1542" y="644"/>
            <a:ext cx="76" cy="29"/>
          </a:xfrm>
          <a:custGeom>
            <a:avLst/>
            <a:gdLst>
              <a:gd name="T0" fmla="*/ 0 w 76"/>
              <a:gd name="T1" fmla="*/ 0 h 30"/>
              <a:gd name="T2" fmla="*/ 53 w 76"/>
              <a:gd name="T3" fmla="*/ 0 h 30"/>
              <a:gd name="T4" fmla="*/ 76 w 76"/>
              <a:gd name="T5" fmla="*/ 13 h 30"/>
              <a:gd name="T6" fmla="*/ 53 w 76"/>
              <a:gd name="T7" fmla="*/ 15 h 30"/>
              <a:gd name="T8" fmla="*/ 0 w 76"/>
              <a:gd name="T9" fmla="*/ 15 h 30"/>
              <a:gd name="T10" fmla="*/ 0 w 76"/>
              <a:gd name="T11" fmla="*/ 0 h 30"/>
              <a:gd name="T12" fmla="*/ 0 60000 65536"/>
              <a:gd name="T13" fmla="*/ 0 60000 65536"/>
              <a:gd name="T14" fmla="*/ 0 60000 65536"/>
              <a:gd name="T15" fmla="*/ 0 60000 65536"/>
              <a:gd name="T16" fmla="*/ 0 60000 65536"/>
              <a:gd name="T17" fmla="*/ 0 60000 65536"/>
              <a:gd name="T18" fmla="*/ 0 w 76"/>
              <a:gd name="T19" fmla="*/ 0 h 30"/>
              <a:gd name="T20" fmla="*/ 76 w 76"/>
              <a:gd name="T21" fmla="*/ 30 h 30"/>
            </a:gdLst>
            <a:ahLst/>
            <a:cxnLst>
              <a:cxn ang="T12">
                <a:pos x="T0" y="T1"/>
              </a:cxn>
              <a:cxn ang="T13">
                <a:pos x="T2" y="T3"/>
              </a:cxn>
              <a:cxn ang="T14">
                <a:pos x="T4" y="T5"/>
              </a:cxn>
              <a:cxn ang="T15">
                <a:pos x="T6" y="T7"/>
              </a:cxn>
              <a:cxn ang="T16">
                <a:pos x="T8" y="T9"/>
              </a:cxn>
              <a:cxn ang="T17">
                <a:pos x="T10" y="T11"/>
              </a:cxn>
            </a:cxnLst>
            <a:rect l="T18" t="T19" r="T20" b="T21"/>
            <a:pathLst>
              <a:path w="76" h="30">
                <a:moveTo>
                  <a:pt x="0" y="0"/>
                </a:moveTo>
                <a:lnTo>
                  <a:pt x="53" y="0"/>
                </a:lnTo>
                <a:lnTo>
                  <a:pt x="76" y="13"/>
                </a:lnTo>
                <a:lnTo>
                  <a:pt x="53" y="30"/>
                </a:lnTo>
                <a:lnTo>
                  <a:pt x="0" y="30"/>
                </a:lnTo>
                <a:lnTo>
                  <a:pt x="0" y="0"/>
                </a:lnTo>
                <a:close/>
              </a:path>
            </a:pathLst>
          </a:custGeom>
          <a:solidFill>
            <a:srgbClr val="FF6600"/>
          </a:solidFill>
          <a:ln w="9525">
            <a:noFill/>
            <a:round/>
            <a:headEnd/>
            <a:tailEnd/>
          </a:ln>
        </xdr:spPr>
      </xdr:sp>
      <xdr:sp macro="" textlink="">
        <xdr:nvSpPr>
          <xdr:cNvPr id="329938" name="Freeform 23">
            <a:extLst>
              <a:ext uri="{FF2B5EF4-FFF2-40B4-BE49-F238E27FC236}">
                <a16:creationId xmlns:a16="http://schemas.microsoft.com/office/drawing/2014/main" id="{00000000-0008-0000-0600-0000D2080500}"/>
              </a:ext>
            </a:extLst>
          </xdr:cNvPr>
          <xdr:cNvSpPr>
            <a:spLocks/>
          </xdr:cNvSpPr>
        </xdr:nvSpPr>
        <xdr:spPr bwMode="auto">
          <a:xfrm>
            <a:off x="1566" y="686"/>
            <a:ext cx="76" cy="30"/>
          </a:xfrm>
          <a:custGeom>
            <a:avLst/>
            <a:gdLst>
              <a:gd name="T0" fmla="*/ 0 w 76"/>
              <a:gd name="T1" fmla="*/ 0 h 30"/>
              <a:gd name="T2" fmla="*/ 53 w 76"/>
              <a:gd name="T3" fmla="*/ 0 h 30"/>
              <a:gd name="T4" fmla="*/ 76 w 76"/>
              <a:gd name="T5" fmla="*/ 13 h 30"/>
              <a:gd name="T6" fmla="*/ 53 w 76"/>
              <a:gd name="T7" fmla="*/ 30 h 30"/>
              <a:gd name="T8" fmla="*/ 0 w 76"/>
              <a:gd name="T9" fmla="*/ 30 h 30"/>
              <a:gd name="T10" fmla="*/ 0 w 76"/>
              <a:gd name="T11" fmla="*/ 0 h 30"/>
              <a:gd name="T12" fmla="*/ 0 60000 65536"/>
              <a:gd name="T13" fmla="*/ 0 60000 65536"/>
              <a:gd name="T14" fmla="*/ 0 60000 65536"/>
              <a:gd name="T15" fmla="*/ 0 60000 65536"/>
              <a:gd name="T16" fmla="*/ 0 60000 65536"/>
              <a:gd name="T17" fmla="*/ 0 60000 65536"/>
              <a:gd name="T18" fmla="*/ 0 w 76"/>
              <a:gd name="T19" fmla="*/ 0 h 30"/>
              <a:gd name="T20" fmla="*/ 76 w 76"/>
              <a:gd name="T21" fmla="*/ 30 h 30"/>
            </a:gdLst>
            <a:ahLst/>
            <a:cxnLst>
              <a:cxn ang="T12">
                <a:pos x="T0" y="T1"/>
              </a:cxn>
              <a:cxn ang="T13">
                <a:pos x="T2" y="T3"/>
              </a:cxn>
              <a:cxn ang="T14">
                <a:pos x="T4" y="T5"/>
              </a:cxn>
              <a:cxn ang="T15">
                <a:pos x="T6" y="T7"/>
              </a:cxn>
              <a:cxn ang="T16">
                <a:pos x="T8" y="T9"/>
              </a:cxn>
              <a:cxn ang="T17">
                <a:pos x="T10" y="T11"/>
              </a:cxn>
            </a:cxnLst>
            <a:rect l="T18" t="T19" r="T20" b="T21"/>
            <a:pathLst>
              <a:path w="76" h="30">
                <a:moveTo>
                  <a:pt x="0" y="0"/>
                </a:moveTo>
                <a:lnTo>
                  <a:pt x="53" y="0"/>
                </a:lnTo>
                <a:lnTo>
                  <a:pt x="76" y="13"/>
                </a:lnTo>
                <a:lnTo>
                  <a:pt x="53" y="30"/>
                </a:lnTo>
                <a:lnTo>
                  <a:pt x="0" y="30"/>
                </a:lnTo>
                <a:lnTo>
                  <a:pt x="0" y="0"/>
                </a:lnTo>
                <a:close/>
              </a:path>
            </a:pathLst>
          </a:custGeom>
          <a:solidFill>
            <a:srgbClr val="FF0000"/>
          </a:solidFill>
          <a:ln w="9525">
            <a:noFill/>
            <a:round/>
            <a:headEnd/>
            <a:tailEnd/>
          </a:ln>
        </xdr:spPr>
      </xdr:sp>
      <xdr:sp macro="" textlink="">
        <xdr:nvSpPr>
          <xdr:cNvPr id="329939" name="Rectangle 25">
            <a:extLst>
              <a:ext uri="{FF2B5EF4-FFF2-40B4-BE49-F238E27FC236}">
                <a16:creationId xmlns:a16="http://schemas.microsoft.com/office/drawing/2014/main" id="{00000000-0008-0000-0600-0000D3080500}"/>
              </a:ext>
            </a:extLst>
          </xdr:cNvPr>
          <xdr:cNvSpPr>
            <a:spLocks noChangeArrowheads="1"/>
          </xdr:cNvSpPr>
        </xdr:nvSpPr>
        <xdr:spPr bwMode="auto">
          <a:xfrm>
            <a:off x="1422" y="478"/>
            <a:ext cx="31" cy="31"/>
          </a:xfrm>
          <a:prstGeom prst="rect">
            <a:avLst/>
          </a:prstGeom>
          <a:solidFill>
            <a:srgbClr val="99CC00"/>
          </a:solidFill>
          <a:ln w="9525">
            <a:noFill/>
            <a:miter lim="800000"/>
            <a:headEnd/>
            <a:tailEnd/>
          </a:ln>
        </xdr:spPr>
      </xdr:sp>
      <xdr:sp macro="" textlink="">
        <xdr:nvSpPr>
          <xdr:cNvPr id="329940" name="Rectangle 26">
            <a:extLst>
              <a:ext uri="{FF2B5EF4-FFF2-40B4-BE49-F238E27FC236}">
                <a16:creationId xmlns:a16="http://schemas.microsoft.com/office/drawing/2014/main" id="{00000000-0008-0000-0600-0000D4080500}"/>
              </a:ext>
            </a:extLst>
          </xdr:cNvPr>
          <xdr:cNvSpPr>
            <a:spLocks noChangeArrowheads="1"/>
          </xdr:cNvSpPr>
        </xdr:nvSpPr>
        <xdr:spPr bwMode="auto">
          <a:xfrm>
            <a:off x="1422" y="522"/>
            <a:ext cx="50" cy="30"/>
          </a:xfrm>
          <a:prstGeom prst="rect">
            <a:avLst/>
          </a:prstGeom>
          <a:solidFill>
            <a:srgbClr val="339966"/>
          </a:solidFill>
          <a:ln w="9525">
            <a:noFill/>
            <a:miter lim="800000"/>
            <a:headEnd/>
            <a:tailEnd/>
          </a:ln>
        </xdr:spPr>
      </xdr:sp>
      <xdr:sp macro="" textlink="">
        <xdr:nvSpPr>
          <xdr:cNvPr id="329941" name="Rectangle 27">
            <a:extLst>
              <a:ext uri="{FF2B5EF4-FFF2-40B4-BE49-F238E27FC236}">
                <a16:creationId xmlns:a16="http://schemas.microsoft.com/office/drawing/2014/main" id="{00000000-0008-0000-0600-0000D5080500}"/>
              </a:ext>
            </a:extLst>
          </xdr:cNvPr>
          <xdr:cNvSpPr>
            <a:spLocks noChangeArrowheads="1"/>
          </xdr:cNvSpPr>
        </xdr:nvSpPr>
        <xdr:spPr bwMode="auto">
          <a:xfrm>
            <a:off x="1422" y="561"/>
            <a:ext cx="73" cy="29"/>
          </a:xfrm>
          <a:prstGeom prst="rect">
            <a:avLst/>
          </a:prstGeom>
          <a:solidFill>
            <a:srgbClr val="FFFF00"/>
          </a:solidFill>
          <a:ln w="9525">
            <a:noFill/>
            <a:miter lim="800000"/>
            <a:headEnd/>
            <a:tailEnd/>
          </a:ln>
        </xdr:spPr>
      </xdr:sp>
      <xdr:sp macro="" textlink="">
        <xdr:nvSpPr>
          <xdr:cNvPr id="329942" name="Rectangle 28">
            <a:extLst>
              <a:ext uri="{FF2B5EF4-FFF2-40B4-BE49-F238E27FC236}">
                <a16:creationId xmlns:a16="http://schemas.microsoft.com/office/drawing/2014/main" id="{00000000-0008-0000-0600-0000D6080500}"/>
              </a:ext>
            </a:extLst>
          </xdr:cNvPr>
          <xdr:cNvSpPr>
            <a:spLocks noChangeArrowheads="1"/>
          </xdr:cNvSpPr>
        </xdr:nvSpPr>
        <xdr:spPr bwMode="auto">
          <a:xfrm>
            <a:off x="1422" y="603"/>
            <a:ext cx="98" cy="30"/>
          </a:xfrm>
          <a:prstGeom prst="rect">
            <a:avLst/>
          </a:prstGeom>
          <a:solidFill>
            <a:srgbClr val="FFCC00"/>
          </a:solidFill>
          <a:ln w="9525">
            <a:noFill/>
            <a:miter lim="800000"/>
            <a:headEnd/>
            <a:tailEnd/>
          </a:ln>
        </xdr:spPr>
      </xdr:sp>
      <xdr:sp macro="" textlink="">
        <xdr:nvSpPr>
          <xdr:cNvPr id="329943" name="Rectangle 29">
            <a:extLst>
              <a:ext uri="{FF2B5EF4-FFF2-40B4-BE49-F238E27FC236}">
                <a16:creationId xmlns:a16="http://schemas.microsoft.com/office/drawing/2014/main" id="{00000000-0008-0000-0600-0000D7080500}"/>
              </a:ext>
            </a:extLst>
          </xdr:cNvPr>
          <xdr:cNvSpPr>
            <a:spLocks noChangeArrowheads="1"/>
          </xdr:cNvSpPr>
        </xdr:nvSpPr>
        <xdr:spPr bwMode="auto">
          <a:xfrm>
            <a:off x="1422" y="644"/>
            <a:ext cx="120" cy="29"/>
          </a:xfrm>
          <a:prstGeom prst="rect">
            <a:avLst/>
          </a:prstGeom>
          <a:solidFill>
            <a:srgbClr val="FF6600"/>
          </a:solidFill>
          <a:ln w="9525">
            <a:noFill/>
            <a:miter lim="800000"/>
            <a:headEnd/>
            <a:tailEnd/>
          </a:ln>
        </xdr:spPr>
      </xdr:sp>
      <xdr:sp macro="" textlink="">
        <xdr:nvSpPr>
          <xdr:cNvPr id="329944" name="Rectangle 30">
            <a:extLst>
              <a:ext uri="{FF2B5EF4-FFF2-40B4-BE49-F238E27FC236}">
                <a16:creationId xmlns:a16="http://schemas.microsoft.com/office/drawing/2014/main" id="{00000000-0008-0000-0600-0000D8080500}"/>
              </a:ext>
            </a:extLst>
          </xdr:cNvPr>
          <xdr:cNvSpPr>
            <a:spLocks noChangeArrowheads="1"/>
          </xdr:cNvSpPr>
        </xdr:nvSpPr>
        <xdr:spPr bwMode="auto">
          <a:xfrm>
            <a:off x="1422" y="686"/>
            <a:ext cx="144" cy="30"/>
          </a:xfrm>
          <a:prstGeom prst="rect">
            <a:avLst/>
          </a:prstGeom>
          <a:solidFill>
            <a:srgbClr val="FF0000"/>
          </a:solidFill>
          <a:ln w="9525">
            <a:noFill/>
            <a:miter lim="800000"/>
            <a:headEnd/>
            <a:tailEnd/>
          </a:ln>
        </xdr:spPr>
      </xdr:sp>
    </xdr:grpSp>
    <xdr:clientData/>
  </xdr:twoCellAnchor>
  <xdr:twoCellAnchor>
    <xdr:from>
      <xdr:col>2</xdr:col>
      <xdr:colOff>9525</xdr:colOff>
      <xdr:row>34</xdr:row>
      <xdr:rowOff>38100</xdr:rowOff>
    </xdr:from>
    <xdr:to>
      <xdr:col>5</xdr:col>
      <xdr:colOff>209550</xdr:colOff>
      <xdr:row>51</xdr:row>
      <xdr:rowOff>133350</xdr:rowOff>
    </xdr:to>
    <xdr:graphicFrame macro="">
      <xdr:nvGraphicFramePr>
        <xdr:cNvPr id="329919" name="Chart 18">
          <a:extLst>
            <a:ext uri="{FF2B5EF4-FFF2-40B4-BE49-F238E27FC236}">
              <a16:creationId xmlns:a16="http://schemas.microsoft.com/office/drawing/2014/main" id="{00000000-0008-0000-0600-0000BF080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723900</xdr:colOff>
      <xdr:row>31</xdr:row>
      <xdr:rowOff>171450</xdr:rowOff>
    </xdr:from>
    <xdr:to>
      <xdr:col>14</xdr:col>
      <xdr:colOff>161925</xdr:colOff>
      <xdr:row>50</xdr:row>
      <xdr:rowOff>104775</xdr:rowOff>
    </xdr:to>
    <xdr:graphicFrame macro="">
      <xdr:nvGraphicFramePr>
        <xdr:cNvPr id="329920" name="Chart 22">
          <a:extLst>
            <a:ext uri="{FF2B5EF4-FFF2-40B4-BE49-F238E27FC236}">
              <a16:creationId xmlns:a16="http://schemas.microsoft.com/office/drawing/2014/main" id="{00000000-0008-0000-0600-0000C0080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20</xdr:row>
      <xdr:rowOff>19050</xdr:rowOff>
    </xdr:from>
    <xdr:to>
      <xdr:col>2</xdr:col>
      <xdr:colOff>885825</xdr:colOff>
      <xdr:row>21</xdr:row>
      <xdr:rowOff>76200</xdr:rowOff>
    </xdr:to>
    <xdr:sp macro="" textlink="">
      <xdr:nvSpPr>
        <xdr:cNvPr id="2089" name="Text Box 32">
          <a:extLst>
            <a:ext uri="{FF2B5EF4-FFF2-40B4-BE49-F238E27FC236}">
              <a16:creationId xmlns:a16="http://schemas.microsoft.com/office/drawing/2014/main" id="{00000000-0008-0000-0600-000029080000}"/>
            </a:ext>
          </a:extLst>
        </xdr:cNvPr>
        <xdr:cNvSpPr txBox="1">
          <a:spLocks noChangeArrowheads="1"/>
        </xdr:cNvSpPr>
      </xdr:nvSpPr>
      <xdr:spPr bwMode="auto">
        <a:xfrm>
          <a:off x="333375" y="4143375"/>
          <a:ext cx="695325" cy="295275"/>
        </a:xfrm>
        <a:prstGeom prst="rect">
          <a:avLst/>
        </a:prstGeom>
        <a:noFill/>
        <a:ln w="9525">
          <a:noFill/>
          <a:miter lim="800000"/>
          <a:headEnd/>
          <a:tailEnd/>
        </a:ln>
      </xdr:spPr>
      <xdr:txBody>
        <a:bodyPr vertOverflow="clip" wrap="square" lIns="36576" tIns="27432" rIns="0" bIns="0" anchor="t" upright="1"/>
        <a:lstStyle/>
        <a:p>
          <a:pPr algn="l" rtl="0">
            <a:defRPr sz="1000"/>
          </a:pPr>
          <a:r>
            <a:rPr lang="en-IE" sz="1200" b="1" i="0" u="none" strike="noStrike" baseline="0">
              <a:solidFill>
                <a:srgbClr val="000000"/>
              </a:solidFill>
              <a:latin typeface="Arial"/>
              <a:cs typeface="Arial"/>
            </a:rPr>
            <a:t>B &gt;65%</a:t>
          </a:r>
        </a:p>
      </xdr:txBody>
    </xdr:sp>
    <xdr:clientData/>
  </xdr:twoCellAnchor>
  <xdr:twoCellAnchor>
    <xdr:from>
      <xdr:col>2</xdr:col>
      <xdr:colOff>171450</xdr:colOff>
      <xdr:row>23</xdr:row>
      <xdr:rowOff>200025</xdr:rowOff>
    </xdr:from>
    <xdr:to>
      <xdr:col>2</xdr:col>
      <xdr:colOff>885825</xdr:colOff>
      <xdr:row>25</xdr:row>
      <xdr:rowOff>19050</xdr:rowOff>
    </xdr:to>
    <xdr:sp macro="" textlink="">
      <xdr:nvSpPr>
        <xdr:cNvPr id="2090" name="Text Box 32">
          <a:extLst>
            <a:ext uri="{FF2B5EF4-FFF2-40B4-BE49-F238E27FC236}">
              <a16:creationId xmlns:a16="http://schemas.microsoft.com/office/drawing/2014/main" id="{00000000-0008-0000-0600-00002A080000}"/>
            </a:ext>
          </a:extLst>
        </xdr:cNvPr>
        <xdr:cNvSpPr txBox="1">
          <a:spLocks noChangeArrowheads="1"/>
        </xdr:cNvSpPr>
      </xdr:nvSpPr>
      <xdr:spPr bwMode="auto">
        <a:xfrm>
          <a:off x="314325" y="5038725"/>
          <a:ext cx="714375" cy="295275"/>
        </a:xfrm>
        <a:prstGeom prst="rect">
          <a:avLst/>
        </a:prstGeom>
        <a:noFill/>
        <a:ln w="9525">
          <a:noFill/>
          <a:miter lim="800000"/>
          <a:headEnd/>
          <a:tailEnd/>
        </a:ln>
      </xdr:spPr>
      <xdr:txBody>
        <a:bodyPr vertOverflow="clip" wrap="square" lIns="36576" tIns="27432" rIns="0" bIns="0" anchor="t" upright="1"/>
        <a:lstStyle/>
        <a:p>
          <a:pPr algn="l" rtl="0">
            <a:defRPr sz="1000"/>
          </a:pPr>
          <a:r>
            <a:rPr lang="en-IE" sz="1200" b="1" i="0" u="none" strike="noStrike" baseline="0">
              <a:solidFill>
                <a:srgbClr val="000000"/>
              </a:solidFill>
              <a:latin typeface="Arial"/>
              <a:cs typeface="Arial"/>
            </a:rPr>
            <a:t>D &gt;45%</a:t>
          </a:r>
        </a:p>
      </xdr:txBody>
    </xdr:sp>
    <xdr:clientData/>
  </xdr:twoCellAnchor>
  <xdr:twoCellAnchor>
    <xdr:from>
      <xdr:col>2</xdr:col>
      <xdr:colOff>180975</xdr:colOff>
      <xdr:row>25</xdr:row>
      <xdr:rowOff>200025</xdr:rowOff>
    </xdr:from>
    <xdr:to>
      <xdr:col>2</xdr:col>
      <xdr:colOff>762000</xdr:colOff>
      <xdr:row>27</xdr:row>
      <xdr:rowOff>19050</xdr:rowOff>
    </xdr:to>
    <xdr:sp macro="" textlink="">
      <xdr:nvSpPr>
        <xdr:cNvPr id="2092" name="Text Box 32">
          <a:extLst>
            <a:ext uri="{FF2B5EF4-FFF2-40B4-BE49-F238E27FC236}">
              <a16:creationId xmlns:a16="http://schemas.microsoft.com/office/drawing/2014/main" id="{00000000-0008-0000-0600-00002C080000}"/>
            </a:ext>
          </a:extLst>
        </xdr:cNvPr>
        <xdr:cNvSpPr txBox="1">
          <a:spLocks noChangeArrowheads="1"/>
        </xdr:cNvSpPr>
      </xdr:nvSpPr>
      <xdr:spPr bwMode="auto">
        <a:xfrm>
          <a:off x="323850" y="5514975"/>
          <a:ext cx="581025" cy="295275"/>
        </a:xfrm>
        <a:prstGeom prst="rect">
          <a:avLst/>
        </a:prstGeom>
        <a:noFill/>
        <a:ln w="9525">
          <a:noFill/>
          <a:miter lim="800000"/>
          <a:headEnd/>
          <a:tailEnd/>
        </a:ln>
      </xdr:spPr>
      <xdr:txBody>
        <a:bodyPr vertOverflow="clip" wrap="square" lIns="36576" tIns="27432" rIns="0" bIns="0" anchor="t" upright="1"/>
        <a:lstStyle/>
        <a:p>
          <a:pPr algn="l" rtl="0">
            <a:defRPr sz="1000"/>
          </a:pPr>
          <a:r>
            <a:rPr lang="en-IE" sz="1200" b="1" i="0" u="none" strike="noStrike" baseline="0">
              <a:solidFill>
                <a:srgbClr val="000000"/>
              </a:solidFill>
              <a:latin typeface="Arial"/>
              <a:cs typeface="Arial"/>
            </a:rPr>
            <a:t>E &gt;35%</a:t>
          </a:r>
        </a:p>
      </xdr:txBody>
    </xdr:sp>
    <xdr:clientData/>
  </xdr:twoCellAnchor>
  <xdr:twoCellAnchor>
    <xdr:from>
      <xdr:col>2</xdr:col>
      <xdr:colOff>171450</xdr:colOff>
      <xdr:row>27</xdr:row>
      <xdr:rowOff>171450</xdr:rowOff>
    </xdr:from>
    <xdr:to>
      <xdr:col>2</xdr:col>
      <xdr:colOff>752475</xdr:colOff>
      <xdr:row>28</xdr:row>
      <xdr:rowOff>228600</xdr:rowOff>
    </xdr:to>
    <xdr:sp macro="" textlink="">
      <xdr:nvSpPr>
        <xdr:cNvPr id="2093" name="Text Box 32">
          <a:extLst>
            <a:ext uri="{FF2B5EF4-FFF2-40B4-BE49-F238E27FC236}">
              <a16:creationId xmlns:a16="http://schemas.microsoft.com/office/drawing/2014/main" id="{00000000-0008-0000-0600-00002D080000}"/>
            </a:ext>
          </a:extLst>
        </xdr:cNvPr>
        <xdr:cNvSpPr txBox="1">
          <a:spLocks noChangeArrowheads="1"/>
        </xdr:cNvSpPr>
      </xdr:nvSpPr>
      <xdr:spPr bwMode="auto">
        <a:xfrm>
          <a:off x="314325" y="5962650"/>
          <a:ext cx="581025" cy="295275"/>
        </a:xfrm>
        <a:prstGeom prst="rect">
          <a:avLst/>
        </a:prstGeom>
        <a:noFill/>
        <a:ln w="9525">
          <a:noFill/>
          <a:miter lim="800000"/>
          <a:headEnd/>
          <a:tailEnd/>
        </a:ln>
      </xdr:spPr>
      <xdr:txBody>
        <a:bodyPr vertOverflow="clip" wrap="square" lIns="36576" tIns="27432" rIns="0" bIns="0" anchor="t" upright="1"/>
        <a:lstStyle/>
        <a:p>
          <a:pPr algn="l" rtl="0">
            <a:defRPr sz="1000"/>
          </a:pPr>
          <a:r>
            <a:rPr lang="en-IE" sz="1200" b="1" i="0" u="none" strike="noStrike" baseline="0">
              <a:solidFill>
                <a:srgbClr val="000000"/>
              </a:solidFill>
              <a:latin typeface="Arial"/>
              <a:cs typeface="Arial"/>
            </a:rPr>
            <a:t>F &gt;25%</a:t>
          </a:r>
        </a:p>
      </xdr:txBody>
    </xdr:sp>
    <xdr:clientData/>
  </xdr:twoCellAnchor>
  <xdr:twoCellAnchor>
    <xdr:from>
      <xdr:col>2</xdr:col>
      <xdr:colOff>180975</xdr:colOff>
      <xdr:row>22</xdr:row>
      <xdr:rowOff>9525</xdr:rowOff>
    </xdr:from>
    <xdr:to>
      <xdr:col>2</xdr:col>
      <xdr:colOff>1019175</xdr:colOff>
      <xdr:row>23</xdr:row>
      <xdr:rowOff>66675</xdr:rowOff>
    </xdr:to>
    <xdr:sp macro="" textlink="">
      <xdr:nvSpPr>
        <xdr:cNvPr id="2094" name="Text Box 32">
          <a:extLst>
            <a:ext uri="{FF2B5EF4-FFF2-40B4-BE49-F238E27FC236}">
              <a16:creationId xmlns:a16="http://schemas.microsoft.com/office/drawing/2014/main" id="{00000000-0008-0000-0600-00002E080000}"/>
            </a:ext>
          </a:extLst>
        </xdr:cNvPr>
        <xdr:cNvSpPr txBox="1">
          <a:spLocks noChangeArrowheads="1"/>
        </xdr:cNvSpPr>
      </xdr:nvSpPr>
      <xdr:spPr bwMode="auto">
        <a:xfrm>
          <a:off x="323850" y="4610100"/>
          <a:ext cx="838200" cy="295275"/>
        </a:xfrm>
        <a:prstGeom prst="rect">
          <a:avLst/>
        </a:prstGeom>
        <a:noFill/>
        <a:ln w="9525">
          <a:noFill/>
          <a:miter lim="800000"/>
          <a:headEnd/>
          <a:tailEnd/>
        </a:ln>
      </xdr:spPr>
      <xdr:txBody>
        <a:bodyPr vertOverflow="clip" wrap="square" lIns="36576" tIns="27432" rIns="0" bIns="0" anchor="t" upright="1"/>
        <a:lstStyle/>
        <a:p>
          <a:pPr algn="l" rtl="0">
            <a:defRPr sz="1000"/>
          </a:pPr>
          <a:r>
            <a:rPr lang="en-IE" sz="1200" b="1" i="0" u="none" strike="noStrike" baseline="0">
              <a:solidFill>
                <a:srgbClr val="000000"/>
              </a:solidFill>
              <a:latin typeface="Arial"/>
              <a:cs typeface="Arial"/>
            </a:rPr>
            <a:t>C &gt;55%</a:t>
          </a:r>
        </a:p>
      </xdr:txBody>
    </xdr:sp>
    <xdr:clientData/>
  </xdr:twoCellAnchor>
  <xdr:twoCellAnchor>
    <xdr:from>
      <xdr:col>2</xdr:col>
      <xdr:colOff>200025</xdr:colOff>
      <xdr:row>29</xdr:row>
      <xdr:rowOff>171450</xdr:rowOff>
    </xdr:from>
    <xdr:to>
      <xdr:col>2</xdr:col>
      <xdr:colOff>904875</xdr:colOff>
      <xdr:row>30</xdr:row>
      <xdr:rowOff>228600</xdr:rowOff>
    </xdr:to>
    <xdr:sp macro="" textlink="">
      <xdr:nvSpPr>
        <xdr:cNvPr id="2095" name="Text Box 32">
          <a:extLst>
            <a:ext uri="{FF2B5EF4-FFF2-40B4-BE49-F238E27FC236}">
              <a16:creationId xmlns:a16="http://schemas.microsoft.com/office/drawing/2014/main" id="{00000000-0008-0000-0600-00002F080000}"/>
            </a:ext>
          </a:extLst>
        </xdr:cNvPr>
        <xdr:cNvSpPr txBox="1">
          <a:spLocks noChangeArrowheads="1"/>
        </xdr:cNvSpPr>
      </xdr:nvSpPr>
      <xdr:spPr bwMode="auto">
        <a:xfrm>
          <a:off x="342900" y="6438900"/>
          <a:ext cx="704850" cy="295275"/>
        </a:xfrm>
        <a:prstGeom prst="rect">
          <a:avLst/>
        </a:prstGeom>
        <a:noFill/>
        <a:ln w="9525">
          <a:noFill/>
          <a:miter lim="800000"/>
          <a:headEnd/>
          <a:tailEnd/>
        </a:ln>
      </xdr:spPr>
      <xdr:txBody>
        <a:bodyPr vertOverflow="clip" wrap="square" lIns="36576" tIns="27432" rIns="0" bIns="0" anchor="t" upright="1"/>
        <a:lstStyle/>
        <a:p>
          <a:pPr algn="l" rtl="0">
            <a:defRPr sz="1000"/>
          </a:pPr>
          <a:r>
            <a:rPr lang="en-IE" sz="1200" b="1" i="0" u="none" strike="noStrike" baseline="0">
              <a:solidFill>
                <a:srgbClr val="000000"/>
              </a:solidFill>
              <a:latin typeface="Arial"/>
              <a:cs typeface="Arial"/>
            </a:rPr>
            <a:t>G &lt;25%</a:t>
          </a:r>
        </a:p>
      </xdr:txBody>
    </xdr:sp>
    <xdr:clientData/>
  </xdr:twoCellAnchor>
  <xdr:twoCellAnchor>
    <xdr:from>
      <xdr:col>2</xdr:col>
      <xdr:colOff>190500</xdr:colOff>
      <xdr:row>18</xdr:row>
      <xdr:rowOff>9525</xdr:rowOff>
    </xdr:from>
    <xdr:to>
      <xdr:col>2</xdr:col>
      <xdr:colOff>885825</xdr:colOff>
      <xdr:row>19</xdr:row>
      <xdr:rowOff>66675</xdr:rowOff>
    </xdr:to>
    <xdr:sp macro="" textlink="">
      <xdr:nvSpPr>
        <xdr:cNvPr id="2096" name="Text Box 32">
          <a:extLst>
            <a:ext uri="{FF2B5EF4-FFF2-40B4-BE49-F238E27FC236}">
              <a16:creationId xmlns:a16="http://schemas.microsoft.com/office/drawing/2014/main" id="{00000000-0008-0000-0600-000030080000}"/>
            </a:ext>
          </a:extLst>
        </xdr:cNvPr>
        <xdr:cNvSpPr txBox="1">
          <a:spLocks noChangeArrowheads="1"/>
        </xdr:cNvSpPr>
      </xdr:nvSpPr>
      <xdr:spPr bwMode="auto">
        <a:xfrm>
          <a:off x="333375" y="3657600"/>
          <a:ext cx="695325" cy="295275"/>
        </a:xfrm>
        <a:prstGeom prst="rect">
          <a:avLst/>
        </a:prstGeom>
        <a:noFill/>
        <a:ln w="9525">
          <a:noFill/>
          <a:miter lim="800000"/>
          <a:headEnd/>
          <a:tailEnd/>
        </a:ln>
      </xdr:spPr>
      <xdr:txBody>
        <a:bodyPr vertOverflow="clip" wrap="square" lIns="36576" tIns="27432" rIns="0" bIns="0" anchor="t" upright="1"/>
        <a:lstStyle/>
        <a:p>
          <a:pPr algn="l" rtl="0">
            <a:defRPr sz="1000"/>
          </a:pPr>
          <a:r>
            <a:rPr lang="en-IE" sz="1200" b="1" i="0" u="none" strike="noStrike" baseline="0">
              <a:solidFill>
                <a:srgbClr val="000000"/>
              </a:solidFill>
              <a:latin typeface="Arial"/>
              <a:cs typeface="Arial"/>
            </a:rPr>
            <a:t>A &gt;70%</a:t>
          </a:r>
        </a:p>
      </xdr:txBody>
    </xdr:sp>
    <xdr:clientData/>
  </xdr:twoCellAnchor>
  <xdr:twoCellAnchor editAs="oneCell">
    <xdr:from>
      <xdr:col>2</xdr:col>
      <xdr:colOff>1057275</xdr:colOff>
      <xdr:row>54</xdr:row>
      <xdr:rowOff>381000</xdr:rowOff>
    </xdr:from>
    <xdr:to>
      <xdr:col>5</xdr:col>
      <xdr:colOff>581025</xdr:colOff>
      <xdr:row>54</xdr:row>
      <xdr:rowOff>676275</xdr:rowOff>
    </xdr:to>
    <xdr:pic>
      <xdr:nvPicPr>
        <xdr:cNvPr id="329928" name="Picture 6">
          <a:hlinkClick xmlns:r="http://schemas.openxmlformats.org/officeDocument/2006/relationships" r:id="rId3"/>
          <a:extLst>
            <a:ext uri="{FF2B5EF4-FFF2-40B4-BE49-F238E27FC236}">
              <a16:creationId xmlns:a16="http://schemas.microsoft.com/office/drawing/2014/main" id="{00000000-0008-0000-0600-0000C8080500}"/>
            </a:ext>
          </a:extLst>
        </xdr:cNvPr>
        <xdr:cNvPicPr>
          <a:picLocks noChangeAspect="1" noChangeArrowheads="1"/>
        </xdr:cNvPicPr>
      </xdr:nvPicPr>
      <xdr:blipFill>
        <a:blip xmlns:r="http://schemas.openxmlformats.org/officeDocument/2006/relationships" r:embed="rId4" cstate="print"/>
        <a:srcRect l="378" t="11765" r="9074" b="5882"/>
        <a:stretch>
          <a:fillRect/>
        </a:stretch>
      </xdr:blipFill>
      <xdr:spPr bwMode="auto">
        <a:xfrm>
          <a:off x="1200150" y="11315700"/>
          <a:ext cx="2771775" cy="295275"/>
        </a:xfrm>
        <a:prstGeom prst="rect">
          <a:avLst/>
        </a:prstGeom>
        <a:noFill/>
        <a:ln w="9525">
          <a:noFill/>
          <a:miter lim="800000"/>
          <a:headEnd/>
          <a:tailEnd/>
        </a:ln>
      </xdr:spPr>
    </xdr:pic>
    <xdr:clientData/>
  </xdr:twoCellAnchor>
  <xdr:twoCellAnchor editAs="oneCell">
    <xdr:from>
      <xdr:col>2</xdr:col>
      <xdr:colOff>57150</xdr:colOff>
      <xdr:row>54</xdr:row>
      <xdr:rowOff>285750</xdr:rowOff>
    </xdr:from>
    <xdr:to>
      <xdr:col>2</xdr:col>
      <xdr:colOff>1019175</xdr:colOff>
      <xdr:row>54</xdr:row>
      <xdr:rowOff>695325</xdr:rowOff>
    </xdr:to>
    <xdr:pic>
      <xdr:nvPicPr>
        <xdr:cNvPr id="329929" name="Picture 7" descr="http://profile.ak.fbcdn.net/object3/426/104/n129598759409_2759.jpg">
          <a:hlinkClick xmlns:r="http://schemas.openxmlformats.org/officeDocument/2006/relationships" r:id="rId5"/>
          <a:extLst>
            <a:ext uri="{FF2B5EF4-FFF2-40B4-BE49-F238E27FC236}">
              <a16:creationId xmlns:a16="http://schemas.microsoft.com/office/drawing/2014/main" id="{00000000-0008-0000-0600-0000C9080500}"/>
            </a:ext>
          </a:extLst>
        </xdr:cNvPr>
        <xdr:cNvPicPr>
          <a:picLocks noChangeAspect="1" noChangeArrowheads="1"/>
        </xdr:cNvPicPr>
      </xdr:nvPicPr>
      <xdr:blipFill>
        <a:blip xmlns:r="http://schemas.openxmlformats.org/officeDocument/2006/relationships" r:embed="rId6" cstate="print"/>
        <a:srcRect b="8403"/>
        <a:stretch>
          <a:fillRect/>
        </a:stretch>
      </xdr:blipFill>
      <xdr:spPr bwMode="auto">
        <a:xfrm>
          <a:off x="200025" y="11220450"/>
          <a:ext cx="962025" cy="409575"/>
        </a:xfrm>
        <a:prstGeom prst="rect">
          <a:avLst/>
        </a:prstGeom>
        <a:noFill/>
        <a:ln w="9525">
          <a:noFill/>
          <a:miter lim="800000"/>
          <a:headEnd/>
          <a:tailEnd/>
        </a:ln>
      </xdr:spPr>
    </xdr:pic>
    <xdr:clientData/>
  </xdr:twoCellAnchor>
  <xdr:twoCellAnchor>
    <xdr:from>
      <xdr:col>7</xdr:col>
      <xdr:colOff>161925</xdr:colOff>
      <xdr:row>1</xdr:row>
      <xdr:rowOff>28575</xdr:rowOff>
    </xdr:from>
    <xdr:to>
      <xdr:col>11</xdr:col>
      <xdr:colOff>38100</xdr:colOff>
      <xdr:row>3</xdr:row>
      <xdr:rowOff>200025</xdr:rowOff>
    </xdr:to>
    <xdr:pic>
      <xdr:nvPicPr>
        <xdr:cNvPr id="329930" name="Picture 3260">
          <a:extLst>
            <a:ext uri="{FF2B5EF4-FFF2-40B4-BE49-F238E27FC236}">
              <a16:creationId xmlns:a16="http://schemas.microsoft.com/office/drawing/2014/main" id="{00000000-0008-0000-0600-0000CA080500}"/>
            </a:ext>
          </a:extLst>
        </xdr:cNvPr>
        <xdr:cNvPicPr>
          <a:picLocks noChangeAspect="1" noChangeArrowheads="1"/>
        </xdr:cNvPicPr>
      </xdr:nvPicPr>
      <xdr:blipFill>
        <a:blip xmlns:r="http://schemas.openxmlformats.org/officeDocument/2006/relationships" r:embed="rId7" cstate="print"/>
        <a:srcRect l="3365" t="18462" r="58473" b="73396"/>
        <a:stretch>
          <a:fillRect/>
        </a:stretch>
      </xdr:blipFill>
      <xdr:spPr bwMode="auto">
        <a:xfrm>
          <a:off x="4495800" y="161925"/>
          <a:ext cx="1952625" cy="571500"/>
        </a:xfrm>
        <a:prstGeom prst="rect">
          <a:avLst/>
        </a:prstGeom>
        <a:noFill/>
        <a:ln w="9525">
          <a:noFill/>
          <a:miter lim="800000"/>
          <a:headEnd/>
          <a:tailEnd/>
        </a:ln>
      </xdr:spPr>
    </xdr:pic>
    <xdr:clientData/>
  </xdr:twoCellAnchor>
  <xdr:twoCellAnchor>
    <xdr:from>
      <xdr:col>6</xdr:col>
      <xdr:colOff>133350</xdr:colOff>
      <xdr:row>54</xdr:row>
      <xdr:rowOff>200025</xdr:rowOff>
    </xdr:from>
    <xdr:to>
      <xdr:col>7</xdr:col>
      <xdr:colOff>504825</xdr:colOff>
      <xdr:row>54</xdr:row>
      <xdr:rowOff>828675</xdr:rowOff>
    </xdr:to>
    <xdr:pic>
      <xdr:nvPicPr>
        <xdr:cNvPr id="329931" name="Picture 3261" descr="kerrycocologo">
          <a:hlinkClick xmlns:r="http://schemas.openxmlformats.org/officeDocument/2006/relationships" r:id="rId8"/>
          <a:extLst>
            <a:ext uri="{FF2B5EF4-FFF2-40B4-BE49-F238E27FC236}">
              <a16:creationId xmlns:a16="http://schemas.microsoft.com/office/drawing/2014/main" id="{00000000-0008-0000-0600-0000CB080500}"/>
            </a:ext>
          </a:extLst>
        </xdr:cNvPr>
        <xdr:cNvPicPr>
          <a:picLocks noChangeAspect="1" noChangeArrowheads="1"/>
        </xdr:cNvPicPr>
      </xdr:nvPicPr>
      <xdr:blipFill>
        <a:blip xmlns:r="http://schemas.openxmlformats.org/officeDocument/2006/relationships" r:embed="rId9" cstate="print"/>
        <a:srcRect l="10257" t="5791" r="14102"/>
        <a:stretch>
          <a:fillRect/>
        </a:stretch>
      </xdr:blipFill>
      <xdr:spPr bwMode="auto">
        <a:xfrm>
          <a:off x="4276725" y="11134725"/>
          <a:ext cx="561975" cy="6286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666750</xdr:colOff>
      <xdr:row>9</xdr:row>
      <xdr:rowOff>400050</xdr:rowOff>
    </xdr:from>
    <xdr:to>
      <xdr:col>2</xdr:col>
      <xdr:colOff>762000</xdr:colOff>
      <xdr:row>9</xdr:row>
      <xdr:rowOff>695325</xdr:rowOff>
    </xdr:to>
    <xdr:pic>
      <xdr:nvPicPr>
        <xdr:cNvPr id="7494" name="Picture 6">
          <a:hlinkClick xmlns:r="http://schemas.openxmlformats.org/officeDocument/2006/relationships" r:id="rId1"/>
          <a:extLst>
            <a:ext uri="{FF2B5EF4-FFF2-40B4-BE49-F238E27FC236}">
              <a16:creationId xmlns:a16="http://schemas.microsoft.com/office/drawing/2014/main" id="{00000000-0008-0000-0700-0000461D0000}"/>
            </a:ext>
          </a:extLst>
        </xdr:cNvPr>
        <xdr:cNvPicPr>
          <a:picLocks noChangeAspect="1" noChangeArrowheads="1"/>
        </xdr:cNvPicPr>
      </xdr:nvPicPr>
      <xdr:blipFill>
        <a:blip xmlns:r="http://schemas.openxmlformats.org/officeDocument/2006/relationships" r:embed="rId2" cstate="print"/>
        <a:srcRect l="378" t="11765" r="9074" b="5882"/>
        <a:stretch>
          <a:fillRect/>
        </a:stretch>
      </xdr:blipFill>
      <xdr:spPr bwMode="auto">
        <a:xfrm>
          <a:off x="1524000" y="2990850"/>
          <a:ext cx="2771775" cy="295275"/>
        </a:xfrm>
        <a:prstGeom prst="rect">
          <a:avLst/>
        </a:prstGeom>
        <a:noFill/>
        <a:ln w="9525">
          <a:noFill/>
          <a:miter lim="800000"/>
          <a:headEnd/>
          <a:tailEnd/>
        </a:ln>
      </xdr:spPr>
    </xdr:pic>
    <xdr:clientData/>
  </xdr:twoCellAnchor>
  <xdr:twoCellAnchor editAs="oneCell">
    <xdr:from>
      <xdr:col>0</xdr:col>
      <xdr:colOff>390525</xdr:colOff>
      <xdr:row>9</xdr:row>
      <xdr:rowOff>304800</xdr:rowOff>
    </xdr:from>
    <xdr:to>
      <xdr:col>1</xdr:col>
      <xdr:colOff>495300</xdr:colOff>
      <xdr:row>9</xdr:row>
      <xdr:rowOff>714375</xdr:rowOff>
    </xdr:to>
    <xdr:pic>
      <xdr:nvPicPr>
        <xdr:cNvPr id="7495" name="Picture 7" descr="http://profile.ak.fbcdn.net/object3/426/104/n129598759409_2759.jpg">
          <a:hlinkClick xmlns:r="http://schemas.openxmlformats.org/officeDocument/2006/relationships" r:id="rId3"/>
          <a:extLst>
            <a:ext uri="{FF2B5EF4-FFF2-40B4-BE49-F238E27FC236}">
              <a16:creationId xmlns:a16="http://schemas.microsoft.com/office/drawing/2014/main" id="{00000000-0008-0000-0700-0000471D0000}"/>
            </a:ext>
          </a:extLst>
        </xdr:cNvPr>
        <xdr:cNvPicPr>
          <a:picLocks noChangeAspect="1" noChangeArrowheads="1"/>
        </xdr:cNvPicPr>
      </xdr:nvPicPr>
      <xdr:blipFill>
        <a:blip xmlns:r="http://schemas.openxmlformats.org/officeDocument/2006/relationships" r:embed="rId4" cstate="print"/>
        <a:srcRect b="8403"/>
        <a:stretch>
          <a:fillRect/>
        </a:stretch>
      </xdr:blipFill>
      <xdr:spPr bwMode="auto">
        <a:xfrm>
          <a:off x="390525" y="2895600"/>
          <a:ext cx="962025" cy="409575"/>
        </a:xfrm>
        <a:prstGeom prst="rect">
          <a:avLst/>
        </a:prstGeom>
        <a:noFill/>
        <a:ln w="9525">
          <a:noFill/>
          <a:miter lim="800000"/>
          <a:headEnd/>
          <a:tailEnd/>
        </a:ln>
      </xdr:spPr>
    </xdr:pic>
    <xdr:clientData/>
  </xdr:twoCellAnchor>
  <xdr:twoCellAnchor>
    <xdr:from>
      <xdr:col>3</xdr:col>
      <xdr:colOff>190500</xdr:colOff>
      <xdr:row>9</xdr:row>
      <xdr:rowOff>266700</xdr:rowOff>
    </xdr:from>
    <xdr:to>
      <xdr:col>3</xdr:col>
      <xdr:colOff>752475</xdr:colOff>
      <xdr:row>9</xdr:row>
      <xdr:rowOff>895350</xdr:rowOff>
    </xdr:to>
    <xdr:pic>
      <xdr:nvPicPr>
        <xdr:cNvPr id="7496" name="Picture 325" descr="kerrycocologo">
          <a:hlinkClick xmlns:r="http://schemas.openxmlformats.org/officeDocument/2006/relationships" r:id="rId5"/>
          <a:extLst>
            <a:ext uri="{FF2B5EF4-FFF2-40B4-BE49-F238E27FC236}">
              <a16:creationId xmlns:a16="http://schemas.microsoft.com/office/drawing/2014/main" id="{00000000-0008-0000-0700-0000481D0000}"/>
            </a:ext>
          </a:extLst>
        </xdr:cNvPr>
        <xdr:cNvPicPr>
          <a:picLocks noChangeAspect="1" noChangeArrowheads="1"/>
        </xdr:cNvPicPr>
      </xdr:nvPicPr>
      <xdr:blipFill>
        <a:blip xmlns:r="http://schemas.openxmlformats.org/officeDocument/2006/relationships" r:embed="rId6" cstate="print"/>
        <a:srcRect l="10257" t="5791" r="14102"/>
        <a:stretch>
          <a:fillRect/>
        </a:stretch>
      </xdr:blipFill>
      <xdr:spPr bwMode="auto">
        <a:xfrm>
          <a:off x="4505325" y="2857500"/>
          <a:ext cx="561975" cy="6286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image" Target="../media/image6.emf"/><Relationship Id="rId3" Type="http://schemas.openxmlformats.org/officeDocument/2006/relationships/hyperlink" Target="http://www.pressure-drop.com/" TargetMode="External"/><Relationship Id="rId7" Type="http://schemas.openxmlformats.org/officeDocument/2006/relationships/oleObject" Target="../embeddings/oleObject1.bin"/><Relationship Id="rId2" Type="http://schemas.openxmlformats.org/officeDocument/2006/relationships/hyperlink" Target="http://www1.eere.energy.gov/industry/bestpractices/software_psat.html" TargetMode="External"/><Relationship Id="rId1" Type="http://schemas.openxmlformats.org/officeDocument/2006/relationships/hyperlink" Target="http://re.jrc.ec.europa.eu/energyefficiency/eurodeem/imssa.htm" TargetMode="External"/><Relationship Id="rId6" Type="http://schemas.openxmlformats.org/officeDocument/2006/relationships/vmlDrawing" Target="../drawings/vmlDrawing1.vml"/><Relationship Id="rId5" Type="http://schemas.openxmlformats.org/officeDocument/2006/relationships/drawing" Target="../drawings/drawing3.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oleObject" Target="../embeddings/oleObject2.bin"/><Relationship Id="rId3" Type="http://schemas.openxmlformats.org/officeDocument/2006/relationships/hyperlink" Target="http://www.pressure-drop.com/" TargetMode="External"/><Relationship Id="rId7" Type="http://schemas.openxmlformats.org/officeDocument/2006/relationships/vmlDrawing" Target="../drawings/vmlDrawing2.vml"/><Relationship Id="rId2" Type="http://schemas.openxmlformats.org/officeDocument/2006/relationships/hyperlink" Target="http://www1.eere.energy.gov/industry/bestpractices/software_psat.html" TargetMode="External"/><Relationship Id="rId1" Type="http://schemas.openxmlformats.org/officeDocument/2006/relationships/hyperlink" Target="http://re.jrc.ec.europa.eu/energyefficiency/eurodeem/imssa.htm" TargetMode="External"/><Relationship Id="rId6" Type="http://schemas.openxmlformats.org/officeDocument/2006/relationships/drawing" Target="../drawings/drawing5.xml"/><Relationship Id="rId5" Type="http://schemas.openxmlformats.org/officeDocument/2006/relationships/printerSettings" Target="../printerSettings/printerSettings4.bin"/><Relationship Id="rId4" Type="http://schemas.openxmlformats.org/officeDocument/2006/relationships/hyperlink" Target="http://www.pressure-drop.com/" TargetMode="External"/><Relationship Id="rId9" Type="http://schemas.openxmlformats.org/officeDocument/2006/relationships/image" Target="../media/image7.emf"/></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K14"/>
  <sheetViews>
    <sheetView showGridLines="0" zoomScaleNormal="100" workbookViewId="0">
      <selection activeCell="D6" sqref="D6"/>
    </sheetView>
  </sheetViews>
  <sheetFormatPr defaultColWidth="9.1796875" defaultRowHeight="14.5"/>
  <cols>
    <col min="1" max="3" width="1.453125" style="222" customWidth="1"/>
    <col min="4" max="4" width="83" style="222" customWidth="1"/>
    <col min="5" max="6" width="1.1796875" style="222" customWidth="1"/>
    <col min="7" max="7" width="1.453125" style="222" customWidth="1"/>
    <col min="8" max="16384" width="9.1796875" style="222"/>
  </cols>
  <sheetData>
    <row r="1" spans="1:11" s="103" customFormat="1" ht="7.5" customHeight="1" thickBot="1">
      <c r="A1" s="8"/>
      <c r="B1" s="7"/>
      <c r="C1" s="7"/>
      <c r="D1" s="8"/>
      <c r="E1" s="13"/>
      <c r="F1" s="8"/>
      <c r="G1" s="8"/>
    </row>
    <row r="2" spans="1:11" s="103" customFormat="1" ht="4.5" customHeight="1">
      <c r="A2" s="8"/>
      <c r="B2" s="67"/>
      <c r="C2" s="68"/>
      <c r="D2" s="69"/>
      <c r="E2" s="92"/>
      <c r="F2" s="71"/>
      <c r="G2" s="8"/>
    </row>
    <row r="3" spans="1:11" s="104" customFormat="1" ht="23.5">
      <c r="A3" s="1"/>
      <c r="B3" s="72"/>
      <c r="C3" s="46"/>
      <c r="D3" s="113" t="s">
        <v>97</v>
      </c>
      <c r="E3" s="93"/>
      <c r="F3" s="73"/>
      <c r="G3" s="1"/>
    </row>
    <row r="4" spans="1:11" s="104" customFormat="1" ht="21" customHeight="1">
      <c r="A4" s="1"/>
      <c r="B4" s="72"/>
      <c r="C4" s="46"/>
      <c r="D4" s="113" t="s">
        <v>195</v>
      </c>
      <c r="E4" s="15"/>
      <c r="F4" s="73"/>
      <c r="G4" s="1"/>
    </row>
    <row r="5" spans="1:11" s="104" customFormat="1" ht="11.25" customHeight="1">
      <c r="A5" s="1"/>
      <c r="B5" s="72"/>
      <c r="C5" s="46"/>
      <c r="D5" s="12"/>
      <c r="E5" s="93"/>
      <c r="F5" s="73"/>
      <c r="G5" s="1"/>
    </row>
    <row r="6" spans="1:11" ht="26.5">
      <c r="A6"/>
      <c r="B6" s="283"/>
      <c r="C6"/>
      <c r="D6" s="288" t="s">
        <v>135</v>
      </c>
      <c r="E6"/>
      <c r="F6" s="284"/>
      <c r="G6"/>
    </row>
    <row r="7" spans="1:11">
      <c r="A7"/>
      <c r="B7" s="283"/>
      <c r="C7"/>
      <c r="D7" s="288"/>
      <c r="E7"/>
      <c r="F7" s="284"/>
      <c r="G7"/>
    </row>
    <row r="8" spans="1:11" ht="91.5">
      <c r="A8"/>
      <c r="B8" s="283"/>
      <c r="C8"/>
      <c r="D8" s="297" t="s">
        <v>145</v>
      </c>
      <c r="E8"/>
      <c r="F8" s="284"/>
      <c r="G8"/>
    </row>
    <row r="9" spans="1:11">
      <c r="A9"/>
      <c r="B9" s="283"/>
      <c r="C9"/>
      <c r="D9" s="288"/>
      <c r="E9"/>
      <c r="F9" s="284"/>
      <c r="G9"/>
    </row>
    <row r="10" spans="1:11" ht="106.5">
      <c r="A10"/>
      <c r="B10" s="283"/>
      <c r="C10"/>
      <c r="D10" s="288" t="s">
        <v>136</v>
      </c>
      <c r="E10"/>
      <c r="F10" s="284"/>
      <c r="G10"/>
    </row>
    <row r="11" spans="1:11">
      <c r="A11"/>
      <c r="B11" s="283"/>
      <c r="C11"/>
      <c r="D11" s="289"/>
      <c r="E11"/>
      <c r="F11" s="284"/>
      <c r="G11"/>
    </row>
    <row r="12" spans="1:11">
      <c r="A12"/>
      <c r="B12" s="283"/>
      <c r="C12"/>
      <c r="D12" s="290" t="s">
        <v>156</v>
      </c>
      <c r="E12"/>
      <c r="F12" s="284"/>
      <c r="G12"/>
    </row>
    <row r="13" spans="1:11" ht="15" thickBot="1">
      <c r="A13"/>
      <c r="B13" s="285"/>
      <c r="C13" s="286"/>
      <c r="D13" s="286"/>
      <c r="E13" s="286"/>
      <c r="F13" s="287"/>
      <c r="G13"/>
    </row>
    <row r="14" spans="1:11" s="103" customFormat="1" ht="73.5" customHeight="1">
      <c r="A14" s="8"/>
      <c r="B14" s="455" t="s">
        <v>228</v>
      </c>
      <c r="C14" s="456"/>
      <c r="D14" s="456"/>
      <c r="E14" s="456"/>
      <c r="F14" s="456"/>
      <c r="G14" s="8"/>
      <c r="H14" s="222"/>
      <c r="I14" s="222"/>
      <c r="J14" s="222"/>
      <c r="K14" s="222"/>
    </row>
  </sheetData>
  <sheetProtection sheet="1" objects="1" scenarios="1"/>
  <mergeCells count="1">
    <mergeCell ref="B14:F14"/>
  </mergeCells>
  <phoneticPr fontId="48"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499984740745262"/>
  </sheetPr>
  <dimension ref="A2:O65"/>
  <sheetViews>
    <sheetView zoomScale="70" zoomScaleNormal="70" workbookViewId="0">
      <selection activeCell="C36" sqref="C36"/>
    </sheetView>
  </sheetViews>
  <sheetFormatPr defaultColWidth="9.1796875" defaultRowHeight="14.5"/>
  <cols>
    <col min="1" max="1" width="23.1796875" style="222" customWidth="1"/>
    <col min="2" max="2" width="82" style="222" bestFit="1" customWidth="1"/>
    <col min="3" max="3" width="14.54296875" style="222" customWidth="1"/>
    <col min="4" max="4" width="12.453125" style="222" bestFit="1" customWidth="1"/>
    <col min="5" max="5" width="22.81640625" style="222" customWidth="1"/>
    <col min="6" max="6" width="4.1796875" style="222" bestFit="1" customWidth="1"/>
    <col min="7" max="7" width="2.453125" style="222" customWidth="1"/>
    <col min="8" max="8" width="31.81640625" style="222" bestFit="1" customWidth="1"/>
    <col min="9" max="9" width="10.453125" style="222" bestFit="1" customWidth="1"/>
    <col min="10" max="10" width="17" style="222" customWidth="1"/>
    <col min="11" max="11" width="12.26953125" style="222" customWidth="1"/>
    <col min="12" max="12" width="56.453125" style="222" customWidth="1"/>
    <col min="13" max="13" width="9.81640625" style="222" bestFit="1" customWidth="1"/>
    <col min="14" max="14" width="15" style="222" bestFit="1" customWidth="1"/>
    <col min="15" max="16384" width="9.1796875" style="222"/>
  </cols>
  <sheetData>
    <row r="2" spans="2:15" ht="15">
      <c r="B2" s="220" t="s">
        <v>14</v>
      </c>
      <c r="C2" s="221" t="s">
        <v>4</v>
      </c>
      <c r="D2" s="221" t="s">
        <v>66</v>
      </c>
      <c r="E2" s="291" t="s">
        <v>138</v>
      </c>
      <c r="F2" s="291" t="s">
        <v>180</v>
      </c>
      <c r="H2" s="469" t="s">
        <v>5</v>
      </c>
      <c r="I2" s="469"/>
      <c r="J2" s="223"/>
      <c r="K2" s="224" t="s">
        <v>73</v>
      </c>
      <c r="L2" s="225">
        <v>0.7</v>
      </c>
      <c r="N2" s="226" t="s">
        <v>79</v>
      </c>
      <c r="O2" s="227">
        <f>Summary!H43</f>
        <v>0</v>
      </c>
    </row>
    <row r="3" spans="2:15">
      <c r="B3" s="228"/>
      <c r="C3" s="229" t="s">
        <v>2</v>
      </c>
      <c r="D3" s="229" t="s">
        <v>65</v>
      </c>
      <c r="E3" s="292" t="s">
        <v>139</v>
      </c>
      <c r="F3" s="292" t="s">
        <v>181</v>
      </c>
      <c r="H3" s="230" t="s">
        <v>2</v>
      </c>
      <c r="I3" s="230" t="s">
        <v>4</v>
      </c>
      <c r="J3" s="231"/>
      <c r="K3" s="232"/>
      <c r="L3" s="225">
        <v>0.65</v>
      </c>
      <c r="N3" s="226" t="s">
        <v>80</v>
      </c>
      <c r="O3" s="227" t="e">
        <f>Summary!H47</f>
        <v>#VALUE!</v>
      </c>
    </row>
    <row r="4" spans="2:15">
      <c r="B4" s="233"/>
      <c r="C4" s="234" t="s">
        <v>15</v>
      </c>
      <c r="D4" s="234"/>
      <c r="E4" s="293"/>
      <c r="F4" s="293"/>
      <c r="H4" s="232">
        <v>1</v>
      </c>
      <c r="I4" s="235">
        <f>H4*10.197</f>
        <v>10.196999999999999</v>
      </c>
      <c r="J4" s="236"/>
      <c r="K4" s="232"/>
      <c r="L4" s="225">
        <v>0.55000000000000004</v>
      </c>
      <c r="N4" s="226" t="s">
        <v>48</v>
      </c>
      <c r="O4" s="227" t="e">
        <f>Summary!H49</f>
        <v>#VALUE!</v>
      </c>
    </row>
    <row r="5" spans="2:15">
      <c r="H5" s="232"/>
      <c r="I5" s="232"/>
      <c r="K5" s="232"/>
      <c r="L5" s="225">
        <v>0.45</v>
      </c>
      <c r="N5" s="226" t="s">
        <v>74</v>
      </c>
      <c r="O5" s="227" t="e">
        <f>Summary!H53</f>
        <v>#DIV/0!</v>
      </c>
    </row>
    <row r="6" spans="2:15">
      <c r="B6" s="237" t="s">
        <v>10</v>
      </c>
      <c r="C6" s="237" t="s">
        <v>11</v>
      </c>
      <c r="H6" s="224" t="s">
        <v>15</v>
      </c>
      <c r="I6" s="224" t="s">
        <v>4</v>
      </c>
      <c r="J6" s="237"/>
      <c r="K6" s="232"/>
      <c r="L6" s="225">
        <v>0.35</v>
      </c>
    </row>
    <row r="7" spans="2:15">
      <c r="B7" s="222" t="s">
        <v>12</v>
      </c>
      <c r="C7" s="222">
        <v>9.81</v>
      </c>
      <c r="D7" s="222" t="s">
        <v>3</v>
      </c>
      <c r="H7" s="232">
        <v>1</v>
      </c>
      <c r="I7" s="232">
        <v>0.70324961490204896</v>
      </c>
      <c r="K7" s="232"/>
      <c r="L7" s="225">
        <v>0.25</v>
      </c>
    </row>
    <row r="8" spans="2:15">
      <c r="H8" s="232"/>
      <c r="I8" s="238"/>
      <c r="J8" s="239"/>
      <c r="K8" s="232"/>
      <c r="L8" s="225">
        <v>0.25</v>
      </c>
    </row>
    <row r="9" spans="2:15">
      <c r="B9" s="369" t="s">
        <v>28</v>
      </c>
      <c r="C9" s="370">
        <f>SQRT((('Inputs - Borehole Pumping'!F58*'Inputs - Borehole Pumping'!F111*'Inputs - Borehole Pumping'!F54*'Fixed Data (2)'!g)/3600000)^2)</f>
        <v>0</v>
      </c>
      <c r="D9" s="369" t="s">
        <v>0</v>
      </c>
      <c r="H9" s="224" t="s">
        <v>65</v>
      </c>
      <c r="I9" s="224" t="s">
        <v>67</v>
      </c>
      <c r="J9" s="237"/>
      <c r="L9" s="241"/>
    </row>
    <row r="10" spans="2:15">
      <c r="B10" s="371" t="s">
        <v>29</v>
      </c>
      <c r="C10" s="372">
        <f>('Inputs - Borehole Pumping'!F58*'Inputs - Borehole Pumping'!F111*'Inputs - Borehole Pumping'!F52*g*'Fixed Data (2)'!I4)/3600000</f>
        <v>0</v>
      </c>
      <c r="D10" s="371" t="s">
        <v>0</v>
      </c>
      <c r="H10" s="232">
        <v>1</v>
      </c>
      <c r="I10" s="232">
        <v>4.5460919999999998E-3</v>
      </c>
      <c r="L10" s="241"/>
    </row>
    <row r="11" spans="2:15">
      <c r="B11" s="371" t="s">
        <v>30</v>
      </c>
      <c r="C11" s="372">
        <f>((('Inputs - Borehole Pumping'!$F$58*'Fixed Data (2)'!$I$7)*'Inputs - Borehole Pumping'!$F$111*g*'Inputs - Borehole Pumping'!$F$52))/3600000</f>
        <v>0</v>
      </c>
      <c r="D11" s="371" t="s">
        <v>0</v>
      </c>
      <c r="H11" s="237"/>
      <c r="I11" s="237"/>
      <c r="J11" s="237"/>
    </row>
    <row r="12" spans="2:15">
      <c r="B12" s="369"/>
      <c r="C12" s="369"/>
      <c r="D12" s="369"/>
    </row>
    <row r="13" spans="2:15">
      <c r="B13" s="369" t="s">
        <v>31</v>
      </c>
      <c r="C13" s="370">
        <f>SQRT((('Inputs - Borehole Pumping'!$F$58*'Inputs - Borehole Pumping'!$F$111*('Inputs - Borehole Pumping'!$F$52+'Inputs - Borehole Pumping'!$F$50)*g)/3600000)^2)</f>
        <v>0</v>
      </c>
      <c r="D13" s="369" t="s">
        <v>0</v>
      </c>
    </row>
    <row r="14" spans="2:15">
      <c r="B14" s="371" t="s">
        <v>32</v>
      </c>
      <c r="C14" s="372">
        <f>('Inputs - Borehole Pumping'!$F$58*'Inputs - Borehole Pumping'!$F$111*'Inputs - Borehole Pumping'!$F$52*g*'Fixed Data (2)'!I4)/3600000</f>
        <v>0</v>
      </c>
      <c r="D14" s="371" t="s">
        <v>0</v>
      </c>
      <c r="H14" s="222" t="s">
        <v>276</v>
      </c>
    </row>
    <row r="15" spans="2:15">
      <c r="B15" s="371" t="s">
        <v>33</v>
      </c>
      <c r="C15" s="372">
        <f>('Inputs - Borehole Pumping'!$F$58*'Inputs - Borehole Pumping'!$F$111*'Inputs - Borehole Pumping'!$F$52*g*'Fixed Data (2)'!I7)/3600000</f>
        <v>0</v>
      </c>
      <c r="D15" s="371" t="s">
        <v>0</v>
      </c>
      <c r="H15" s="222" t="s">
        <v>321</v>
      </c>
    </row>
    <row r="16" spans="2:15">
      <c r="B16" s="369"/>
      <c r="C16" s="370"/>
      <c r="D16" s="369"/>
    </row>
    <row r="17" spans="1:4">
      <c r="B17" s="371"/>
      <c r="C17" s="372"/>
      <c r="D17" s="371"/>
    </row>
    <row r="18" spans="1:4">
      <c r="B18" s="222" t="s">
        <v>182</v>
      </c>
      <c r="C18" s="240">
        <f>'Inputs - Borehole Pumping'!F56*'Inputs - Borehole Pumping'!F58*'Inputs - Borehole Pumping'!F111*g/3600000</f>
        <v>0</v>
      </c>
      <c r="D18" s="222" t="s">
        <v>0</v>
      </c>
    </row>
    <row r="19" spans="1:4">
      <c r="B19" s="222" t="s">
        <v>183</v>
      </c>
      <c r="C19" s="240">
        <f>'Inputs - Borehole Pumping'!$F$58*'Inputs - Borehole Pumping'!$F$56*'Inputs - Borehole Pumping'!$F$111*g*'Fixed Data (2)'!$I$4/3600000</f>
        <v>0</v>
      </c>
      <c r="D19" s="222" t="s">
        <v>0</v>
      </c>
    </row>
    <row r="20" spans="1:4">
      <c r="B20" s="222" t="s">
        <v>184</v>
      </c>
      <c r="C20" s="240">
        <f>('Inputs - Borehole Pumping'!$F$56*'Fixed Data (2)'!$I$7)*'Inputs - Borehole Pumping'!$F$58*'Inputs - Borehole Pumping'!$F$111*g/3600000</f>
        <v>0</v>
      </c>
      <c r="D20" s="222" t="s">
        <v>0</v>
      </c>
    </row>
    <row r="22" spans="1:4">
      <c r="B22" s="222" t="s">
        <v>254</v>
      </c>
      <c r="C22" s="240">
        <f>C18+'Fixed Data (2)'!C13</f>
        <v>0</v>
      </c>
      <c r="D22" s="222" t="s">
        <v>0</v>
      </c>
    </row>
    <row r="23" spans="1:4">
      <c r="B23" s="222" t="s">
        <v>255</v>
      </c>
      <c r="C23" s="240">
        <f>C19+'Fixed Data (2)'!C13</f>
        <v>0</v>
      </c>
      <c r="D23" s="222" t="s">
        <v>0</v>
      </c>
    </row>
    <row r="24" spans="1:4">
      <c r="B24" s="222" t="s">
        <v>256</v>
      </c>
      <c r="C24" s="240">
        <f>C20+'Fixed Data (2)'!C13</f>
        <v>0</v>
      </c>
      <c r="D24" s="222" t="s">
        <v>0</v>
      </c>
    </row>
    <row r="25" spans="1:4">
      <c r="C25" s="240"/>
    </row>
    <row r="26" spans="1:4">
      <c r="A26" s="470" t="s">
        <v>187</v>
      </c>
      <c r="B26" s="222" t="s">
        <v>257</v>
      </c>
      <c r="C26" s="240">
        <f>C22*'Fixed Data (2)'!$I$10</f>
        <v>0</v>
      </c>
      <c r="D26" s="222" t="s">
        <v>0</v>
      </c>
    </row>
    <row r="27" spans="1:4">
      <c r="A27" s="470"/>
      <c r="B27" s="222" t="s">
        <v>258</v>
      </c>
      <c r="C27" s="240">
        <f>C23*'Fixed Data (2)'!$I$10</f>
        <v>0</v>
      </c>
      <c r="D27" s="222" t="s">
        <v>0</v>
      </c>
    </row>
    <row r="28" spans="1:4" ht="17.25" customHeight="1">
      <c r="A28" s="470"/>
      <c r="B28" s="222" t="s">
        <v>259</v>
      </c>
      <c r="C28" s="240">
        <f>C24*'Fixed Data (2)'!$I$10</f>
        <v>0</v>
      </c>
      <c r="D28" s="222" t="s">
        <v>0</v>
      </c>
    </row>
    <row r="29" spans="1:4">
      <c r="A29" s="368"/>
      <c r="C29" s="240"/>
    </row>
    <row r="30" spans="1:4">
      <c r="A30" s="368"/>
      <c r="C30" s="240"/>
    </row>
    <row r="31" spans="1:4">
      <c r="A31" s="368"/>
      <c r="B31" s="222" t="s">
        <v>16</v>
      </c>
      <c r="C31" s="240">
        <f>('Inputs - Borehole Pumping'!$F$58*'Inputs - Borehole Pumping'!$F$112*'Inputs - Borehole Pumping'!$F$66*g)/3600000</f>
        <v>0</v>
      </c>
      <c r="D31" s="222" t="s">
        <v>0</v>
      </c>
    </row>
    <row r="32" spans="1:4">
      <c r="A32" s="368"/>
      <c r="B32" s="222" t="s">
        <v>17</v>
      </c>
      <c r="C32" s="240">
        <f>('Inputs - Borehole Pumping'!$F$58*'Fixed Data (2)'!$I$4*'Inputs - Borehole Pumping'!$F$112*'Inputs - Borehole Pumping'!$F$66*g)/3600000</f>
        <v>0</v>
      </c>
      <c r="D32" s="222" t="s">
        <v>0</v>
      </c>
    </row>
    <row r="33" spans="1:10">
      <c r="A33" s="368"/>
      <c r="B33" s="222" t="s">
        <v>18</v>
      </c>
      <c r="C33" s="240">
        <f>('Inputs - Borehole Pumping'!$F$58*'Fixed Data (2)'!$I$7*'Inputs - Borehole Pumping'!$F$112*'Inputs - Borehole Pumping'!$F$66*g)/3600000</f>
        <v>0</v>
      </c>
      <c r="D33" s="222" t="s">
        <v>0</v>
      </c>
    </row>
    <row r="34" spans="1:10">
      <c r="A34" s="368"/>
      <c r="C34" s="240"/>
    </row>
    <row r="35" spans="1:10" ht="22.5" customHeight="1">
      <c r="A35" s="470" t="s">
        <v>264</v>
      </c>
      <c r="B35" s="222" t="s">
        <v>270</v>
      </c>
      <c r="C35" s="240">
        <f>'Inputs - Borehole Pumping'!F56</f>
        <v>0</v>
      </c>
      <c r="D35" s="222" t="s">
        <v>64</v>
      </c>
    </row>
    <row r="36" spans="1:10" ht="22.5" customHeight="1">
      <c r="A36" s="470"/>
      <c r="B36" s="222" t="s">
        <v>271</v>
      </c>
      <c r="C36" s="240">
        <f>'Inputs - Borehole Pumping'!F56*'Fixed Data (2)'!I4</f>
        <v>0</v>
      </c>
      <c r="D36" s="222" t="s">
        <v>64</v>
      </c>
    </row>
    <row r="37" spans="1:10">
      <c r="A37" s="470"/>
      <c r="B37" s="222" t="s">
        <v>272</v>
      </c>
      <c r="C37" s="240">
        <f>'Inputs - Borehole Pumping'!F56*'Fixed Data (2)'!I7</f>
        <v>0</v>
      </c>
      <c r="D37" s="222" t="s">
        <v>64</v>
      </c>
      <c r="J37" s="240"/>
    </row>
    <row r="38" spans="1:10">
      <c r="C38" s="240"/>
    </row>
    <row r="39" spans="1:10">
      <c r="B39" s="222" t="s">
        <v>273</v>
      </c>
      <c r="C39" s="240">
        <f>IF('Inputs - Borehole Pumping'!G56="m of head",'Fixed Data (2)'!C35,IF('Inputs - Borehole Pumping'!G56="bar",'Fixed Data (2)'!C36,IF('Inputs - Borehole Pumping'!G56="psi",'Fixed Data (2)'!C37)))</f>
        <v>0</v>
      </c>
      <c r="D39" s="222" t="s">
        <v>64</v>
      </c>
      <c r="J39" s="236"/>
    </row>
    <row r="40" spans="1:10">
      <c r="B40" s="103"/>
      <c r="C40" s="103"/>
      <c r="J40" s="236"/>
    </row>
    <row r="41" spans="1:10">
      <c r="B41" s="222" t="s">
        <v>277</v>
      </c>
      <c r="C41" s="240" t="e">
        <f>IF('Inputs - Borehole Pumping'!G56="m of head",1-(('Fixed Data (2)'!C35-'Inputs - Borehole Pumping'!F54)/'Fixed Data (2)'!C35),IF('Inputs - Borehole Pumping'!G56="Bar",1-(('Fixed Data (2)'!C36-'Inputs - Borehole Pumping'!F54)/'Fixed Data (2)'!C36),IF('Inputs - Borehole Pumping'!G56="psi",1-('Fixed Data (2)'!C37-'Inputs - Borehole Pumping'!F54)/'Fixed Data (2)'!C37)))</f>
        <v>#DIV/0!</v>
      </c>
    </row>
    <row r="42" spans="1:10">
      <c r="B42" s="222" t="s">
        <v>279</v>
      </c>
      <c r="C42" s="387" t="e">
        <f>IF('Inputs - Borehole Pumping'!G126="m hd per km of pipe",1-(('Inputs - Borehole Pumping'!$F$126*'Inputs - Borehole Pumping'!$F$113)/'Fixed Data (2)'!$C$39),IF('Inputs - Borehole Pumping'!G126="bar per km of pipe",1-(('Inputs - Borehole Pumping'!$F$126*'Inputs - Borehole Pumping'!$F$113*'Fixed Data (2)'!I5)/'Fixed Data (2)'!$C$39)))</f>
        <v>#DIV/0!</v>
      </c>
    </row>
    <row r="43" spans="1:10">
      <c r="B43" s="222" t="s">
        <v>120</v>
      </c>
      <c r="C43" s="388">
        <f>IF('Inputs - Borehole Pumping'!G58="m3/h",'Inputs - Borehole Pumping'!F58*'Inputs - Borehole Pumping'!F115,IF('Inputs - Borehole Pumping'!G58="g/h",'Inputs - Borehole Pumping'!F58*'Inputs - Borehole Pumping'!F115*'Fixed Data (2)'!I10))</f>
        <v>0</v>
      </c>
    </row>
    <row r="45" spans="1:10">
      <c r="B45" s="222" t="s">
        <v>51</v>
      </c>
      <c r="C45" s="390">
        <f>Summary!E43*Summary!E$29*'Inputs - Borehole Pumping'!F107</f>
        <v>0</v>
      </c>
    </row>
    <row r="46" spans="1:10">
      <c r="C46" s="390"/>
    </row>
    <row r="47" spans="1:10">
      <c r="B47" s="222" t="s">
        <v>52</v>
      </c>
      <c r="C47" s="390" t="e">
        <f>Summary!E47*(Summary!E$29*Summary!E16)*'Inputs - Borehole Pumping'!F107</f>
        <v>#VALUE!</v>
      </c>
    </row>
    <row r="48" spans="1:10">
      <c r="C48" s="390"/>
    </row>
    <row r="49" spans="2:3">
      <c r="B49" s="222" t="s">
        <v>53</v>
      </c>
      <c r="C49" s="390" t="e">
        <f>Summary!E49*(Summary!E$29*Summary!E16*Summary!E20*Summary!E18)*'Inputs - Borehole Pumping'!F107</f>
        <v>#DIV/0!</v>
      </c>
    </row>
    <row r="50" spans="2:3">
      <c r="C50" s="390"/>
    </row>
    <row r="51" spans="2:3">
      <c r="B51" s="222" t="s">
        <v>54</v>
      </c>
      <c r="C51" s="390" t="e">
        <f>Summary!E51*Summary!E$29*'Inputs - Borehole Pumping'!F107</f>
        <v>#DIV/0!</v>
      </c>
    </row>
    <row r="52" spans="2:3">
      <c r="C52" s="390"/>
    </row>
    <row r="53" spans="2:3">
      <c r="B53" s="222" t="s">
        <v>74</v>
      </c>
      <c r="C53" s="390" t="e">
        <f>Summary!E53*'Inputs - Borehole Pumping'!F107*Summary!E$29</f>
        <v>#DIV/0!</v>
      </c>
    </row>
    <row r="55" spans="2:3" ht="15">
      <c r="B55" s="222" t="s">
        <v>85</v>
      </c>
      <c r="C55" s="393" t="e">
        <f>Summary!E29/'Fixed Data (2)'!C43</f>
        <v>#DIV/0!</v>
      </c>
    </row>
    <row r="56" spans="2:3">
      <c r="C56" s="393"/>
    </row>
    <row r="57" spans="2:3" ht="15">
      <c r="B57" s="222" t="s">
        <v>110</v>
      </c>
      <c r="C57" s="393" t="e">
        <f>Summary!E31/'Fixed Data (2)'!C43</f>
        <v>#DIV/0!</v>
      </c>
    </row>
    <row r="58" spans="2:3">
      <c r="C58" s="393"/>
    </row>
    <row r="59" spans="2:3" ht="15.5">
      <c r="B59" s="222" t="s">
        <v>112</v>
      </c>
      <c r="C59" s="396" t="e">
        <f>C55*'Inputs - Borehole Pumping'!EF_bh</f>
        <v>#DIV/0!</v>
      </c>
    </row>
    <row r="60" spans="2:3">
      <c r="C60" s="394"/>
    </row>
    <row r="61" spans="2:3" ht="15">
      <c r="B61" s="222" t="s">
        <v>109</v>
      </c>
      <c r="C61" s="395" t="e">
        <f>'Fixed Data (2)'!C55*1000/('Inputs - Borehole Pumping'!F$52+'Inputs - Borehole Pumping'!F$54)</f>
        <v>#DIV/0!</v>
      </c>
    </row>
    <row r="62" spans="2:3">
      <c r="C62" s="395"/>
    </row>
    <row r="63" spans="2:3" ht="15">
      <c r="B63" s="222" t="s">
        <v>111</v>
      </c>
      <c r="C63" s="395" t="e">
        <f>'Fixed Data (2)'!C57*1000/('Inputs - Borehole Pumping'!F$54+'Inputs - Borehole Pumping'!F$52)</f>
        <v>#DIV/0!</v>
      </c>
    </row>
    <row r="64" spans="2:3">
      <c r="C64" s="395"/>
    </row>
    <row r="65" spans="2:3" ht="15.5">
      <c r="B65" s="222" t="s">
        <v>280</v>
      </c>
      <c r="C65" s="395" t="e">
        <f>'Fixed Data (2)'!C59*1000/('Inputs - Borehole Pumping'!F$54+'Inputs - Borehole Pumping'!F$52)</f>
        <v>#DIV/0!</v>
      </c>
    </row>
  </sheetData>
  <mergeCells count="3">
    <mergeCell ref="H2:I2"/>
    <mergeCell ref="A26:A28"/>
    <mergeCell ref="A35:A3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249977111117893"/>
  </sheetPr>
  <dimension ref="A1:L67"/>
  <sheetViews>
    <sheetView showGridLines="0" topLeftCell="A3" zoomScaleNormal="100" zoomScaleSheetLayoutView="100" workbookViewId="0"/>
  </sheetViews>
  <sheetFormatPr defaultColWidth="9.1796875" defaultRowHeight="14.5"/>
  <cols>
    <col min="1" max="1" width="1.7265625" style="222" customWidth="1"/>
    <col min="2" max="2" width="1.453125" style="222" customWidth="1"/>
    <col min="3" max="3" width="10" style="222" customWidth="1"/>
    <col min="4" max="4" width="22.1796875" style="222" bestFit="1" customWidth="1"/>
    <col min="5" max="5" width="92.7265625" style="222" customWidth="1"/>
    <col min="6" max="7" width="1.1796875" style="222" customWidth="1"/>
    <col min="8" max="8" width="1.7265625" style="222" customWidth="1"/>
    <col min="9" max="16384" width="9.1796875" style="222"/>
  </cols>
  <sheetData>
    <row r="1" spans="1:8" s="103" customFormat="1" ht="8.25" customHeight="1" thickBot="1">
      <c r="A1" s="8"/>
      <c r="B1" s="7"/>
      <c r="C1" s="7"/>
      <c r="D1" s="7"/>
      <c r="E1" s="8"/>
      <c r="F1" s="13"/>
      <c r="G1" s="8"/>
      <c r="H1" s="8"/>
    </row>
    <row r="2" spans="1:8" s="103" customFormat="1" ht="4.5" customHeight="1">
      <c r="A2" s="8"/>
      <c r="B2" s="67"/>
      <c r="C2" s="68"/>
      <c r="D2" s="68"/>
      <c r="E2" s="69"/>
      <c r="F2" s="92"/>
      <c r="G2" s="71"/>
      <c r="H2" s="8"/>
    </row>
    <row r="3" spans="1:8" s="104" customFormat="1" ht="23.5">
      <c r="A3" s="1"/>
      <c r="B3" s="72"/>
      <c r="C3" s="113" t="s">
        <v>288</v>
      </c>
      <c r="D3" s="46"/>
      <c r="E3" s="113"/>
      <c r="F3" s="93"/>
      <c r="G3" s="73"/>
      <c r="H3" s="1"/>
    </row>
    <row r="4" spans="1:8" s="104" customFormat="1" ht="21" customHeight="1">
      <c r="A4" s="1"/>
      <c r="B4" s="72"/>
      <c r="C4" s="113" t="s">
        <v>148</v>
      </c>
      <c r="D4" s="46"/>
      <c r="E4" s="113"/>
      <c r="F4" s="15"/>
      <c r="G4" s="73"/>
      <c r="H4" s="1"/>
    </row>
    <row r="5" spans="1:8" s="104" customFormat="1" ht="11.25" customHeight="1">
      <c r="A5" s="1"/>
      <c r="B5" s="72"/>
      <c r="C5" s="46"/>
      <c r="D5" s="46"/>
      <c r="E5" s="12"/>
      <c r="F5" s="93"/>
      <c r="G5" s="73"/>
      <c r="H5" s="1"/>
    </row>
    <row r="6" spans="1:8" ht="25.5" customHeight="1">
      <c r="A6"/>
      <c r="B6" s="283"/>
      <c r="C6" s="457" t="s">
        <v>152</v>
      </c>
      <c r="D6" s="458"/>
      <c r="E6" s="458"/>
      <c r="F6"/>
      <c r="G6" s="284"/>
      <c r="H6"/>
    </row>
    <row r="7" spans="1:8" s="302" customFormat="1" ht="13">
      <c r="A7" s="299"/>
      <c r="B7" s="300"/>
      <c r="C7" s="299"/>
      <c r="D7" s="299"/>
      <c r="E7" s="297"/>
      <c r="F7" s="299"/>
      <c r="G7" s="301"/>
      <c r="H7" s="299"/>
    </row>
    <row r="8" spans="1:8" s="302" customFormat="1" ht="13">
      <c r="A8" s="299"/>
      <c r="B8" s="300"/>
      <c r="C8" s="305" t="s">
        <v>153</v>
      </c>
      <c r="D8" s="306"/>
      <c r="E8" s="307"/>
      <c r="F8" s="299"/>
      <c r="G8" s="301"/>
      <c r="H8" s="299"/>
    </row>
    <row r="9" spans="1:8" s="302" customFormat="1" ht="26">
      <c r="A9" s="299"/>
      <c r="B9" s="300"/>
      <c r="C9" s="304" t="s">
        <v>149</v>
      </c>
      <c r="D9" s="353" t="s">
        <v>102</v>
      </c>
      <c r="E9" s="303" t="s">
        <v>151</v>
      </c>
      <c r="F9" s="299"/>
      <c r="G9" s="301"/>
      <c r="H9" s="299"/>
    </row>
    <row r="10" spans="1:8" s="302" customFormat="1" ht="65">
      <c r="A10" s="299"/>
      <c r="B10" s="300"/>
      <c r="C10" s="304" t="s">
        <v>164</v>
      </c>
      <c r="D10" s="353" t="s">
        <v>100</v>
      </c>
      <c r="E10" s="303" t="s">
        <v>150</v>
      </c>
      <c r="F10" s="299"/>
      <c r="G10" s="301"/>
      <c r="H10" s="299"/>
    </row>
    <row r="11" spans="1:8" s="302" customFormat="1" ht="78">
      <c r="A11" s="299"/>
      <c r="B11" s="300"/>
      <c r="C11" s="364" t="s">
        <v>356</v>
      </c>
      <c r="D11" s="308" t="s">
        <v>154</v>
      </c>
      <c r="E11" s="308" t="s">
        <v>331</v>
      </c>
      <c r="F11" s="299"/>
      <c r="G11" s="301"/>
      <c r="H11" s="299"/>
    </row>
    <row r="12" spans="1:8" s="302" customFormat="1" ht="26">
      <c r="A12" s="299"/>
      <c r="B12" s="300"/>
      <c r="C12" s="365" t="s">
        <v>165</v>
      </c>
      <c r="D12" s="311" t="s">
        <v>36</v>
      </c>
      <c r="E12" s="311" t="s">
        <v>337</v>
      </c>
      <c r="F12" s="299"/>
      <c r="G12" s="301"/>
      <c r="H12" s="299"/>
    </row>
    <row r="13" spans="1:8" s="302" customFormat="1" ht="13">
      <c r="A13" s="299"/>
      <c r="B13" s="300"/>
      <c r="C13" s="365" t="s">
        <v>237</v>
      </c>
      <c r="D13" s="311" t="s">
        <v>175</v>
      </c>
      <c r="E13" s="311" t="s">
        <v>338</v>
      </c>
      <c r="F13" s="299"/>
      <c r="G13" s="301"/>
      <c r="H13" s="299"/>
    </row>
    <row r="14" spans="1:8" s="302" customFormat="1" ht="13">
      <c r="A14" s="299"/>
      <c r="B14" s="300"/>
      <c r="C14" s="365" t="s">
        <v>238</v>
      </c>
      <c r="D14" s="311" t="s">
        <v>177</v>
      </c>
      <c r="E14" s="311" t="s">
        <v>196</v>
      </c>
      <c r="F14" s="299"/>
      <c r="G14" s="301"/>
      <c r="H14" s="299"/>
    </row>
    <row r="15" spans="1:8" s="302" customFormat="1" ht="29.25" customHeight="1">
      <c r="A15" s="299"/>
      <c r="B15" s="300"/>
      <c r="C15" s="365" t="s">
        <v>240</v>
      </c>
      <c r="D15" s="352" t="s">
        <v>178</v>
      </c>
      <c r="E15" s="311" t="s">
        <v>197</v>
      </c>
      <c r="F15" s="299"/>
      <c r="G15" s="301"/>
      <c r="H15" s="299"/>
    </row>
    <row r="16" spans="1:8" s="302" customFormat="1" ht="26">
      <c r="A16" s="299"/>
      <c r="B16" s="300"/>
      <c r="C16" s="365" t="s">
        <v>166</v>
      </c>
      <c r="D16" s="311" t="s">
        <v>232</v>
      </c>
      <c r="E16" s="311" t="s">
        <v>239</v>
      </c>
      <c r="F16" s="299"/>
      <c r="G16" s="301"/>
      <c r="H16" s="299"/>
    </row>
    <row r="17" spans="1:8" s="302" customFormat="1" ht="65">
      <c r="A17" s="299"/>
      <c r="B17" s="300"/>
      <c r="C17" s="365" t="s">
        <v>243</v>
      </c>
      <c r="D17" s="352" t="s">
        <v>91</v>
      </c>
      <c r="E17" s="311" t="s">
        <v>198</v>
      </c>
      <c r="F17" s="299"/>
      <c r="G17" s="301"/>
      <c r="H17" s="299"/>
    </row>
    <row r="18" spans="1:8" s="302" customFormat="1" ht="26">
      <c r="A18" s="299"/>
      <c r="B18" s="300"/>
      <c r="C18" s="365" t="s">
        <v>244</v>
      </c>
      <c r="D18" s="311" t="s">
        <v>332</v>
      </c>
      <c r="E18" s="311" t="s">
        <v>339</v>
      </c>
      <c r="F18" s="299"/>
      <c r="G18" s="301"/>
      <c r="H18" s="299"/>
    </row>
    <row r="19" spans="1:8" s="302" customFormat="1" ht="65">
      <c r="A19" s="299"/>
      <c r="B19" s="300"/>
      <c r="C19" s="365" t="s">
        <v>359</v>
      </c>
      <c r="D19" s="352" t="s">
        <v>34</v>
      </c>
      <c r="E19" s="311" t="s">
        <v>245</v>
      </c>
      <c r="F19" s="299"/>
      <c r="G19" s="301"/>
      <c r="H19" s="299"/>
    </row>
    <row r="20" spans="1:8" s="302" customFormat="1" ht="54" customHeight="1">
      <c r="A20" s="299"/>
      <c r="B20" s="300"/>
      <c r="C20" s="365" t="s">
        <v>349</v>
      </c>
      <c r="D20" s="352" t="s">
        <v>1</v>
      </c>
      <c r="E20" s="311" t="s">
        <v>199</v>
      </c>
      <c r="F20" s="299"/>
      <c r="G20" s="301"/>
      <c r="H20" s="299"/>
    </row>
    <row r="21" spans="1:8" s="302" customFormat="1" ht="39">
      <c r="A21" s="299"/>
      <c r="B21" s="300"/>
      <c r="C21" s="365" t="s">
        <v>318</v>
      </c>
      <c r="D21" s="352" t="s">
        <v>47</v>
      </c>
      <c r="E21" s="311" t="s">
        <v>249</v>
      </c>
      <c r="F21" s="299"/>
      <c r="G21" s="301"/>
      <c r="H21" s="299"/>
    </row>
    <row r="22" spans="1:8" s="302" customFormat="1" ht="13">
      <c r="A22" s="299"/>
      <c r="B22" s="300"/>
      <c r="C22" s="365" t="s">
        <v>319</v>
      </c>
      <c r="D22" s="311" t="s">
        <v>234</v>
      </c>
      <c r="E22" s="311" t="s">
        <v>251</v>
      </c>
      <c r="F22" s="299"/>
      <c r="G22" s="301"/>
      <c r="H22" s="299"/>
    </row>
    <row r="23" spans="1:8" s="302" customFormat="1" ht="52.5" customHeight="1">
      <c r="A23" s="299"/>
      <c r="B23" s="300"/>
      <c r="C23" s="365" t="s">
        <v>350</v>
      </c>
      <c r="D23" s="352" t="s">
        <v>46</v>
      </c>
      <c r="E23" s="311" t="s">
        <v>248</v>
      </c>
      <c r="F23" s="299"/>
      <c r="G23" s="301"/>
      <c r="H23" s="299"/>
    </row>
    <row r="24" spans="1:8" s="302" customFormat="1" ht="29.25" customHeight="1">
      <c r="A24" s="299"/>
      <c r="B24" s="300"/>
      <c r="C24" s="365" t="s">
        <v>294</v>
      </c>
      <c r="D24" s="352" t="s">
        <v>42</v>
      </c>
      <c r="E24" s="311" t="s">
        <v>200</v>
      </c>
      <c r="F24" s="299"/>
      <c r="G24" s="301"/>
      <c r="H24" s="299"/>
    </row>
    <row r="25" spans="1:8" ht="26">
      <c r="A25"/>
      <c r="B25" s="283"/>
      <c r="C25" s="365" t="s">
        <v>299</v>
      </c>
      <c r="D25" s="352" t="s">
        <v>41</v>
      </c>
      <c r="E25" s="311" t="s">
        <v>201</v>
      </c>
      <c r="F25"/>
      <c r="G25" s="284"/>
      <c r="H25"/>
    </row>
    <row r="26" spans="1:8" ht="39">
      <c r="A26"/>
      <c r="B26" s="283"/>
      <c r="C26" s="365" t="s">
        <v>298</v>
      </c>
      <c r="D26" s="352" t="s">
        <v>190</v>
      </c>
      <c r="E26" s="311" t="s">
        <v>283</v>
      </c>
      <c r="F26"/>
      <c r="G26" s="284"/>
      <c r="H26"/>
    </row>
    <row r="27" spans="1:8" ht="56.25" customHeight="1">
      <c r="A27"/>
      <c r="B27" s="283"/>
      <c r="C27" s="366" t="s">
        <v>300</v>
      </c>
      <c r="D27" s="354" t="s">
        <v>45</v>
      </c>
      <c r="E27" s="333" t="s">
        <v>202</v>
      </c>
      <c r="F27"/>
      <c r="G27" s="284"/>
      <c r="H27"/>
    </row>
    <row r="28" spans="1:8" ht="52.5" customHeight="1">
      <c r="A28"/>
      <c r="B28" s="283"/>
      <c r="C28" s="365" t="s">
        <v>305</v>
      </c>
      <c r="D28" s="352" t="s">
        <v>83</v>
      </c>
      <c r="E28" s="311" t="s">
        <v>222</v>
      </c>
      <c r="F28"/>
      <c r="G28" s="284"/>
      <c r="H28"/>
    </row>
    <row r="29" spans="1:8" ht="45" customHeight="1">
      <c r="A29"/>
      <c r="B29" s="283"/>
      <c r="C29" s="365" t="s">
        <v>306</v>
      </c>
      <c r="D29" s="352" t="s">
        <v>185</v>
      </c>
      <c r="E29" s="311" t="s">
        <v>252</v>
      </c>
      <c r="F29"/>
      <c r="G29" s="284"/>
      <c r="H29"/>
    </row>
    <row r="30" spans="1:8" ht="26">
      <c r="A30"/>
      <c r="B30" s="283"/>
      <c r="C30" s="365" t="s">
        <v>351</v>
      </c>
      <c r="D30" s="352" t="s">
        <v>158</v>
      </c>
      <c r="E30" s="311" t="s">
        <v>203</v>
      </c>
      <c r="F30"/>
      <c r="G30" s="284"/>
      <c r="H30"/>
    </row>
    <row r="31" spans="1:8" ht="52">
      <c r="A31"/>
      <c r="B31" s="283"/>
      <c r="C31" s="365" t="s">
        <v>352</v>
      </c>
      <c r="D31" s="352" t="s">
        <v>26</v>
      </c>
      <c r="E31" s="311" t="s">
        <v>204</v>
      </c>
      <c r="F31"/>
      <c r="G31" s="284"/>
      <c r="H31"/>
    </row>
    <row r="32" spans="1:8">
      <c r="A32"/>
      <c r="B32" s="283"/>
      <c r="C32" s="365" t="s">
        <v>308</v>
      </c>
      <c r="D32" s="352" t="s">
        <v>179</v>
      </c>
      <c r="E32" s="311" t="s">
        <v>205</v>
      </c>
      <c r="F32"/>
      <c r="G32" s="284"/>
      <c r="H32"/>
    </row>
    <row r="33" spans="1:8" ht="26">
      <c r="A33"/>
      <c r="B33" s="283"/>
      <c r="C33" s="365" t="s">
        <v>309</v>
      </c>
      <c r="D33" s="352" t="s">
        <v>159</v>
      </c>
      <c r="E33" s="311" t="s">
        <v>206</v>
      </c>
      <c r="F33"/>
      <c r="G33" s="284"/>
      <c r="H33"/>
    </row>
    <row r="34" spans="1:8" ht="52">
      <c r="A34"/>
      <c r="B34" s="283"/>
      <c r="C34" s="365" t="s">
        <v>353</v>
      </c>
      <c r="D34" s="352" t="s">
        <v>160</v>
      </c>
      <c r="E34" s="311" t="s">
        <v>207</v>
      </c>
      <c r="F34"/>
      <c r="G34" s="284"/>
      <c r="H34"/>
    </row>
    <row r="35" spans="1:8" ht="26">
      <c r="A35"/>
      <c r="B35" s="283"/>
      <c r="C35" s="365" t="s">
        <v>354</v>
      </c>
      <c r="D35" s="311" t="s">
        <v>335</v>
      </c>
      <c r="E35" s="311" t="s">
        <v>336</v>
      </c>
      <c r="F35"/>
      <c r="G35" s="284"/>
      <c r="H35"/>
    </row>
    <row r="36" spans="1:8" ht="39">
      <c r="A36"/>
      <c r="B36" s="283"/>
      <c r="C36" s="365" t="s">
        <v>311</v>
      </c>
      <c r="D36" s="352" t="s">
        <v>161</v>
      </c>
      <c r="E36" s="311" t="s">
        <v>208</v>
      </c>
      <c r="F36"/>
      <c r="G36" s="284"/>
      <c r="H36"/>
    </row>
    <row r="37" spans="1:8" ht="39">
      <c r="A37"/>
      <c r="B37" s="283"/>
      <c r="C37" s="365" t="s">
        <v>312</v>
      </c>
      <c r="D37" s="352" t="s">
        <v>162</v>
      </c>
      <c r="E37" s="311" t="s">
        <v>209</v>
      </c>
      <c r="F37"/>
      <c r="G37" s="284"/>
      <c r="H37"/>
    </row>
    <row r="38" spans="1:8">
      <c r="A38"/>
      <c r="B38" s="283"/>
      <c r="C38" s="309"/>
      <c r="D38" s="310"/>
      <c r="E38" s="311"/>
      <c r="F38"/>
      <c r="G38" s="284"/>
      <c r="H38"/>
    </row>
    <row r="39" spans="1:8">
      <c r="A39"/>
      <c r="B39" s="283"/>
      <c r="C39" s="305" t="s">
        <v>163</v>
      </c>
      <c r="D39" s="306"/>
      <c r="E39" s="307"/>
      <c r="F39"/>
      <c r="G39" s="284"/>
      <c r="H39"/>
    </row>
    <row r="40" spans="1:8">
      <c r="A40"/>
      <c r="B40" s="283"/>
      <c r="C40" s="309"/>
      <c r="D40" s="310"/>
      <c r="E40" s="311"/>
      <c r="F40"/>
      <c r="G40" s="284"/>
      <c r="H40"/>
    </row>
    <row r="41" spans="1:8" ht="65">
      <c r="A41"/>
      <c r="B41" s="283"/>
      <c r="C41" s="365" t="s">
        <v>237</v>
      </c>
      <c r="D41" s="352" t="s">
        <v>49</v>
      </c>
      <c r="E41" s="311" t="s">
        <v>210</v>
      </c>
      <c r="F41"/>
      <c r="G41" s="284"/>
      <c r="H41"/>
    </row>
    <row r="42" spans="1:8" ht="39">
      <c r="A42"/>
      <c r="B42" s="283"/>
      <c r="C42" s="416" t="s">
        <v>238</v>
      </c>
      <c r="D42" s="355" t="s">
        <v>50</v>
      </c>
      <c r="E42" s="343" t="s">
        <v>346</v>
      </c>
      <c r="F42"/>
      <c r="G42" s="284"/>
      <c r="H42"/>
    </row>
    <row r="43" spans="1:8">
      <c r="A43"/>
      <c r="B43" s="283"/>
      <c r="C43" s="365" t="s">
        <v>314</v>
      </c>
      <c r="D43" s="352" t="s">
        <v>216</v>
      </c>
      <c r="E43" s="312" t="s">
        <v>211</v>
      </c>
      <c r="F43"/>
      <c r="G43" s="284"/>
      <c r="H43"/>
    </row>
    <row r="44" spans="1:8">
      <c r="A44"/>
      <c r="B44" s="283"/>
      <c r="C44" s="365" t="s">
        <v>315</v>
      </c>
      <c r="D44" s="352" t="s">
        <v>215</v>
      </c>
      <c r="E44" s="312" t="s">
        <v>212</v>
      </c>
      <c r="F44"/>
      <c r="G44" s="284"/>
      <c r="H44"/>
    </row>
    <row r="45" spans="1:8" ht="26">
      <c r="A45"/>
      <c r="B45" s="283"/>
      <c r="C45" s="365" t="s">
        <v>317</v>
      </c>
      <c r="D45" s="352" t="s">
        <v>214</v>
      </c>
      <c r="E45" s="312" t="s">
        <v>213</v>
      </c>
      <c r="F45"/>
      <c r="G45" s="284"/>
      <c r="H45"/>
    </row>
    <row r="46" spans="1:8" ht="15">
      <c r="A46"/>
      <c r="B46" s="283"/>
      <c r="C46" s="365" t="s">
        <v>355</v>
      </c>
      <c r="D46" s="352" t="s">
        <v>167</v>
      </c>
      <c r="E46" s="312" t="s">
        <v>217</v>
      </c>
      <c r="F46"/>
      <c r="G46" s="284"/>
      <c r="H46"/>
    </row>
    <row r="47" spans="1:8">
      <c r="A47"/>
      <c r="B47" s="283"/>
      <c r="C47" s="365" t="s">
        <v>155</v>
      </c>
      <c r="D47" s="352" t="s">
        <v>51</v>
      </c>
      <c r="E47" s="312" t="s">
        <v>168</v>
      </c>
      <c r="F47"/>
      <c r="G47" s="284"/>
      <c r="H47"/>
    </row>
    <row r="48" spans="1:8">
      <c r="A48"/>
      <c r="B48" s="283"/>
      <c r="C48" s="365" t="s">
        <v>318</v>
      </c>
      <c r="D48" s="311" t="s">
        <v>328</v>
      </c>
      <c r="E48" s="312" t="s">
        <v>344</v>
      </c>
      <c r="F48"/>
      <c r="G48" s="284"/>
      <c r="H48"/>
    </row>
    <row r="49" spans="1:12">
      <c r="A49"/>
      <c r="B49" s="283"/>
      <c r="C49" s="365" t="s">
        <v>319</v>
      </c>
      <c r="D49" s="352" t="s">
        <v>52</v>
      </c>
      <c r="E49" s="312" t="s">
        <v>169</v>
      </c>
      <c r="F49"/>
      <c r="G49" s="284"/>
      <c r="H49"/>
    </row>
    <row r="50" spans="1:12">
      <c r="A50"/>
      <c r="B50" s="283"/>
      <c r="C50" s="365" t="s">
        <v>253</v>
      </c>
      <c r="D50" s="352" t="s">
        <v>53</v>
      </c>
      <c r="E50" s="312" t="s">
        <v>170</v>
      </c>
      <c r="F50"/>
      <c r="G50" s="284"/>
      <c r="H50"/>
    </row>
    <row r="51" spans="1:12">
      <c r="A51"/>
      <c r="B51" s="283"/>
      <c r="C51" s="365" t="s">
        <v>157</v>
      </c>
      <c r="D51" s="352" t="s">
        <v>54</v>
      </c>
      <c r="E51" s="312" t="s">
        <v>171</v>
      </c>
      <c r="F51"/>
      <c r="G51" s="284"/>
      <c r="H51"/>
    </row>
    <row r="52" spans="1:12">
      <c r="A52"/>
      <c r="B52" s="283"/>
      <c r="C52" s="365" t="s">
        <v>247</v>
      </c>
      <c r="D52" s="352" t="s">
        <v>172</v>
      </c>
      <c r="E52" s="312" t="s">
        <v>173</v>
      </c>
      <c r="F52"/>
      <c r="G52" s="284"/>
      <c r="H52"/>
    </row>
    <row r="53" spans="1:12">
      <c r="A53"/>
      <c r="B53" s="283"/>
      <c r="C53" s="313"/>
      <c r="D53" s="314"/>
      <c r="E53" s="315"/>
      <c r="F53"/>
      <c r="G53" s="284"/>
      <c r="H53"/>
    </row>
    <row r="54" spans="1:12">
      <c r="A54"/>
      <c r="B54" s="283"/>
      <c r="C54" s="305" t="s">
        <v>174</v>
      </c>
      <c r="D54" s="306"/>
      <c r="E54" s="307"/>
      <c r="F54"/>
      <c r="G54" s="284"/>
      <c r="H54"/>
    </row>
    <row r="55" spans="1:12" ht="4.5" customHeight="1">
      <c r="A55"/>
      <c r="B55" s="283"/>
      <c r="C55" s="320"/>
      <c r="D55" s="321"/>
      <c r="E55" s="322"/>
      <c r="F55"/>
      <c r="G55" s="284"/>
      <c r="H55"/>
    </row>
    <row r="56" spans="1:12" ht="51.75" customHeight="1">
      <c r="A56"/>
      <c r="B56" s="283"/>
      <c r="C56" s="459" t="s">
        <v>194</v>
      </c>
      <c r="D56" s="459"/>
      <c r="E56" s="459"/>
      <c r="F56"/>
      <c r="G56" s="284"/>
      <c r="H56"/>
    </row>
    <row r="57" spans="1:12" ht="3.75" customHeight="1">
      <c r="A57"/>
      <c r="B57" s="283"/>
      <c r="C57" s="325"/>
      <c r="D57" s="323"/>
      <c r="E57" s="324"/>
      <c r="F57"/>
      <c r="G57" s="284"/>
      <c r="H57"/>
    </row>
    <row r="58" spans="1:12" ht="39">
      <c r="A58"/>
      <c r="B58" s="283"/>
      <c r="C58" s="309"/>
      <c r="D58" s="310" t="s">
        <v>43</v>
      </c>
      <c r="E58" s="319" t="s">
        <v>218</v>
      </c>
      <c r="F58"/>
      <c r="G58" s="284"/>
      <c r="H58"/>
    </row>
    <row r="59" spans="1:12" ht="26">
      <c r="A59"/>
      <c r="B59" s="283"/>
      <c r="C59" s="309"/>
      <c r="D59" s="310" t="s">
        <v>176</v>
      </c>
      <c r="E59" s="311" t="s">
        <v>219</v>
      </c>
      <c r="F59"/>
      <c r="G59" s="284"/>
      <c r="H59"/>
    </row>
    <row r="60" spans="1:12" ht="26">
      <c r="A60"/>
      <c r="B60" s="283"/>
      <c r="C60" s="309"/>
      <c r="D60" s="310" t="s">
        <v>76</v>
      </c>
      <c r="E60" s="311" t="s">
        <v>220</v>
      </c>
      <c r="F60"/>
      <c r="G60" s="284"/>
      <c r="H60"/>
    </row>
    <row r="61" spans="1:12" s="103" customFormat="1" ht="26">
      <c r="A61"/>
      <c r="B61" s="283"/>
      <c r="C61" s="309"/>
      <c r="D61" s="310" t="s">
        <v>27</v>
      </c>
      <c r="E61" s="311" t="s">
        <v>221</v>
      </c>
      <c r="F61"/>
      <c r="G61" s="284"/>
      <c r="H61"/>
      <c r="I61" s="222"/>
      <c r="J61" s="222"/>
      <c r="K61" s="222"/>
      <c r="L61" s="222"/>
    </row>
    <row r="62" spans="1:12" ht="15" thickBot="1">
      <c r="A62"/>
      <c r="B62" s="285"/>
      <c r="C62" s="286"/>
      <c r="D62" s="286"/>
      <c r="E62" s="286"/>
      <c r="F62" s="286"/>
      <c r="G62" s="287"/>
      <c r="H62"/>
    </row>
    <row r="63" spans="1:12">
      <c r="A63" s="8"/>
      <c r="B63" s="265" t="s">
        <v>228</v>
      </c>
      <c r="C63" s="7"/>
      <c r="D63" s="7"/>
      <c r="E63" s="8"/>
      <c r="F63" s="13"/>
      <c r="G63" s="8"/>
      <c r="H63" s="8"/>
    </row>
    <row r="64" spans="1:12">
      <c r="A64" s="8"/>
      <c r="B64" s="8"/>
      <c r="C64" s="8"/>
      <c r="D64" s="8"/>
      <c r="E64" s="8"/>
      <c r="F64" s="8"/>
      <c r="G64" s="8"/>
      <c r="H64" s="8"/>
    </row>
    <row r="65" spans="1:8">
      <c r="A65" s="8"/>
      <c r="B65" s="8"/>
      <c r="C65" s="8"/>
      <c r="D65" s="8"/>
      <c r="E65" s="8"/>
      <c r="F65" s="8"/>
      <c r="G65" s="8"/>
      <c r="H65" s="8"/>
    </row>
    <row r="66" spans="1:8">
      <c r="A66" s="8"/>
      <c r="B66" s="8"/>
      <c r="C66" s="8"/>
      <c r="D66" s="8"/>
      <c r="E66" s="8"/>
      <c r="F66" s="8"/>
      <c r="G66" s="8"/>
      <c r="H66" s="8"/>
    </row>
    <row r="67" spans="1:8">
      <c r="A67" s="8"/>
      <c r="B67" s="8"/>
      <c r="C67" s="8"/>
      <c r="D67" s="8"/>
      <c r="E67" s="8"/>
      <c r="F67" s="8"/>
      <c r="G67" s="8"/>
      <c r="H67" s="8"/>
    </row>
  </sheetData>
  <sheetProtection sheet="1" objects="1" scenarios="1"/>
  <mergeCells count="2">
    <mergeCell ref="C6:E6"/>
    <mergeCell ref="C56:E56"/>
  </mergeCells>
  <phoneticPr fontId="48" type="noConversion"/>
  <pageMargins left="0.70866141732283472" right="0.70866141732283472" top="0.74803149606299213" bottom="0.74803149606299213" header="0.31496062992125984" footer="0.31496062992125984"/>
  <pageSetup paperSize="9" scale="38"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8080"/>
    <pageSetUpPr fitToPage="1"/>
  </sheetPr>
  <dimension ref="A1:U161"/>
  <sheetViews>
    <sheetView zoomScaleNormal="100" zoomScaleSheetLayoutView="100" workbookViewId="0"/>
  </sheetViews>
  <sheetFormatPr defaultColWidth="9.1796875" defaultRowHeight="13"/>
  <cols>
    <col min="1" max="1" width="2" style="103" customWidth="1"/>
    <col min="2" max="2" width="1" style="107" customWidth="1"/>
    <col min="3" max="3" width="0.81640625" style="107" customWidth="1"/>
    <col min="4" max="4" width="36.54296875" style="103" customWidth="1"/>
    <col min="5" max="5" width="1" style="108" customWidth="1"/>
    <col min="6" max="6" width="11" style="103" customWidth="1"/>
    <col min="7" max="7" width="10" style="111" customWidth="1"/>
    <col min="8" max="8" width="61.54296875" style="103" customWidth="1"/>
    <col min="9" max="10" width="1" style="103" customWidth="1"/>
    <col min="11" max="11" width="2" style="103" customWidth="1"/>
    <col min="12" max="12" width="9.81640625" style="103" bestFit="1" customWidth="1"/>
    <col min="13" max="13" width="70.81640625" style="103" bestFit="1" customWidth="1"/>
    <col min="14" max="14" width="9.1796875" style="103"/>
    <col min="15" max="15" width="10.1796875" style="103" bestFit="1" customWidth="1"/>
    <col min="16" max="16" width="6.1796875" style="103" customWidth="1"/>
    <col min="17" max="17" width="2.54296875" style="103" customWidth="1"/>
    <col min="18" max="16384" width="9.1796875" style="103"/>
  </cols>
  <sheetData>
    <row r="1" spans="1:19" ht="11.25" customHeight="1" thickBot="1">
      <c r="A1" s="8"/>
      <c r="B1" s="7"/>
      <c r="C1" s="7"/>
      <c r="D1" s="8"/>
      <c r="E1" s="13"/>
      <c r="F1" s="8"/>
      <c r="G1" s="9"/>
      <c r="H1" s="8"/>
      <c r="I1" s="8"/>
      <c r="J1" s="8"/>
      <c r="K1" s="8"/>
    </row>
    <row r="2" spans="1:19" ht="4.5" customHeight="1">
      <c r="A2" s="8"/>
      <c r="B2" s="67"/>
      <c r="C2" s="68"/>
      <c r="D2" s="69"/>
      <c r="E2" s="92"/>
      <c r="F2" s="70"/>
      <c r="G2" s="70"/>
      <c r="H2" s="69"/>
      <c r="I2" s="69"/>
      <c r="J2" s="71"/>
      <c r="K2" s="8"/>
    </row>
    <row r="3" spans="1:19" s="104" customFormat="1" ht="23.5">
      <c r="A3" s="1"/>
      <c r="B3" s="72"/>
      <c r="C3" s="46"/>
      <c r="D3" s="113" t="s">
        <v>288</v>
      </c>
      <c r="E3" s="93"/>
      <c r="F3" s="1"/>
      <c r="G3" s="13"/>
      <c r="H3" s="1"/>
      <c r="I3" s="1"/>
      <c r="J3" s="73"/>
      <c r="K3" s="1"/>
    </row>
    <row r="4" spans="1:19" s="104" customFormat="1" ht="21" customHeight="1">
      <c r="A4" s="1"/>
      <c r="B4" s="72"/>
      <c r="C4" s="46"/>
      <c r="D4" s="113" t="s">
        <v>98</v>
      </c>
      <c r="E4" s="15"/>
      <c r="F4" s="15"/>
      <c r="G4" s="15"/>
      <c r="H4" s="112"/>
      <c r="I4" s="1"/>
      <c r="J4" s="73"/>
      <c r="K4" s="1"/>
    </row>
    <row r="5" spans="1:19" s="104" customFormat="1" ht="11.25" customHeight="1">
      <c r="A5" s="1"/>
      <c r="B5" s="72"/>
      <c r="C5" s="46"/>
      <c r="D5" s="12"/>
      <c r="E5" s="93"/>
      <c r="F5" s="1"/>
      <c r="G5" s="13"/>
      <c r="H5" s="1"/>
      <c r="I5" s="1"/>
      <c r="J5" s="73"/>
      <c r="K5" s="1"/>
    </row>
    <row r="6" spans="1:19" s="104" customFormat="1" ht="14.5">
      <c r="A6" s="1"/>
      <c r="B6" s="72"/>
      <c r="C6" s="46"/>
      <c r="D6" s="116" t="s">
        <v>102</v>
      </c>
      <c r="E6" s="115" t="s">
        <v>96</v>
      </c>
      <c r="F6" s="461"/>
      <c r="G6" s="461"/>
      <c r="H6" s="281"/>
      <c r="I6" s="1"/>
      <c r="J6" s="73"/>
      <c r="K6" s="1"/>
    </row>
    <row r="7" spans="1:19" s="104" customFormat="1" ht="5.25" customHeight="1">
      <c r="A7" s="1"/>
      <c r="B7" s="72"/>
      <c r="C7" s="46"/>
      <c r="D7" s="116"/>
      <c r="E7" s="114"/>
      <c r="F7" s="1"/>
      <c r="G7" s="1"/>
      <c r="H7" s="1"/>
      <c r="I7" s="1"/>
      <c r="J7" s="73"/>
      <c r="K7" s="1"/>
    </row>
    <row r="8" spans="1:19" s="104" customFormat="1" ht="14.5">
      <c r="A8" s="1"/>
      <c r="B8" s="72"/>
      <c r="C8" s="46"/>
      <c r="D8" s="116" t="s">
        <v>99</v>
      </c>
      <c r="E8" s="115" t="s">
        <v>96</v>
      </c>
      <c r="F8" s="461"/>
      <c r="G8" s="461"/>
      <c r="H8" s="280"/>
      <c r="I8" s="1"/>
      <c r="J8" s="73"/>
      <c r="K8" s="1"/>
    </row>
    <row r="9" spans="1:19" s="104" customFormat="1" ht="5.25" customHeight="1">
      <c r="A9" s="1"/>
      <c r="B9" s="72"/>
      <c r="C9" s="46"/>
      <c r="D9" s="116"/>
      <c r="E9" s="114"/>
      <c r="F9" s="1"/>
      <c r="G9" s="1"/>
      <c r="H9" s="1"/>
      <c r="I9" s="1"/>
      <c r="J9" s="73"/>
      <c r="K9" s="1"/>
    </row>
    <row r="10" spans="1:19" s="104" customFormat="1" ht="14.5">
      <c r="A10" s="1"/>
      <c r="B10" s="72"/>
      <c r="C10" s="46"/>
      <c r="D10" s="116" t="s">
        <v>100</v>
      </c>
      <c r="E10" s="115" t="s">
        <v>96</v>
      </c>
      <c r="F10" s="378"/>
      <c r="G10" s="1"/>
      <c r="H10" s="281"/>
      <c r="I10" s="1"/>
      <c r="J10" s="73"/>
      <c r="K10" s="1"/>
    </row>
    <row r="11" spans="1:19" s="104" customFormat="1" ht="5.25" customHeight="1">
      <c r="A11" s="1"/>
      <c r="B11" s="72"/>
      <c r="C11" s="46"/>
      <c r="D11" s="116"/>
      <c r="E11" s="114"/>
      <c r="F11" s="1"/>
      <c r="G11" s="1"/>
      <c r="H11" s="1"/>
      <c r="I11" s="1"/>
      <c r="J11" s="73"/>
      <c r="K11" s="1"/>
    </row>
    <row r="12" spans="1:19" s="104" customFormat="1" ht="14.5">
      <c r="A12" s="1"/>
      <c r="B12" s="72"/>
      <c r="C12" s="46"/>
      <c r="D12" s="116" t="s">
        <v>101</v>
      </c>
      <c r="E12" s="115" t="s">
        <v>96</v>
      </c>
      <c r="F12" s="428"/>
      <c r="G12" s="1"/>
      <c r="H12" s="282" t="s">
        <v>142</v>
      </c>
      <c r="I12" s="1"/>
      <c r="J12" s="73"/>
      <c r="K12" s="1"/>
    </row>
    <row r="13" spans="1:19" s="104" customFormat="1" ht="8.25" customHeight="1">
      <c r="A13" s="1"/>
      <c r="B13" s="72"/>
      <c r="C13" s="46"/>
      <c r="D13" s="1"/>
      <c r="E13" s="13"/>
      <c r="F13" s="13"/>
      <c r="G13" s="13"/>
      <c r="H13" s="1"/>
      <c r="I13" s="1"/>
      <c r="J13" s="73"/>
      <c r="K13" s="1"/>
    </row>
    <row r="14" spans="1:19" s="109" customFormat="1" ht="16.5" customHeight="1">
      <c r="A14" s="117"/>
      <c r="B14" s="118"/>
      <c r="C14" s="119"/>
      <c r="D14" s="452" t="s">
        <v>88</v>
      </c>
      <c r="E14" s="121"/>
      <c r="F14" s="122"/>
      <c r="G14" s="122"/>
      <c r="H14" s="123"/>
      <c r="I14" s="124"/>
      <c r="J14" s="125"/>
      <c r="K14" s="117"/>
    </row>
    <row r="15" spans="1:19" s="151" customFormat="1" ht="30.75" customHeight="1">
      <c r="A15" s="145"/>
      <c r="B15" s="146"/>
      <c r="C15" s="147"/>
      <c r="D15" s="462" t="s">
        <v>284</v>
      </c>
      <c r="E15" s="462"/>
      <c r="F15" s="462"/>
      <c r="G15" s="462"/>
      <c r="H15" s="462"/>
      <c r="I15" s="148"/>
      <c r="J15" s="149"/>
      <c r="K15" s="145"/>
      <c r="L15" s="150"/>
      <c r="M15" s="150"/>
      <c r="N15" s="150"/>
      <c r="O15" s="150"/>
      <c r="P15" s="150"/>
      <c r="Q15" s="150"/>
      <c r="R15" s="150"/>
      <c r="S15" s="150"/>
    </row>
    <row r="16" spans="1:19">
      <c r="A16" s="8"/>
      <c r="B16" s="74"/>
      <c r="C16" s="49"/>
      <c r="D16" s="440" t="s">
        <v>348</v>
      </c>
      <c r="E16" s="13" t="s">
        <v>96</v>
      </c>
      <c r="F16" s="270"/>
      <c r="G16" s="30" t="s">
        <v>0</v>
      </c>
      <c r="H16" s="141" t="s">
        <v>37</v>
      </c>
      <c r="I16" s="50"/>
      <c r="J16" s="76"/>
      <c r="K16" s="8"/>
      <c r="M16" s="105"/>
      <c r="N16" s="105"/>
      <c r="O16" s="105"/>
      <c r="P16" s="105"/>
      <c r="Q16" s="105"/>
      <c r="R16" s="105"/>
      <c r="S16" s="105"/>
    </row>
    <row r="17" spans="1:19" ht="4.5" customHeight="1">
      <c r="A17" s="8"/>
      <c r="B17" s="74"/>
      <c r="C17" s="49"/>
      <c r="D17" s="44"/>
      <c r="E17" s="95"/>
      <c r="F17" s="42"/>
      <c r="G17" s="42"/>
      <c r="H17" s="137"/>
      <c r="I17" s="50"/>
      <c r="J17" s="76"/>
      <c r="K17" s="8"/>
      <c r="L17" s="105"/>
      <c r="M17" s="105"/>
      <c r="N17" s="105"/>
      <c r="O17" s="105"/>
      <c r="P17" s="105"/>
      <c r="Q17" s="105"/>
      <c r="R17" s="105"/>
      <c r="S17" s="105"/>
    </row>
    <row r="18" spans="1:19" ht="4.5" customHeight="1">
      <c r="A18" s="8"/>
      <c r="B18" s="74"/>
      <c r="C18" s="49"/>
      <c r="D18" s="37"/>
      <c r="E18" s="96"/>
      <c r="F18" s="30"/>
      <c r="G18" s="30"/>
      <c r="H18" s="138"/>
      <c r="I18" s="50"/>
      <c r="J18" s="76"/>
      <c r="K18" s="8"/>
      <c r="L18" s="105"/>
      <c r="M18" s="105"/>
      <c r="N18" s="105"/>
      <c r="O18" s="105"/>
      <c r="P18" s="105"/>
      <c r="Q18" s="105"/>
      <c r="R18" s="105"/>
      <c r="S18" s="105"/>
    </row>
    <row r="19" spans="1:19" ht="9.75" customHeight="1">
      <c r="A19" s="8"/>
      <c r="B19" s="74"/>
      <c r="C19" s="49"/>
      <c r="D19" s="114" t="s">
        <v>35</v>
      </c>
      <c r="E19" s="96"/>
      <c r="F19" s="30"/>
      <c r="G19" s="30"/>
      <c r="H19" s="139"/>
      <c r="I19" s="52"/>
      <c r="J19" s="76"/>
      <c r="K19" s="10"/>
      <c r="L19" s="105"/>
      <c r="M19" s="105"/>
      <c r="N19" s="105"/>
      <c r="O19" s="105"/>
      <c r="P19" s="105"/>
      <c r="Q19" s="105"/>
      <c r="R19" s="105"/>
      <c r="S19" s="105"/>
    </row>
    <row r="20" spans="1:19" ht="5.25" customHeight="1">
      <c r="A20" s="8"/>
      <c r="B20" s="74"/>
      <c r="C20" s="49"/>
      <c r="D20" s="14"/>
      <c r="E20" s="96"/>
      <c r="F20" s="28"/>
      <c r="G20" s="30"/>
      <c r="H20" s="139"/>
      <c r="I20" s="52"/>
      <c r="J20" s="76"/>
      <c r="K20" s="10"/>
      <c r="L20" s="105"/>
      <c r="M20" s="105"/>
      <c r="N20" s="105"/>
      <c r="O20" s="105"/>
      <c r="P20" s="105"/>
      <c r="Q20" s="105"/>
      <c r="R20" s="105"/>
      <c r="S20" s="105"/>
    </row>
    <row r="21" spans="1:19" ht="5.25" customHeight="1">
      <c r="A21" s="8"/>
      <c r="B21" s="74"/>
      <c r="C21" s="49"/>
      <c r="D21" s="38"/>
      <c r="E21" s="94"/>
      <c r="F21" s="39"/>
      <c r="G21" s="40"/>
      <c r="H21" s="142"/>
      <c r="I21" s="52"/>
      <c r="J21" s="76"/>
      <c r="K21" s="10"/>
      <c r="L21" s="105"/>
      <c r="M21" s="105"/>
      <c r="N21" s="105"/>
      <c r="O21" s="105"/>
      <c r="P21" s="105"/>
      <c r="Q21" s="105"/>
      <c r="R21" s="105"/>
      <c r="S21" s="105"/>
    </row>
    <row r="22" spans="1:19">
      <c r="A22" s="8"/>
      <c r="B22" s="74"/>
      <c r="C22" s="49"/>
      <c r="D22" s="87" t="s">
        <v>19</v>
      </c>
      <c r="E22" s="13" t="s">
        <v>96</v>
      </c>
      <c r="F22" s="270"/>
      <c r="G22" s="30" t="s">
        <v>21</v>
      </c>
      <c r="H22" s="141" t="s">
        <v>37</v>
      </c>
      <c r="I22" s="50"/>
      <c r="J22" s="76"/>
      <c r="K22" s="10"/>
      <c r="L22" s="105"/>
      <c r="M22" s="105"/>
      <c r="N22" s="105"/>
      <c r="O22" s="105"/>
      <c r="P22" s="105"/>
      <c r="Q22" s="105"/>
      <c r="R22" s="105"/>
      <c r="S22" s="105"/>
    </row>
    <row r="23" spans="1:19" ht="5.25" customHeight="1">
      <c r="A23" s="8"/>
      <c r="B23" s="74"/>
      <c r="C23" s="49"/>
      <c r="D23" s="87"/>
      <c r="E23" s="13"/>
      <c r="F23" s="30"/>
      <c r="G23" s="30"/>
      <c r="H23" s="141"/>
      <c r="I23" s="50"/>
      <c r="J23" s="76"/>
      <c r="K23" s="10"/>
      <c r="L23" s="105"/>
      <c r="M23" s="105"/>
      <c r="N23" s="105"/>
      <c r="O23" s="105"/>
      <c r="P23" s="105"/>
      <c r="Q23" s="105"/>
      <c r="R23" s="105"/>
      <c r="S23" s="105"/>
    </row>
    <row r="24" spans="1:19">
      <c r="A24" s="8"/>
      <c r="B24" s="74"/>
      <c r="C24" s="49"/>
      <c r="D24" s="87" t="s">
        <v>20</v>
      </c>
      <c r="E24" s="13" t="s">
        <v>96</v>
      </c>
      <c r="F24" s="270"/>
      <c r="G24" s="30" t="s">
        <v>22</v>
      </c>
      <c r="H24" s="141" t="s">
        <v>37</v>
      </c>
      <c r="I24" s="50"/>
      <c r="J24" s="76"/>
      <c r="K24" s="10"/>
      <c r="L24" s="105"/>
      <c r="M24" s="105"/>
      <c r="N24" s="105"/>
      <c r="O24" s="105"/>
      <c r="P24" s="105"/>
      <c r="Q24" s="105"/>
      <c r="R24" s="105"/>
      <c r="S24" s="105"/>
    </row>
    <row r="25" spans="1:19" ht="5.25" customHeight="1">
      <c r="A25" s="8"/>
      <c r="B25" s="74"/>
      <c r="C25" s="49"/>
      <c r="D25" s="87"/>
      <c r="E25" s="13"/>
      <c r="F25" s="30"/>
      <c r="G25" s="30"/>
      <c r="H25" s="141"/>
      <c r="I25" s="50"/>
      <c r="J25" s="76"/>
      <c r="K25" s="10"/>
      <c r="L25" s="105"/>
      <c r="M25" s="105"/>
      <c r="N25" s="105"/>
      <c r="O25" s="105"/>
      <c r="P25" s="105"/>
      <c r="Q25" s="105"/>
      <c r="R25" s="105"/>
      <c r="S25" s="105"/>
    </row>
    <row r="26" spans="1:19" ht="26">
      <c r="A26" s="8"/>
      <c r="B26" s="74"/>
      <c r="C26" s="49"/>
      <c r="D26" s="318" t="s">
        <v>90</v>
      </c>
      <c r="E26" s="13" t="s">
        <v>96</v>
      </c>
      <c r="F26" s="271"/>
      <c r="G26" s="16"/>
      <c r="H26" s="441" t="s">
        <v>39</v>
      </c>
      <c r="I26" s="50"/>
      <c r="J26" s="76"/>
      <c r="K26" s="10"/>
      <c r="L26" s="105"/>
      <c r="M26" s="105"/>
      <c r="N26" s="105"/>
      <c r="O26" s="105"/>
      <c r="P26" s="105"/>
      <c r="Q26" s="105"/>
      <c r="R26" s="105"/>
      <c r="S26" s="105"/>
    </row>
    <row r="27" spans="1:19">
      <c r="A27" s="8"/>
      <c r="B27" s="74"/>
      <c r="C27" s="49"/>
      <c r="D27" s="358" t="s">
        <v>232</v>
      </c>
      <c r="E27" s="13"/>
      <c r="F27" s="31">
        <f>F22*F24*SQRT(3)/1000</f>
        <v>0</v>
      </c>
      <c r="G27" s="348" t="s">
        <v>23</v>
      </c>
      <c r="H27" s="141"/>
      <c r="I27" s="50"/>
      <c r="J27" s="76"/>
      <c r="K27" s="10"/>
      <c r="L27" s="105"/>
      <c r="M27" s="105"/>
      <c r="N27" s="105"/>
      <c r="O27" s="105"/>
      <c r="P27" s="105"/>
      <c r="Q27" s="105"/>
      <c r="R27" s="105"/>
      <c r="S27" s="105"/>
    </row>
    <row r="28" spans="1:19" ht="5.25" customHeight="1">
      <c r="A28" s="8"/>
      <c r="B28" s="74"/>
      <c r="C28" s="49"/>
      <c r="D28" s="87"/>
      <c r="E28" s="296"/>
      <c r="F28" s="296"/>
      <c r="G28" s="296"/>
      <c r="H28" s="141"/>
      <c r="I28" s="50"/>
      <c r="J28" s="76"/>
      <c r="K28" s="10"/>
      <c r="L28" s="105"/>
      <c r="M28" s="105"/>
      <c r="N28" s="105"/>
      <c r="O28" s="105"/>
      <c r="P28" s="105"/>
      <c r="Q28" s="105"/>
      <c r="R28" s="105"/>
      <c r="S28" s="105"/>
    </row>
    <row r="29" spans="1:19" ht="5.25" customHeight="1">
      <c r="A29" s="8"/>
      <c r="B29" s="74"/>
      <c r="C29" s="49"/>
      <c r="D29" s="41"/>
      <c r="E29" s="42"/>
      <c r="F29" s="42"/>
      <c r="G29" s="42"/>
      <c r="H29" s="137"/>
      <c r="I29" s="50"/>
      <c r="J29" s="76"/>
      <c r="K29" s="10"/>
      <c r="L29" s="105"/>
      <c r="M29" s="105"/>
      <c r="N29" s="105"/>
      <c r="O29" s="105"/>
      <c r="P29" s="105"/>
      <c r="Q29" s="105"/>
      <c r="R29" s="105"/>
      <c r="S29" s="105"/>
    </row>
    <row r="30" spans="1:19" ht="5.25" customHeight="1">
      <c r="A30" s="8"/>
      <c r="B30" s="74"/>
      <c r="C30" s="49"/>
      <c r="D30" s="8"/>
      <c r="E30" s="13"/>
      <c r="F30" s="31"/>
      <c r="G30" s="30"/>
      <c r="H30" s="138"/>
      <c r="I30" s="50"/>
      <c r="J30" s="76"/>
      <c r="K30" s="10"/>
      <c r="L30" s="105"/>
      <c r="M30" s="105"/>
      <c r="N30" s="105"/>
      <c r="O30" s="105"/>
      <c r="P30" s="105"/>
      <c r="Q30" s="105"/>
      <c r="R30" s="105"/>
      <c r="S30" s="105"/>
    </row>
    <row r="31" spans="1:19" ht="9.75" customHeight="1">
      <c r="A31" s="8"/>
      <c r="B31" s="74"/>
      <c r="C31" s="49"/>
      <c r="D31" s="114" t="s">
        <v>87</v>
      </c>
      <c r="E31" s="96"/>
      <c r="F31" s="30"/>
      <c r="G31" s="30"/>
      <c r="H31" s="139"/>
      <c r="I31" s="52"/>
      <c r="J31" s="76"/>
      <c r="K31" s="10"/>
      <c r="L31" s="105"/>
      <c r="M31" s="105"/>
      <c r="N31" s="105"/>
      <c r="O31" s="105"/>
      <c r="P31" s="105"/>
      <c r="Q31" s="105"/>
      <c r="R31" s="105"/>
      <c r="S31" s="105"/>
    </row>
    <row r="32" spans="1:19" ht="5.25" customHeight="1">
      <c r="A32" s="8"/>
      <c r="B32" s="74"/>
      <c r="C32" s="49"/>
      <c r="D32" s="14"/>
      <c r="E32" s="96"/>
      <c r="F32" s="28"/>
      <c r="G32" s="30"/>
      <c r="H32" s="139"/>
      <c r="I32" s="52"/>
      <c r="J32" s="76"/>
      <c r="K32" s="10"/>
      <c r="L32" s="105"/>
      <c r="M32" s="105"/>
      <c r="N32" s="105"/>
      <c r="O32" s="105"/>
      <c r="P32" s="105"/>
      <c r="Q32" s="105"/>
      <c r="R32" s="105"/>
      <c r="S32" s="105"/>
    </row>
    <row r="33" spans="1:21" ht="5.25" customHeight="1">
      <c r="A33" s="8"/>
      <c r="B33" s="74"/>
      <c r="C33" s="49"/>
      <c r="D33" s="45"/>
      <c r="E33" s="98"/>
      <c r="F33" s="40"/>
      <c r="G33" s="40"/>
      <c r="H33" s="140"/>
      <c r="I33" s="50"/>
      <c r="J33" s="76"/>
      <c r="K33" s="10"/>
      <c r="L33" s="105"/>
      <c r="M33" s="105"/>
      <c r="N33" s="105"/>
      <c r="O33" s="105"/>
      <c r="P33" s="105"/>
      <c r="Q33" s="105"/>
      <c r="R33" s="105"/>
      <c r="S33" s="105"/>
    </row>
    <row r="34" spans="1:21" ht="15">
      <c r="A34" s="8"/>
      <c r="B34" s="74"/>
      <c r="C34" s="49"/>
      <c r="D34" s="86" t="s">
        <v>91</v>
      </c>
      <c r="E34" s="13" t="s">
        <v>96</v>
      </c>
      <c r="F34" s="439"/>
      <c r="G34" s="30"/>
      <c r="H34" s="136" t="s">
        <v>86</v>
      </c>
      <c r="I34" s="51"/>
      <c r="J34" s="77"/>
      <c r="K34" s="6"/>
      <c r="L34" s="106"/>
      <c r="M34" s="106"/>
      <c r="N34" s="106"/>
      <c r="O34" s="106"/>
      <c r="P34" s="106"/>
      <c r="Q34" s="106"/>
      <c r="R34" s="106"/>
      <c r="S34" s="106"/>
      <c r="T34" s="106"/>
      <c r="U34" s="106"/>
    </row>
    <row r="35" spans="1:21" ht="26">
      <c r="A35" s="8"/>
      <c r="B35" s="74"/>
      <c r="C35" s="49"/>
      <c r="D35" s="86"/>
      <c r="E35" s="13"/>
      <c r="F35" s="29"/>
      <c r="G35" s="30"/>
      <c r="H35" s="143" t="s">
        <v>106</v>
      </c>
      <c r="I35" s="53"/>
      <c r="J35" s="77"/>
      <c r="K35" s="6"/>
      <c r="L35" s="106"/>
      <c r="M35" s="106"/>
      <c r="O35" s="106"/>
      <c r="P35" s="106"/>
      <c r="Q35" s="106"/>
      <c r="R35" s="106"/>
      <c r="S35" s="106"/>
      <c r="T35" s="106"/>
      <c r="U35" s="106"/>
    </row>
    <row r="36" spans="1:21" ht="26">
      <c r="A36" s="8"/>
      <c r="B36" s="74"/>
      <c r="C36" s="49"/>
      <c r="D36" s="318" t="s">
        <v>324</v>
      </c>
      <c r="E36" s="359" t="s">
        <v>96</v>
      </c>
      <c r="F36" s="439"/>
      <c r="G36" s="30"/>
      <c r="H36" s="441" t="s">
        <v>325</v>
      </c>
      <c r="I36" s="53"/>
      <c r="J36" s="77"/>
      <c r="K36" s="6"/>
      <c r="L36" s="106"/>
      <c r="M36" s="106"/>
      <c r="O36" s="106"/>
      <c r="P36" s="106"/>
      <c r="Q36" s="106"/>
      <c r="R36" s="106"/>
      <c r="S36" s="106"/>
      <c r="T36" s="106"/>
      <c r="U36" s="106"/>
    </row>
    <row r="37" spans="1:21">
      <c r="A37" s="8"/>
      <c r="B37" s="74"/>
      <c r="C37" s="49"/>
      <c r="D37" s="86" t="s">
        <v>34</v>
      </c>
      <c r="E37" s="13" t="s">
        <v>96</v>
      </c>
      <c r="F37" s="34">
        <f>IF(F16="",(F22*F24*SQRT(3)/1000*F26),F16)</f>
        <v>0</v>
      </c>
      <c r="G37" s="30" t="s">
        <v>0</v>
      </c>
      <c r="H37" s="141" t="str">
        <f>IF(F16&gt;0,"Based upon actual motor &amp; drive power consumption data supplied",IF(F37&gt;0,"Calculated from user-supplied Voltage, Current and Power factor data",""))</f>
        <v/>
      </c>
      <c r="I37" s="54"/>
      <c r="J37" s="76"/>
      <c r="K37" s="10"/>
      <c r="L37" s="105"/>
      <c r="M37" s="105"/>
      <c r="N37" s="105"/>
      <c r="O37" s="105"/>
      <c r="P37" s="105"/>
      <c r="Q37" s="105"/>
      <c r="R37" s="105"/>
      <c r="S37" s="105"/>
    </row>
    <row r="38" spans="1:21" ht="4.5" customHeight="1">
      <c r="A38" s="8"/>
      <c r="B38" s="74"/>
      <c r="C38" s="49"/>
      <c r="D38" s="86"/>
      <c r="E38" s="13"/>
      <c r="F38" s="35"/>
      <c r="G38" s="30"/>
      <c r="H38" s="141"/>
      <c r="I38" s="54"/>
      <c r="J38" s="76"/>
      <c r="K38" s="10"/>
      <c r="L38" s="105"/>
      <c r="M38" s="105"/>
      <c r="N38" s="105"/>
      <c r="O38" s="105"/>
      <c r="P38" s="105"/>
      <c r="Q38" s="105"/>
      <c r="R38" s="105"/>
      <c r="S38" s="105"/>
    </row>
    <row r="39" spans="1:21">
      <c r="A39" s="8"/>
      <c r="B39" s="74"/>
      <c r="C39" s="49"/>
      <c r="D39" s="86" t="s">
        <v>1</v>
      </c>
      <c r="E39" s="13" t="s">
        <v>96</v>
      </c>
      <c r="F39" s="34">
        <f>F37*F34*F36</f>
        <v>0</v>
      </c>
      <c r="G39" s="30" t="s">
        <v>0</v>
      </c>
      <c r="H39" s="144" t="s">
        <v>25</v>
      </c>
      <c r="I39" s="55"/>
      <c r="J39" s="75"/>
      <c r="K39" s="8"/>
    </row>
    <row r="40" spans="1:21" ht="5.25" customHeight="1">
      <c r="A40" s="8"/>
      <c r="B40" s="74"/>
      <c r="C40" s="49"/>
      <c r="D40" s="41"/>
      <c r="E40" s="97"/>
      <c r="F40" s="42"/>
      <c r="G40" s="42"/>
      <c r="H40" s="43"/>
      <c r="I40" s="50"/>
      <c r="J40" s="76"/>
      <c r="K40" s="10"/>
      <c r="L40" s="105"/>
      <c r="M40" s="105"/>
      <c r="N40" s="105"/>
      <c r="O40" s="105"/>
      <c r="P40" s="105"/>
      <c r="Q40" s="105"/>
      <c r="R40" s="105"/>
      <c r="S40" s="105"/>
    </row>
    <row r="41" spans="1:21" ht="5.25" customHeight="1">
      <c r="A41" s="8"/>
      <c r="B41" s="74"/>
      <c r="C41" s="56"/>
      <c r="D41" s="57"/>
      <c r="E41" s="99"/>
      <c r="F41" s="57"/>
      <c r="G41" s="58"/>
      <c r="H41" s="57"/>
      <c r="I41" s="59"/>
      <c r="J41" s="75"/>
      <c r="K41" s="8"/>
    </row>
    <row r="42" spans="1:21" ht="8.25" customHeight="1">
      <c r="A42" s="8"/>
      <c r="B42" s="74"/>
      <c r="C42" s="7"/>
      <c r="D42" s="8"/>
      <c r="E42" s="13"/>
      <c r="F42" s="8"/>
      <c r="G42" s="16"/>
      <c r="H42" s="8"/>
      <c r="I42" s="8"/>
      <c r="J42" s="75"/>
      <c r="K42" s="8"/>
    </row>
    <row r="43" spans="1:21" s="109" customFormat="1" ht="16.5" customHeight="1">
      <c r="A43" s="117"/>
      <c r="B43" s="118"/>
      <c r="C43" s="119"/>
      <c r="D43" s="120" t="s">
        <v>89</v>
      </c>
      <c r="E43" s="121"/>
      <c r="F43" s="122"/>
      <c r="G43" s="122"/>
      <c r="H43" s="123"/>
      <c r="I43" s="124"/>
      <c r="J43" s="125"/>
      <c r="K43" s="117"/>
    </row>
    <row r="44" spans="1:21" s="151" customFormat="1" ht="30.75" customHeight="1">
      <c r="A44" s="145"/>
      <c r="B44" s="146"/>
      <c r="C44" s="147"/>
      <c r="D44" s="460" t="s">
        <v>146</v>
      </c>
      <c r="E44" s="460"/>
      <c r="F44" s="460"/>
      <c r="G44" s="460"/>
      <c r="H44" s="460"/>
      <c r="I44" s="148"/>
      <c r="J44" s="149"/>
      <c r="K44" s="145"/>
      <c r="L44" s="150"/>
      <c r="P44" s="150"/>
      <c r="Q44" s="150"/>
      <c r="R44" s="150"/>
      <c r="S44" s="150"/>
    </row>
    <row r="45" spans="1:21" ht="39">
      <c r="A45" s="8"/>
      <c r="B45" s="74"/>
      <c r="C45" s="49"/>
      <c r="D45" s="1" t="s">
        <v>47</v>
      </c>
      <c r="E45" s="102" t="s">
        <v>96</v>
      </c>
      <c r="F45" s="273"/>
      <c r="G45" s="348" t="s">
        <v>4</v>
      </c>
      <c r="H45" s="298" t="s">
        <v>236</v>
      </c>
      <c r="I45" s="51"/>
      <c r="J45" s="75"/>
      <c r="K45" s="8"/>
    </row>
    <row r="46" spans="1:21" ht="9" customHeight="1">
      <c r="A46" s="8"/>
      <c r="B46" s="74"/>
      <c r="C46" s="49"/>
      <c r="D46" s="1"/>
      <c r="E46" s="13"/>
      <c r="F46" s="34"/>
      <c r="G46" s="30"/>
      <c r="H46" s="152"/>
      <c r="I46" s="51"/>
      <c r="J46" s="75"/>
      <c r="K46" s="8"/>
    </row>
    <row r="47" spans="1:21">
      <c r="A47" s="8"/>
      <c r="B47" s="74"/>
      <c r="C47" s="49"/>
      <c r="D47" s="327" t="s">
        <v>234</v>
      </c>
      <c r="E47" s="359" t="s">
        <v>96</v>
      </c>
      <c r="F47" s="273"/>
      <c r="G47" s="348" t="s">
        <v>4</v>
      </c>
      <c r="H47" s="298" t="s">
        <v>241</v>
      </c>
      <c r="I47" s="51"/>
      <c r="J47" s="75"/>
      <c r="K47" s="8"/>
    </row>
    <row r="48" spans="1:21" ht="78">
      <c r="A48" s="8"/>
      <c r="B48" s="74"/>
      <c r="C48" s="49"/>
      <c r="D48" s="327"/>
      <c r="E48" s="359"/>
      <c r="F48" s="34"/>
      <c r="G48" s="30"/>
      <c r="H48" s="298" t="s">
        <v>242</v>
      </c>
      <c r="I48" s="51"/>
      <c r="J48" s="75"/>
      <c r="K48" s="8"/>
    </row>
    <row r="49" spans="1:11" ht="5.25" customHeight="1">
      <c r="A49" s="8"/>
      <c r="B49" s="74"/>
      <c r="C49" s="49"/>
      <c r="D49" s="327"/>
      <c r="E49" s="359"/>
      <c r="F49" s="34"/>
      <c r="G49" s="30"/>
      <c r="H49" s="152"/>
      <c r="I49" s="51"/>
      <c r="J49" s="75"/>
      <c r="K49" s="8"/>
    </row>
    <row r="50" spans="1:11" ht="26">
      <c r="A50" s="8"/>
      <c r="B50" s="74"/>
      <c r="C50" s="49"/>
      <c r="D50" s="1" t="s">
        <v>46</v>
      </c>
      <c r="E50" s="13" t="s">
        <v>96</v>
      </c>
      <c r="F50" s="273"/>
      <c r="G50" s="348" t="s">
        <v>4</v>
      </c>
      <c r="H50" s="298" t="s">
        <v>233</v>
      </c>
      <c r="I50" s="51"/>
      <c r="J50" s="75"/>
      <c r="K50" s="8"/>
    </row>
    <row r="51" spans="1:11" ht="5.25" customHeight="1">
      <c r="A51" s="8"/>
      <c r="B51" s="74"/>
      <c r="C51" s="49"/>
      <c r="D51" s="1"/>
      <c r="E51" s="13"/>
      <c r="F51" s="34"/>
      <c r="G51" s="30"/>
      <c r="H51" s="152"/>
      <c r="I51" s="51"/>
      <c r="J51" s="75"/>
      <c r="K51" s="8"/>
    </row>
    <row r="52" spans="1:11" ht="15" customHeight="1">
      <c r="A52" s="8"/>
      <c r="B52" s="74"/>
      <c r="C52" s="49"/>
      <c r="D52" s="1" t="s">
        <v>42</v>
      </c>
      <c r="E52" s="13" t="s">
        <v>96</v>
      </c>
      <c r="F52" s="273"/>
      <c r="G52" s="274" t="s">
        <v>4</v>
      </c>
      <c r="H52" s="298" t="s">
        <v>147</v>
      </c>
      <c r="I52" s="51"/>
      <c r="J52" s="75"/>
      <c r="K52" s="8"/>
    </row>
    <row r="53" spans="1:11" ht="7.5" customHeight="1">
      <c r="A53" s="36"/>
      <c r="B53" s="78"/>
      <c r="C53" s="60"/>
      <c r="D53" s="1"/>
      <c r="E53" s="1"/>
      <c r="F53" s="34"/>
      <c r="G53" s="30"/>
      <c r="H53" s="153"/>
      <c r="I53" s="61"/>
      <c r="J53" s="79"/>
      <c r="K53" s="36"/>
    </row>
    <row r="54" spans="1:11" ht="15.75" customHeight="1">
      <c r="A54" s="8"/>
      <c r="B54" s="74"/>
      <c r="C54" s="49"/>
      <c r="D54" s="1" t="s">
        <v>41</v>
      </c>
      <c r="E54" s="13" t="s">
        <v>96</v>
      </c>
      <c r="F54" s="273"/>
      <c r="G54" s="349" t="s">
        <v>67</v>
      </c>
      <c r="H54" s="298" t="s">
        <v>193</v>
      </c>
      <c r="I54" s="51"/>
      <c r="J54" s="75"/>
      <c r="K54" s="8"/>
    </row>
    <row r="55" spans="1:11">
      <c r="A55" s="8"/>
      <c r="B55" s="74"/>
      <c r="C55" s="49"/>
      <c r="D55" s="1"/>
      <c r="E55" s="1"/>
      <c r="F55" s="1"/>
      <c r="G55" s="1"/>
      <c r="H55" s="1"/>
      <c r="I55" s="51"/>
      <c r="J55" s="75"/>
      <c r="K55" s="8"/>
    </row>
    <row r="56" spans="1:11" ht="26">
      <c r="A56" s="8"/>
      <c r="B56" s="74"/>
      <c r="C56" s="49"/>
      <c r="D56" s="327" t="s">
        <v>186</v>
      </c>
      <c r="E56" s="13" t="s">
        <v>96</v>
      </c>
      <c r="F56" s="350">
        <f>IF('Inputs - Pumping (above ground)'!G52="m of head",'Inputs - Pumping (above ground)'!F52-('Inputs - Pumping (above ground)'!F45-'Inputs - Pumping (above ground)'!F47),IF('Inputs - Pumping (above ground)'!G52="bar",-('Inputs - Pumping (above ground)'!F45-'Inputs - Pumping (above ground)'!F47)+'Inputs - Pumping (above ground)'!F52*'Fixed Data'!I4,IF('Inputs - Pumping (above ground)'!G52="psi",-('Inputs - Pumping (above ground)'!F45-'Inputs - Pumping (above ground)'!F47)+'Inputs - Pumping (above ground)'!F52*'Fixed Data'!I7,"")))</f>
        <v>0</v>
      </c>
      <c r="G56" s="348" t="s">
        <v>4</v>
      </c>
      <c r="H56" s="298" t="s">
        <v>303</v>
      </c>
      <c r="I56" s="51"/>
      <c r="J56" s="75"/>
      <c r="K56" s="8"/>
    </row>
    <row r="57" spans="1:11">
      <c r="A57" s="8"/>
      <c r="B57" s="74"/>
      <c r="C57" s="49"/>
      <c r="D57" s="1"/>
      <c r="E57" s="13"/>
      <c r="F57" s="1"/>
      <c r="G57" s="1"/>
      <c r="H57" s="298"/>
      <c r="I57" s="51"/>
      <c r="J57" s="75"/>
      <c r="K57" s="8"/>
    </row>
    <row r="58" spans="1:11">
      <c r="A58" s="8"/>
      <c r="B58" s="74"/>
      <c r="C58" s="49"/>
      <c r="D58" s="1" t="s">
        <v>45</v>
      </c>
      <c r="E58" s="13" t="s">
        <v>96</v>
      </c>
      <c r="F58" s="316">
        <f>IF(AND('Inputs - Pumping (above ground)'!G52="m of head",'Inputs - Pumping (above ground)'!G54="m3/h"),'Fixed Data'!$C$22,IF(AND('Inputs - Pumping (above ground)'!G52="m of head",'Inputs - Pumping (above ground)'!G54="g/h"),'Fixed Data'!$C$26,IF(AND('Inputs - Pumping (above ground)'!G52="bar",'Inputs - Pumping (above ground)'!G54="m3/h"),'Fixed Data'!$C$23,IF(AND('Inputs - Pumping (above ground)'!G52="bar",'Inputs - Pumping (above ground)'!G54="g/h"),'Fixed Data'!C27,IF(AND('Inputs - Pumping (above ground)'!G52="psi",'Inputs - Pumping (above ground)'!G54="m3/h"),'Fixed Data'!C24,IF(AND('Inputs - Pumping (above ground)'!G52="psi",'Inputs - Pumping (above ground)'!G54="g/h"),'Fixed Data'!$C$28))))))</f>
        <v>0</v>
      </c>
      <c r="G58" s="30" t="s">
        <v>0</v>
      </c>
      <c r="H58" s="326" t="s">
        <v>235</v>
      </c>
      <c r="I58" s="51"/>
      <c r="J58" s="75"/>
      <c r="K58" s="8"/>
    </row>
    <row r="59" spans="1:11">
      <c r="A59" s="8"/>
      <c r="B59" s="74"/>
      <c r="C59" s="49"/>
      <c r="D59" s="1"/>
      <c r="E59" s="13"/>
      <c r="F59" s="34"/>
      <c r="G59" s="30"/>
      <c r="H59" s="154"/>
      <c r="I59" s="51"/>
      <c r="J59" s="75"/>
      <c r="K59" s="8"/>
    </row>
    <row r="60" spans="1:11" ht="15">
      <c r="A60" s="8"/>
      <c r="B60" s="74"/>
      <c r="C60" s="49"/>
      <c r="D60" s="1" t="s">
        <v>83</v>
      </c>
      <c r="E60" s="13" t="s">
        <v>96</v>
      </c>
      <c r="F60" s="346" t="str">
        <f>IF('Inputs - Pumping (above ground)'!$F$39=0,"-",$F$58/'Inputs - Pumping (above ground)'!$F$39)</f>
        <v>-</v>
      </c>
      <c r="G60" s="32"/>
      <c r="H60" s="152"/>
      <c r="I60" s="51"/>
      <c r="J60" s="75"/>
      <c r="K60" s="8"/>
    </row>
    <row r="61" spans="1:11">
      <c r="A61" s="8"/>
      <c r="B61" s="74"/>
      <c r="C61" s="49"/>
      <c r="D61" s="1"/>
      <c r="E61" s="13"/>
      <c r="F61" s="317"/>
      <c r="G61" s="32"/>
      <c r="H61" s="152"/>
      <c r="I61" s="55"/>
      <c r="J61" s="75"/>
      <c r="K61" s="8"/>
    </row>
    <row r="62" spans="1:11">
      <c r="A62" s="8"/>
      <c r="B62" s="74"/>
      <c r="C62" s="49"/>
      <c r="D62" s="328" t="s">
        <v>185</v>
      </c>
      <c r="E62" s="27" t="s">
        <v>96</v>
      </c>
      <c r="F62" s="35">
        <f>IF('Inputs - Pumping (above ground)'!G52="m of head",'Fixed Data'!C35-('Inputs - Pumping (above ground)'!F50),IF('Inputs - Pumping (above ground)'!G52="Bar",'Fixed Data'!C36-('Inputs - Pumping (above ground)'!F50),IF('Inputs - Pumping (above ground)'!G52="psi",'Fixed Data'!C37-('Inputs - Pumping (above ground)'!F50))))</f>
        <v>0</v>
      </c>
      <c r="G62" s="30" t="s">
        <v>4</v>
      </c>
      <c r="H62" s="331" t="s">
        <v>188</v>
      </c>
      <c r="I62" s="55"/>
      <c r="J62" s="75"/>
      <c r="K62" s="8"/>
    </row>
    <row r="63" spans="1:11">
      <c r="A63" s="8"/>
      <c r="B63" s="74"/>
      <c r="C63" s="56"/>
      <c r="D63" s="62"/>
      <c r="E63" s="100"/>
      <c r="F63" s="63"/>
      <c r="G63" s="64"/>
      <c r="H63" s="65"/>
      <c r="I63" s="66"/>
      <c r="J63" s="75"/>
      <c r="K63" s="8"/>
    </row>
    <row r="64" spans="1:11" ht="5.25" customHeight="1">
      <c r="A64" s="8"/>
      <c r="B64" s="74"/>
      <c r="C64" s="7"/>
      <c r="D64" s="33"/>
      <c r="E64" s="27"/>
      <c r="F64" s="35"/>
      <c r="G64" s="30"/>
      <c r="H64" s="6"/>
      <c r="I64" s="6"/>
      <c r="J64" s="75"/>
      <c r="K64" s="8"/>
    </row>
    <row r="65" spans="1:11">
      <c r="A65" s="8"/>
      <c r="B65" s="74"/>
      <c r="C65" s="47"/>
      <c r="D65" s="337"/>
      <c r="E65" s="338"/>
      <c r="F65" s="339"/>
      <c r="G65" s="340"/>
      <c r="H65" s="341"/>
      <c r="I65" s="342"/>
      <c r="J65" s="75"/>
      <c r="K65" s="8"/>
    </row>
    <row r="66" spans="1:11" ht="5.25" customHeight="1">
      <c r="A66" s="8"/>
      <c r="B66" s="74"/>
      <c r="C66" s="49"/>
      <c r="D66" s="33"/>
      <c r="E66" s="27"/>
      <c r="F66" s="35"/>
      <c r="G66" s="30"/>
      <c r="H66" s="6"/>
      <c r="I66" s="51"/>
      <c r="J66" s="75"/>
      <c r="K66" s="8"/>
    </row>
    <row r="67" spans="1:11" ht="5.25" customHeight="1">
      <c r="A67" s="8"/>
      <c r="B67" s="74"/>
      <c r="C67" s="49"/>
      <c r="D67" s="33"/>
      <c r="E67" s="27"/>
      <c r="F67" s="35"/>
      <c r="G67" s="30"/>
      <c r="H67" s="6"/>
      <c r="I67" s="51"/>
      <c r="J67" s="75"/>
      <c r="K67" s="8"/>
    </row>
    <row r="68" spans="1:11" ht="14.25" customHeight="1">
      <c r="A68" s="8"/>
      <c r="B68" s="74"/>
      <c r="C68" s="49"/>
      <c r="D68" s="33"/>
      <c r="E68" s="27"/>
      <c r="F68" s="35"/>
      <c r="G68" s="30"/>
      <c r="H68" s="6"/>
      <c r="I68" s="51"/>
      <c r="J68" s="75"/>
      <c r="K68" s="8"/>
    </row>
    <row r="69" spans="1:11" ht="5.25" customHeight="1">
      <c r="A69" s="8"/>
      <c r="B69" s="74"/>
      <c r="C69" s="49"/>
      <c r="D69" s="33"/>
      <c r="E69" s="27"/>
      <c r="F69" s="35"/>
      <c r="G69" s="30"/>
      <c r="H69" s="6"/>
      <c r="I69" s="51"/>
      <c r="J69" s="75"/>
      <c r="K69" s="8"/>
    </row>
    <row r="70" spans="1:11" ht="14.25" customHeight="1">
      <c r="A70" s="8"/>
      <c r="B70" s="74"/>
      <c r="C70" s="49"/>
      <c r="D70" s="33"/>
      <c r="E70" s="27"/>
      <c r="F70" s="35"/>
      <c r="G70" s="30"/>
      <c r="H70" s="6"/>
      <c r="I70" s="51"/>
      <c r="J70" s="75"/>
      <c r="K70" s="8"/>
    </row>
    <row r="71" spans="1:11" ht="14.25" customHeight="1">
      <c r="A71" s="8"/>
      <c r="B71" s="74"/>
      <c r="C71" s="49"/>
      <c r="D71" s="33"/>
      <c r="E71" s="27"/>
      <c r="F71" s="35"/>
      <c r="G71" s="30"/>
      <c r="H71" s="6"/>
      <c r="I71" s="51"/>
      <c r="J71" s="75"/>
      <c r="K71" s="8"/>
    </row>
    <row r="72" spans="1:11" ht="14.25" customHeight="1">
      <c r="A72" s="8"/>
      <c r="B72" s="74"/>
      <c r="C72" s="49"/>
      <c r="D72" s="33"/>
      <c r="E72" s="27"/>
      <c r="F72" s="35"/>
      <c r="G72" s="30"/>
      <c r="H72" s="6"/>
      <c r="I72" s="51"/>
      <c r="J72" s="75"/>
      <c r="K72" s="8"/>
    </row>
    <row r="73" spans="1:11" ht="14.25" customHeight="1">
      <c r="A73" s="8"/>
      <c r="B73" s="74"/>
      <c r="C73" s="49"/>
      <c r="D73" s="33"/>
      <c r="E73" s="27"/>
      <c r="F73" s="35"/>
      <c r="G73" s="30"/>
      <c r="H73" s="6"/>
      <c r="I73" s="51"/>
      <c r="J73" s="75"/>
      <c r="K73" s="8"/>
    </row>
    <row r="74" spans="1:11" ht="13.5" customHeight="1">
      <c r="A74" s="8"/>
      <c r="B74" s="74"/>
      <c r="C74" s="49"/>
      <c r="D74" s="33"/>
      <c r="E74" s="27"/>
      <c r="F74" s="35"/>
      <c r="G74" s="6"/>
      <c r="H74" s="6"/>
      <c r="I74" s="51"/>
      <c r="J74" s="75"/>
      <c r="K74" s="8"/>
    </row>
    <row r="75" spans="1:11" ht="18.75" customHeight="1">
      <c r="A75" s="8"/>
      <c r="B75" s="74"/>
      <c r="C75" s="49"/>
      <c r="D75" s="33"/>
      <c r="E75" s="27"/>
      <c r="F75" s="35"/>
      <c r="G75" s="429">
        <f>'Inputs - Pumping (above ground)'!F50</f>
        <v>0</v>
      </c>
      <c r="H75" s="357"/>
      <c r="I75" s="51"/>
      <c r="J75" s="75"/>
      <c r="K75" s="8"/>
    </row>
    <row r="76" spans="1:11" ht="13.5" customHeight="1">
      <c r="A76" s="8"/>
      <c r="B76" s="74"/>
      <c r="C76" s="49"/>
      <c r="D76" s="33"/>
      <c r="E76" s="27"/>
      <c r="F76" s="35"/>
      <c r="G76" s="30"/>
      <c r="H76" s="360"/>
      <c r="I76" s="51"/>
      <c r="J76" s="75"/>
      <c r="K76" s="8"/>
    </row>
    <row r="77" spans="1:11" ht="14.25" customHeight="1">
      <c r="A77" s="8"/>
      <c r="B77" s="74"/>
      <c r="C77" s="49"/>
      <c r="D77" s="33"/>
      <c r="E77" s="27"/>
      <c r="F77" s="35"/>
      <c r="G77" s="30"/>
      <c r="H77" s="361" t="str">
        <f>IF(ISNUMBER(FIND(" ",'Inputs - Pumping (above ground)'!G52,1)),'Inputs - Pumping (above ground)'!F52&amp;" "&amp;LEFT('Inputs - Pumping (above ground)'!G52,FIND(" ",'Inputs - Pumping (above ground)'!G52,1)-1),'Inputs - Pumping (above ground)'!F52&amp;" "&amp;LEFT('Inputs - Pumping (above ground)'!G52,3))</f>
        <v xml:space="preserve"> m</v>
      </c>
      <c r="I77" s="51"/>
      <c r="J77" s="75"/>
      <c r="K77" s="8"/>
    </row>
    <row r="78" spans="1:11" ht="14.25" customHeight="1">
      <c r="A78" s="8"/>
      <c r="B78" s="74"/>
      <c r="C78" s="49"/>
      <c r="D78" s="33"/>
      <c r="E78" s="27"/>
      <c r="F78" s="35"/>
      <c r="G78" s="30"/>
      <c r="H78" s="356"/>
      <c r="I78" s="51"/>
      <c r="J78" s="75"/>
      <c r="K78" s="8"/>
    </row>
    <row r="79" spans="1:11" ht="19.5" customHeight="1">
      <c r="A79" s="8"/>
      <c r="B79" s="74"/>
      <c r="C79" s="49"/>
      <c r="D79" s="453">
        <f>'Inputs - Pumping (above ground)'!F50-'Inputs - Pumping (above ground)'!F45</f>
        <v>0</v>
      </c>
      <c r="E79" s="27"/>
      <c r="F79" s="35"/>
      <c r="G79" s="30"/>
      <c r="H79" s="6"/>
      <c r="I79" s="51"/>
      <c r="J79" s="75"/>
      <c r="K79" s="8"/>
    </row>
    <row r="80" spans="1:11" ht="14.25" customHeight="1">
      <c r="A80" s="8"/>
      <c r="B80" s="74"/>
      <c r="C80" s="49"/>
      <c r="D80" s="35"/>
      <c r="E80" s="27"/>
      <c r="F80" s="35"/>
      <c r="G80" s="30"/>
      <c r="H80" s="362" t="str">
        <f>IF(ISNUMBER(FIND(" ",'Inputs - Pumping (above ground)'!G54,1)),'Inputs - Pumping (above ground)'!F54&amp;" "&amp;LEFT('Inputs - Pumping (above ground)'!G54,FIND(" ",'Inputs - Pumping (above ground)'!G54,1)-1),'Inputs - Pumping (above ground)'!F54&amp;" "&amp;LEFT('Inputs - Pumping (above ground)'!G54,4))</f>
        <v xml:space="preserve"> m3/h</v>
      </c>
      <c r="I80" s="51"/>
      <c r="J80" s="75"/>
      <c r="K80" s="8"/>
    </row>
    <row r="81" spans="1:13" ht="12.75" customHeight="1">
      <c r="A81" s="8"/>
      <c r="B81" s="74"/>
      <c r="C81" s="49"/>
      <c r="D81" s="33"/>
      <c r="E81" s="27"/>
      <c r="F81" s="35"/>
      <c r="G81" s="30"/>
      <c r="H81" s="6"/>
      <c r="I81" s="51"/>
      <c r="J81" s="75"/>
      <c r="K81" s="8"/>
    </row>
    <row r="82" spans="1:13" ht="15" customHeight="1">
      <c r="A82" s="8"/>
      <c r="B82" s="74"/>
      <c r="C82" s="49"/>
      <c r="D82" s="33"/>
      <c r="E82" s="27"/>
      <c r="F82" s="35"/>
      <c r="G82" s="30"/>
      <c r="H82" s="6"/>
      <c r="I82" s="51"/>
      <c r="J82" s="75"/>
      <c r="K82" s="8"/>
    </row>
    <row r="83" spans="1:13" ht="14.25" customHeight="1">
      <c r="A83" s="8"/>
      <c r="B83" s="74"/>
      <c r="C83" s="49"/>
      <c r="D83" s="33"/>
      <c r="E83" s="27"/>
      <c r="F83" s="35"/>
      <c r="G83" s="30"/>
      <c r="H83" s="6"/>
      <c r="I83" s="51"/>
      <c r="J83" s="75"/>
      <c r="K83" s="8"/>
    </row>
    <row r="84" spans="1:13" ht="14.25" customHeight="1">
      <c r="A84" s="8"/>
      <c r="B84" s="74"/>
      <c r="C84" s="49"/>
      <c r="D84" s="33"/>
      <c r="E84" s="27"/>
      <c r="F84" s="35"/>
      <c r="G84" s="30"/>
      <c r="H84" s="6"/>
      <c r="I84" s="51"/>
      <c r="J84" s="75"/>
      <c r="K84" s="8"/>
    </row>
    <row r="85" spans="1:13" ht="12.75" customHeight="1">
      <c r="A85" s="8"/>
      <c r="B85" s="74"/>
      <c r="C85" s="49"/>
      <c r="D85" s="33"/>
      <c r="E85" s="27"/>
      <c r="F85" s="35"/>
      <c r="G85" s="30"/>
      <c r="H85" s="6"/>
      <c r="I85" s="51"/>
      <c r="J85" s="75"/>
      <c r="K85" s="8"/>
    </row>
    <row r="86" spans="1:13" ht="9.75" customHeight="1">
      <c r="A86" s="8"/>
      <c r="B86" s="74"/>
      <c r="C86" s="49"/>
      <c r="D86" s="33"/>
      <c r="E86" s="27"/>
      <c r="F86" s="35"/>
      <c r="G86" s="30"/>
      <c r="H86" s="6"/>
      <c r="I86" s="51"/>
      <c r="J86" s="75"/>
      <c r="K86" s="8"/>
    </row>
    <row r="87" spans="1:13" ht="11.25" customHeight="1">
      <c r="A87" s="8"/>
      <c r="B87" s="74"/>
      <c r="C87" s="49"/>
      <c r="D87" s="33"/>
      <c r="E87" s="27"/>
      <c r="F87" s="35"/>
      <c r="G87" s="430">
        <f>'Inputs - Pumping (above ground)'!F45</f>
        <v>0</v>
      </c>
      <c r="H87" s="6"/>
      <c r="I87" s="51"/>
      <c r="J87" s="75"/>
      <c r="K87" s="8"/>
    </row>
    <row r="88" spans="1:13" ht="3" customHeight="1">
      <c r="A88" s="8"/>
      <c r="B88" s="74"/>
      <c r="C88" s="49"/>
      <c r="D88" s="33"/>
      <c r="E88" s="27"/>
      <c r="F88" s="35"/>
      <c r="G88" s="30"/>
      <c r="H88" s="6"/>
      <c r="I88" s="51"/>
      <c r="J88" s="75"/>
      <c r="K88" s="8"/>
    </row>
    <row r="89" spans="1:13" ht="15" customHeight="1">
      <c r="A89" s="8"/>
      <c r="B89" s="74"/>
      <c r="C89" s="49"/>
      <c r="D89" s="33"/>
      <c r="E89" s="27"/>
      <c r="F89" s="35"/>
      <c r="G89" s="30"/>
      <c r="H89" s="6"/>
      <c r="I89" s="51"/>
      <c r="J89" s="75"/>
      <c r="K89" s="8"/>
    </row>
    <row r="90" spans="1:13" ht="14.25" customHeight="1">
      <c r="A90" s="8"/>
      <c r="B90" s="74"/>
      <c r="C90" s="49"/>
      <c r="D90" s="33"/>
      <c r="E90" s="27"/>
      <c r="F90" s="35"/>
      <c r="G90" s="30"/>
      <c r="H90" s="6"/>
      <c r="I90" s="51"/>
      <c r="J90" s="75"/>
      <c r="K90" s="8"/>
    </row>
    <row r="91" spans="1:13" ht="14.25" customHeight="1">
      <c r="A91" s="8"/>
      <c r="B91" s="74"/>
      <c r="C91" s="49"/>
      <c r="D91" s="33"/>
      <c r="E91" s="27"/>
      <c r="F91" s="35"/>
      <c r="G91" s="30"/>
      <c r="H91" s="6"/>
      <c r="I91" s="51"/>
      <c r="J91" s="75"/>
      <c r="K91" s="8"/>
    </row>
    <row r="92" spans="1:13" ht="14.25" customHeight="1">
      <c r="A92" s="8"/>
      <c r="B92" s="74"/>
      <c r="C92" s="49"/>
      <c r="D92" s="33"/>
      <c r="E92" s="27"/>
      <c r="F92" s="35"/>
      <c r="G92" s="30"/>
      <c r="H92" s="6"/>
      <c r="I92" s="51"/>
      <c r="J92" s="75"/>
      <c r="K92" s="8"/>
      <c r="M92" s="332"/>
    </row>
    <row r="93" spans="1:13" ht="14.25" customHeight="1">
      <c r="A93" s="8"/>
      <c r="B93" s="74"/>
      <c r="C93" s="49"/>
      <c r="D93" s="33"/>
      <c r="E93" s="27"/>
      <c r="F93" s="35"/>
      <c r="G93" s="30"/>
      <c r="H93" s="6"/>
      <c r="I93" s="51"/>
      <c r="J93" s="75"/>
      <c r="K93" s="8"/>
    </row>
    <row r="94" spans="1:13" ht="14.25" customHeight="1">
      <c r="A94" s="8"/>
      <c r="B94" s="74"/>
      <c r="C94" s="49"/>
      <c r="D94" s="33"/>
      <c r="E94" s="27"/>
      <c r="F94" s="35"/>
      <c r="G94" s="30"/>
      <c r="H94" s="6"/>
      <c r="I94" s="51"/>
      <c r="J94" s="75"/>
      <c r="K94" s="8"/>
    </row>
    <row r="95" spans="1:13" ht="14.25" customHeight="1">
      <c r="A95" s="8"/>
      <c r="B95" s="74"/>
      <c r="C95" s="49"/>
      <c r="D95" s="33"/>
      <c r="E95" s="27"/>
      <c r="F95" s="35"/>
      <c r="G95" s="30"/>
      <c r="H95" s="6"/>
      <c r="I95" s="51"/>
      <c r="J95" s="75"/>
      <c r="K95" s="8"/>
    </row>
    <row r="96" spans="1:13" ht="14.25" customHeight="1">
      <c r="A96" s="8"/>
      <c r="B96" s="74"/>
      <c r="C96" s="49"/>
      <c r="D96" s="33"/>
      <c r="E96" s="27"/>
      <c r="F96" s="35"/>
      <c r="G96" s="30"/>
      <c r="H96" s="6"/>
      <c r="I96" s="51"/>
      <c r="J96" s="75"/>
      <c r="K96" s="8"/>
    </row>
    <row r="97" spans="1:19" ht="14.25" customHeight="1">
      <c r="A97" s="8"/>
      <c r="B97" s="74"/>
      <c r="C97" s="49"/>
      <c r="D97" s="33"/>
      <c r="E97" s="27"/>
      <c r="F97" s="35"/>
      <c r="G97" s="30"/>
      <c r="H97" s="6"/>
      <c r="I97" s="51"/>
      <c r="J97" s="75"/>
      <c r="K97" s="8"/>
    </row>
    <row r="98" spans="1:19" ht="14.25" customHeight="1">
      <c r="A98" s="8"/>
      <c r="B98" s="74"/>
      <c r="C98" s="49"/>
      <c r="D98" s="33"/>
      <c r="E98" s="27"/>
      <c r="F98" s="35"/>
      <c r="G98" s="30"/>
      <c r="H98" s="6"/>
      <c r="I98" s="51"/>
      <c r="J98" s="75"/>
      <c r="K98" s="8"/>
    </row>
    <row r="99" spans="1:19" ht="33.75" customHeight="1">
      <c r="A99" s="8"/>
      <c r="B99" s="74"/>
      <c r="C99" s="56"/>
      <c r="D99" s="464" t="s">
        <v>192</v>
      </c>
      <c r="E99" s="464"/>
      <c r="F99" s="464"/>
      <c r="G99" s="464"/>
      <c r="H99" s="464"/>
      <c r="I99" s="66"/>
      <c r="J99" s="75"/>
      <c r="K99" s="8"/>
    </row>
    <row r="100" spans="1:19">
      <c r="A100" s="8"/>
      <c r="B100" s="74"/>
      <c r="C100" s="7"/>
      <c r="D100" s="8"/>
      <c r="E100" s="13"/>
      <c r="F100" s="8"/>
      <c r="G100" s="17"/>
      <c r="H100" s="8"/>
      <c r="I100" s="8"/>
      <c r="J100" s="75"/>
      <c r="K100" s="8"/>
    </row>
    <row r="101" spans="1:19" ht="14.25" customHeight="1">
      <c r="A101" s="8"/>
      <c r="B101" s="74"/>
      <c r="C101" s="119"/>
      <c r="D101" s="120" t="s">
        <v>95</v>
      </c>
      <c r="E101" s="121"/>
      <c r="F101" s="122"/>
      <c r="G101" s="122"/>
      <c r="H101" s="123"/>
      <c r="I101" s="124"/>
      <c r="J101" s="75"/>
      <c r="K101" s="8"/>
    </row>
    <row r="102" spans="1:19" ht="14.25" customHeight="1">
      <c r="A102" s="8"/>
      <c r="B102" s="74"/>
      <c r="C102" s="47"/>
      <c r="D102" s="463" t="s">
        <v>104</v>
      </c>
      <c r="E102" s="463"/>
      <c r="F102" s="463"/>
      <c r="G102" s="463"/>
      <c r="H102" s="463"/>
      <c r="I102" s="48"/>
      <c r="J102" s="75"/>
      <c r="K102" s="8"/>
    </row>
    <row r="103" spans="1:19">
      <c r="A103" s="8"/>
      <c r="B103" s="74"/>
      <c r="C103" s="49"/>
      <c r="D103" s="1" t="s">
        <v>40</v>
      </c>
      <c r="E103" s="13" t="s">
        <v>96</v>
      </c>
      <c r="F103" s="351"/>
      <c r="G103" s="30" t="s">
        <v>8</v>
      </c>
      <c r="H103" s="6"/>
      <c r="I103" s="51"/>
      <c r="J103" s="75"/>
      <c r="K103" s="8"/>
    </row>
    <row r="104" spans="1:19" s="109" customFormat="1" ht="16.5" customHeight="1">
      <c r="A104" s="117"/>
      <c r="B104" s="118"/>
      <c r="C104" s="49"/>
      <c r="D104" s="14"/>
      <c r="E104" s="96"/>
      <c r="F104" s="37"/>
      <c r="G104" s="30"/>
      <c r="H104" s="30"/>
      <c r="I104" s="50"/>
      <c r="J104" s="125"/>
      <c r="K104" s="117"/>
    </row>
    <row r="105" spans="1:19" ht="15.75" customHeight="1">
      <c r="A105" s="8"/>
      <c r="B105" s="74"/>
      <c r="C105" s="49"/>
      <c r="D105" s="1" t="s">
        <v>26</v>
      </c>
      <c r="E105" s="13" t="s">
        <v>96</v>
      </c>
      <c r="F105" s="275"/>
      <c r="G105" s="30" t="s">
        <v>27</v>
      </c>
      <c r="H105" s="152" t="s">
        <v>68</v>
      </c>
      <c r="I105" s="51"/>
      <c r="J105" s="76"/>
      <c r="K105" s="8"/>
      <c r="L105" s="105"/>
      <c r="N105" s="105"/>
      <c r="O105" s="105"/>
      <c r="P105" s="105"/>
      <c r="Q105" s="105"/>
      <c r="R105" s="105"/>
      <c r="S105" s="105"/>
    </row>
    <row r="106" spans="1:19">
      <c r="A106" s="8"/>
      <c r="B106" s="74"/>
      <c r="C106" s="49"/>
      <c r="D106" s="14"/>
      <c r="E106" s="96"/>
      <c r="F106" s="37"/>
      <c r="G106" s="30"/>
      <c r="H106" s="138"/>
      <c r="I106" s="50"/>
      <c r="J106" s="75"/>
      <c r="K106" s="8"/>
    </row>
    <row r="107" spans="1:19" ht="14.5">
      <c r="A107" s="8"/>
      <c r="B107" s="74"/>
      <c r="C107" s="49"/>
      <c r="D107" s="1" t="s">
        <v>13</v>
      </c>
      <c r="E107" s="13" t="s">
        <v>96</v>
      </c>
      <c r="F107" s="276">
        <v>1000</v>
      </c>
      <c r="G107" s="30" t="s">
        <v>38</v>
      </c>
      <c r="H107" s="152" t="s">
        <v>105</v>
      </c>
      <c r="I107" s="51"/>
      <c r="J107" s="76"/>
      <c r="K107" s="8"/>
      <c r="L107" s="105"/>
      <c r="M107" s="105"/>
      <c r="N107" s="105"/>
      <c r="O107" s="105"/>
      <c r="P107" s="105"/>
      <c r="Q107" s="105"/>
      <c r="R107" s="105"/>
      <c r="S107" s="105"/>
    </row>
    <row r="108" spans="1:19" ht="15" customHeight="1">
      <c r="A108" s="8"/>
      <c r="B108" s="74"/>
      <c r="C108" s="49"/>
      <c r="D108" s="14"/>
      <c r="E108" s="96"/>
      <c r="F108" s="37"/>
      <c r="G108" s="30"/>
      <c r="H108" s="138"/>
      <c r="I108" s="50"/>
      <c r="J108" s="75"/>
      <c r="K108" s="8"/>
    </row>
    <row r="109" spans="1:19">
      <c r="A109" s="8"/>
      <c r="B109" s="74"/>
      <c r="C109" s="49"/>
      <c r="D109" s="327" t="s">
        <v>191</v>
      </c>
      <c r="E109" s="13" t="s">
        <v>96</v>
      </c>
      <c r="F109" s="277"/>
      <c r="G109" s="30" t="s">
        <v>72</v>
      </c>
      <c r="H109" s="152"/>
      <c r="I109" s="51"/>
      <c r="J109" s="76"/>
      <c r="K109" s="8"/>
      <c r="L109" s="105"/>
      <c r="M109" s="105"/>
      <c r="N109" s="105"/>
      <c r="O109" s="105"/>
      <c r="P109" s="105"/>
      <c r="Q109" s="105"/>
      <c r="R109" s="105"/>
      <c r="S109" s="105"/>
    </row>
    <row r="110" spans="1:19" ht="15.75" customHeight="1">
      <c r="A110" s="8"/>
      <c r="B110" s="74"/>
      <c r="C110" s="49"/>
      <c r="D110" s="14"/>
      <c r="E110" s="96"/>
      <c r="F110" s="37"/>
      <c r="G110" s="30"/>
      <c r="H110" s="138"/>
      <c r="I110" s="50"/>
      <c r="J110" s="75"/>
      <c r="K110" s="8"/>
    </row>
    <row r="111" spans="1:19">
      <c r="A111" s="8"/>
      <c r="B111" s="74"/>
      <c r="C111" s="49"/>
      <c r="D111" s="1" t="s">
        <v>141</v>
      </c>
      <c r="E111" s="13" t="s">
        <v>96</v>
      </c>
      <c r="F111" s="276"/>
      <c r="G111" s="30" t="s">
        <v>140</v>
      </c>
      <c r="H111" s="152" t="s">
        <v>82</v>
      </c>
      <c r="I111" s="51"/>
      <c r="J111" s="76"/>
      <c r="K111" s="8"/>
      <c r="L111" s="105"/>
      <c r="M111" s="105"/>
      <c r="N111" s="105"/>
      <c r="O111" s="105"/>
      <c r="P111" s="105"/>
      <c r="Q111" s="105"/>
      <c r="R111" s="105"/>
      <c r="S111" s="105"/>
    </row>
    <row r="112" spans="1:19">
      <c r="A112" s="8"/>
      <c r="B112" s="74"/>
      <c r="C112" s="56"/>
      <c r="D112" s="57"/>
      <c r="E112" s="57"/>
      <c r="F112" s="57"/>
      <c r="G112" s="57"/>
      <c r="H112" s="155"/>
      <c r="I112" s="66"/>
      <c r="J112" s="75"/>
      <c r="K112" s="8"/>
    </row>
    <row r="113" spans="1:19" ht="4.5" customHeight="1">
      <c r="A113" s="8"/>
      <c r="B113" s="74"/>
      <c r="C113" s="7"/>
      <c r="D113" s="8"/>
      <c r="E113" s="13"/>
      <c r="F113" s="8"/>
      <c r="G113" s="16"/>
      <c r="H113" s="8"/>
      <c r="I113" s="8"/>
      <c r="J113" s="76"/>
      <c r="K113" s="8"/>
      <c r="L113" s="105"/>
      <c r="M113" s="105"/>
      <c r="N113" s="105"/>
      <c r="O113" s="105"/>
      <c r="P113" s="105"/>
      <c r="Q113" s="105"/>
      <c r="R113" s="105"/>
      <c r="S113" s="105"/>
    </row>
    <row r="114" spans="1:19" ht="12.75" customHeight="1">
      <c r="A114" s="8"/>
      <c r="B114" s="74"/>
      <c r="C114" s="119"/>
      <c r="D114" s="120" t="s">
        <v>92</v>
      </c>
      <c r="E114" s="121"/>
      <c r="F114" s="122"/>
      <c r="G114" s="122"/>
      <c r="H114" s="123"/>
      <c r="I114" s="124"/>
      <c r="J114" s="75"/>
      <c r="K114" s="8"/>
    </row>
    <row r="115" spans="1:19">
      <c r="A115" s="8"/>
      <c r="B115" s="74"/>
      <c r="C115" s="147"/>
      <c r="D115" s="460" t="s">
        <v>103</v>
      </c>
      <c r="E115" s="460"/>
      <c r="F115" s="460"/>
      <c r="G115" s="460"/>
      <c r="H115" s="460"/>
      <c r="I115" s="148"/>
      <c r="J115" s="75"/>
      <c r="K115" s="8"/>
    </row>
    <row r="116" spans="1:19" ht="26">
      <c r="A116" s="8"/>
      <c r="B116" s="74"/>
      <c r="C116" s="49"/>
      <c r="D116" s="1" t="s">
        <v>24</v>
      </c>
      <c r="E116" s="13" t="s">
        <v>96</v>
      </c>
      <c r="F116" s="272"/>
      <c r="G116" s="30"/>
      <c r="H116" s="156" t="s">
        <v>93</v>
      </c>
      <c r="I116" s="51"/>
      <c r="J116" s="75"/>
      <c r="K116" s="8"/>
    </row>
    <row r="117" spans="1:19">
      <c r="A117" s="8"/>
      <c r="B117" s="74"/>
      <c r="C117" s="49"/>
      <c r="D117" s="14"/>
      <c r="E117" s="96"/>
      <c r="F117" s="37"/>
      <c r="G117" s="30"/>
      <c r="H117" s="138"/>
      <c r="I117" s="51"/>
      <c r="J117" s="75"/>
      <c r="K117" s="8"/>
    </row>
    <row r="118" spans="1:19" ht="25.5" customHeight="1">
      <c r="A118" s="8"/>
      <c r="B118" s="74"/>
      <c r="C118" s="49"/>
      <c r="D118" s="442" t="s">
        <v>326</v>
      </c>
      <c r="E118" s="443" t="s">
        <v>96</v>
      </c>
      <c r="F118" s="445"/>
      <c r="G118" s="30"/>
      <c r="H118" s="444" t="s">
        <v>327</v>
      </c>
      <c r="I118" s="51"/>
      <c r="J118" s="75"/>
      <c r="K118" s="8"/>
    </row>
    <row r="119" spans="1:19" s="109" customFormat="1" ht="16.5" customHeight="1">
      <c r="A119" s="117"/>
      <c r="B119" s="118"/>
      <c r="C119" s="49"/>
      <c r="D119" s="14"/>
      <c r="E119" s="96"/>
      <c r="F119" s="37"/>
      <c r="G119" s="30"/>
      <c r="H119" s="138"/>
      <c r="I119" s="50"/>
      <c r="J119" s="125"/>
      <c r="K119" s="117"/>
    </row>
    <row r="120" spans="1:19" s="151" customFormat="1" ht="29.25" customHeight="1">
      <c r="A120" s="145"/>
      <c r="B120" s="146"/>
      <c r="C120" s="49"/>
      <c r="D120" s="1" t="s">
        <v>44</v>
      </c>
      <c r="E120" s="13" t="s">
        <v>96</v>
      </c>
      <c r="F120" s="278"/>
      <c r="G120" s="30"/>
      <c r="H120" s="156" t="s">
        <v>94</v>
      </c>
      <c r="I120" s="51"/>
      <c r="J120" s="149"/>
      <c r="K120" s="145"/>
      <c r="L120" s="150"/>
      <c r="M120" s="150"/>
      <c r="N120" s="150"/>
      <c r="O120" s="150"/>
      <c r="P120" s="150"/>
      <c r="Q120" s="150"/>
      <c r="R120" s="150"/>
      <c r="S120" s="150"/>
    </row>
    <row r="121" spans="1:19">
      <c r="A121" s="8"/>
      <c r="B121" s="74"/>
      <c r="C121" s="49"/>
      <c r="D121" s="14"/>
      <c r="E121" s="96"/>
      <c r="F121" s="37"/>
      <c r="G121" s="30"/>
      <c r="H121" s="138"/>
      <c r="I121" s="50"/>
      <c r="J121" s="75"/>
      <c r="K121" s="8"/>
    </row>
    <row r="122" spans="1:19" ht="52">
      <c r="A122" s="8"/>
      <c r="B122" s="74"/>
      <c r="C122" s="49"/>
      <c r="D122" s="327" t="s">
        <v>189</v>
      </c>
      <c r="E122" s="13" t="s">
        <v>96</v>
      </c>
      <c r="F122" s="279"/>
      <c r="G122" s="274" t="s">
        <v>138</v>
      </c>
      <c r="H122" s="156" t="s">
        <v>137</v>
      </c>
      <c r="I122" s="88"/>
      <c r="J122" s="76"/>
      <c r="K122" s="8"/>
      <c r="L122" s="105"/>
      <c r="M122" s="105"/>
      <c r="N122" s="105"/>
      <c r="O122" s="105"/>
      <c r="P122" s="105"/>
      <c r="Q122" s="105"/>
      <c r="R122" s="105"/>
      <c r="S122" s="105"/>
    </row>
    <row r="123" spans="1:19">
      <c r="A123" s="8"/>
      <c r="B123" s="74"/>
      <c r="C123" s="56"/>
      <c r="D123" s="57"/>
      <c r="E123" s="99"/>
      <c r="F123" s="57"/>
      <c r="G123" s="64"/>
      <c r="H123" s="90"/>
      <c r="I123" s="91"/>
      <c r="J123" s="75"/>
      <c r="K123" s="8"/>
    </row>
    <row r="124" spans="1:19" ht="4.5" customHeight="1">
      <c r="A124" s="8"/>
      <c r="B124" s="74"/>
      <c r="C124" s="8"/>
      <c r="D124" s="8"/>
      <c r="E124" s="13"/>
      <c r="F124" s="334"/>
      <c r="G124" s="30"/>
      <c r="H124" s="335"/>
      <c r="I124" s="335"/>
      <c r="J124" s="76"/>
      <c r="K124" s="8"/>
      <c r="L124" s="105"/>
      <c r="M124" s="105"/>
      <c r="N124" s="105"/>
      <c r="O124" s="105"/>
      <c r="P124" s="105"/>
      <c r="Q124" s="105"/>
      <c r="R124" s="105"/>
      <c r="S124" s="105"/>
    </row>
    <row r="125" spans="1:19" ht="4.5" customHeight="1" thickBot="1">
      <c r="A125" s="8"/>
      <c r="B125" s="80"/>
      <c r="C125" s="81"/>
      <c r="D125" s="82"/>
      <c r="E125" s="101"/>
      <c r="F125" s="83"/>
      <c r="G125" s="84"/>
      <c r="H125" s="82"/>
      <c r="I125" s="82"/>
      <c r="J125" s="85"/>
      <c r="K125" s="8"/>
    </row>
    <row r="126" spans="1:19" ht="4.5" customHeight="1">
      <c r="A126" s="8"/>
      <c r="B126" s="7"/>
      <c r="C126" s="7"/>
      <c r="D126" s="8"/>
      <c r="E126" s="13"/>
      <c r="F126" s="336"/>
      <c r="G126" s="16"/>
      <c r="H126" s="8"/>
      <c r="I126" s="8"/>
      <c r="J126" s="8"/>
      <c r="K126" s="8"/>
    </row>
    <row r="127" spans="1:19" ht="73.5" customHeight="1">
      <c r="A127" s="8"/>
      <c r="B127" s="265" t="s">
        <v>228</v>
      </c>
      <c r="C127" s="138"/>
      <c r="D127" s="138"/>
      <c r="E127" s="138"/>
      <c r="F127" s="138"/>
      <c r="G127" s="138"/>
      <c r="H127" s="138"/>
      <c r="I127" s="138"/>
      <c r="J127" s="138"/>
      <c r="K127" s="8"/>
    </row>
    <row r="128" spans="1:19">
      <c r="G128" s="103"/>
    </row>
    <row r="129" spans="7:9">
      <c r="G129" s="103"/>
    </row>
    <row r="130" spans="7:9">
      <c r="G130" s="103"/>
    </row>
    <row r="131" spans="7:9" ht="14.5">
      <c r="G131" s="103"/>
      <c r="H131" s="109"/>
      <c r="I131" s="109"/>
    </row>
    <row r="132" spans="7:9" ht="14.5">
      <c r="G132" s="103"/>
      <c r="H132" s="109"/>
      <c r="I132" s="109"/>
    </row>
    <row r="133" spans="7:9" ht="14.5">
      <c r="G133" s="103"/>
      <c r="H133" s="109"/>
      <c r="I133" s="109"/>
    </row>
    <row r="134" spans="7:9" ht="14.5">
      <c r="G134" s="103"/>
      <c r="H134" s="109"/>
      <c r="I134" s="109"/>
    </row>
    <row r="135" spans="7:9" ht="14.5">
      <c r="G135" s="103"/>
      <c r="H135" s="109"/>
      <c r="I135" s="109"/>
    </row>
    <row r="136" spans="7:9" ht="14.5">
      <c r="G136" s="103"/>
      <c r="H136" s="109"/>
      <c r="I136" s="109"/>
    </row>
    <row r="137" spans="7:9" ht="14.5">
      <c r="G137" s="103"/>
      <c r="H137" s="109"/>
      <c r="I137" s="109"/>
    </row>
    <row r="138" spans="7:9" ht="14.5">
      <c r="G138" s="103"/>
      <c r="H138" s="109"/>
      <c r="I138" s="109"/>
    </row>
    <row r="139" spans="7:9" ht="14.5">
      <c r="G139" s="103"/>
      <c r="H139" s="109"/>
      <c r="I139" s="109"/>
    </row>
    <row r="140" spans="7:9" ht="14.5">
      <c r="G140" s="103"/>
      <c r="H140" s="109"/>
      <c r="I140" s="109"/>
    </row>
    <row r="141" spans="7:9" ht="14.5">
      <c r="G141" s="103"/>
      <c r="H141" s="109"/>
      <c r="I141" s="109"/>
    </row>
    <row r="142" spans="7:9" ht="14.5">
      <c r="G142" s="103"/>
      <c r="H142" s="109"/>
      <c r="I142" s="109"/>
    </row>
    <row r="143" spans="7:9" ht="14.5">
      <c r="G143" s="103"/>
      <c r="H143" s="109"/>
      <c r="I143" s="109"/>
    </row>
    <row r="144" spans="7:9" ht="14.5">
      <c r="G144" s="103"/>
      <c r="H144" s="109"/>
      <c r="I144" s="109"/>
    </row>
    <row r="145" spans="7:9" ht="14.5">
      <c r="G145" s="103"/>
      <c r="H145" s="109"/>
      <c r="I145" s="109"/>
    </row>
    <row r="146" spans="7:9" ht="14.5">
      <c r="G146" s="103"/>
      <c r="H146" s="109"/>
      <c r="I146" s="109"/>
    </row>
    <row r="147" spans="7:9" ht="14.5">
      <c r="G147" s="103"/>
      <c r="H147" s="109"/>
      <c r="I147" s="109"/>
    </row>
    <row r="148" spans="7:9" ht="14.5">
      <c r="G148" s="103"/>
      <c r="H148" s="109"/>
      <c r="I148" s="109"/>
    </row>
    <row r="149" spans="7:9" ht="14.5">
      <c r="G149" s="103"/>
      <c r="H149" s="109"/>
      <c r="I149" s="109"/>
    </row>
    <row r="150" spans="7:9" ht="14.5">
      <c r="G150" s="103"/>
      <c r="H150" s="109"/>
      <c r="I150" s="109"/>
    </row>
    <row r="151" spans="7:9" ht="14.5">
      <c r="G151" s="103"/>
      <c r="H151" s="109"/>
      <c r="I151" s="109"/>
    </row>
    <row r="152" spans="7:9" ht="14.5">
      <c r="G152" s="103"/>
      <c r="H152" s="109"/>
      <c r="I152" s="109"/>
    </row>
    <row r="153" spans="7:9" ht="14.5">
      <c r="G153" s="103"/>
      <c r="H153" s="109"/>
      <c r="I153" s="109"/>
    </row>
    <row r="154" spans="7:9" ht="14.5">
      <c r="G154" s="103"/>
      <c r="H154" s="109"/>
      <c r="I154" s="109"/>
    </row>
    <row r="155" spans="7:9" ht="14.5">
      <c r="G155" s="103"/>
      <c r="H155" s="110"/>
      <c r="I155" s="110"/>
    </row>
    <row r="156" spans="7:9" ht="14.5">
      <c r="G156" s="103"/>
      <c r="H156" s="109"/>
      <c r="I156" s="109"/>
    </row>
    <row r="157" spans="7:9" ht="14.5">
      <c r="G157" s="103"/>
      <c r="H157" s="109"/>
      <c r="I157" s="109"/>
    </row>
    <row r="158" spans="7:9" ht="14.5">
      <c r="G158" s="103"/>
      <c r="H158" s="109"/>
      <c r="I158" s="109"/>
    </row>
    <row r="159" spans="7:9" ht="14.5">
      <c r="G159" s="103"/>
      <c r="H159" s="109"/>
      <c r="I159" s="109"/>
    </row>
    <row r="160" spans="7:9" ht="14.5">
      <c r="G160" s="103"/>
      <c r="H160" s="109"/>
      <c r="I160" s="109"/>
    </row>
    <row r="161" spans="8:9" ht="14.5">
      <c r="H161" s="109"/>
      <c r="I161" s="109"/>
    </row>
  </sheetData>
  <sheetProtection sheet="1" objects="1" scenarios="1"/>
  <mergeCells count="7">
    <mergeCell ref="D115:H115"/>
    <mergeCell ref="F8:G8"/>
    <mergeCell ref="F6:G6"/>
    <mergeCell ref="D15:H15"/>
    <mergeCell ref="D44:H44"/>
    <mergeCell ref="D102:H102"/>
    <mergeCell ref="D99:H99"/>
  </mergeCells>
  <phoneticPr fontId="48" type="noConversion"/>
  <conditionalFormatting sqref="D19:H29">
    <cfRule type="expression" dxfId="8" priority="1" stopIfTrue="1">
      <formula>$F$16&gt;0</formula>
    </cfRule>
  </conditionalFormatting>
  <conditionalFormatting sqref="G75">
    <cfRule type="expression" dxfId="7" priority="4" stopIfTrue="1">
      <formula>#REF!="m of head"</formula>
    </cfRule>
  </conditionalFormatting>
  <dataValidations count="3">
    <dataValidation type="list" allowBlank="1" showInputMessage="1" showErrorMessage="1" sqref="G122" xr:uid="{00000000-0002-0000-0200-000000000000}">
      <formula1>Friction</formula1>
    </dataValidation>
    <dataValidation type="list" allowBlank="1" showInputMessage="1" showErrorMessage="1" sqref="G52" xr:uid="{00000000-0002-0000-0200-000001000000}">
      <formula1>Pressure</formula1>
    </dataValidation>
    <dataValidation type="list" allowBlank="1" showInputMessage="1" showErrorMessage="1" sqref="G54" xr:uid="{00000000-0002-0000-0200-000002000000}">
      <formula1>flow_rate</formula1>
    </dataValidation>
  </dataValidations>
  <hyperlinks>
    <hyperlink ref="H116" r:id="rId1" display="Full Load Efficiency from EuroDEEM free software for motor of your size (or use the benchmark motor)" xr:uid="{00000000-0004-0000-0200-000000000000}"/>
    <hyperlink ref="H120" r:id="rId2" xr:uid="{00000000-0004-0000-0200-000001000000}"/>
    <hyperlink ref="H122" r:id="rId3" display="For an 18&quot; concrete pipe losses range from 0.4 - 1m hd per km for flow in the region of 250-450 m3/hour.  Online pressure calculator available from Pressure-Drop.com (click here), use online version and not the downloadable version." xr:uid="{00000000-0004-0000-0200-000002000000}"/>
  </hyperlinks>
  <printOptions horizontalCentered="1"/>
  <pageMargins left="0.70866141732283472" right="0.70866141732283472" top="0.74803149606299213" bottom="0.74803149606299213" header="0.31496062992125984" footer="0.31496062992125984"/>
  <pageSetup paperSize="9" scale="41" orientation="portrait" r:id="rId4"/>
  <colBreaks count="1" manualBreakCount="1">
    <brk id="11" max="1048575" man="1"/>
  </colBreaks>
  <drawing r:id="rId5"/>
  <legacyDrawing r:id="rId6"/>
  <oleObjects>
    <mc:AlternateContent xmlns:mc="http://schemas.openxmlformats.org/markup-compatibility/2006">
      <mc:Choice Requires="x14">
        <oleObject progId="Visio.Drawing.11" shapeId="1466" r:id="rId7">
          <objectPr defaultSize="0" r:id="rId8">
            <anchor moveWithCells="1">
              <from>
                <xdr:col>2</xdr:col>
                <xdr:colOff>12700</xdr:colOff>
                <xdr:row>65</xdr:row>
                <xdr:rowOff>25400</xdr:rowOff>
              </from>
              <to>
                <xdr:col>7</xdr:col>
                <xdr:colOff>2444750</xdr:colOff>
                <xdr:row>97</xdr:row>
                <xdr:rowOff>0</xdr:rowOff>
              </to>
            </anchor>
          </objectPr>
        </oleObject>
      </mc:Choice>
      <mc:Fallback>
        <oleObject progId="Visio.Drawing.11" shapeId="1466" r:id="rId7"/>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249977111117893"/>
    <pageSetUpPr fitToPage="1"/>
  </sheetPr>
  <dimension ref="A1:L68"/>
  <sheetViews>
    <sheetView showGridLines="0" tabSelected="1" zoomScaleNormal="100" workbookViewId="0"/>
  </sheetViews>
  <sheetFormatPr defaultColWidth="9.1796875" defaultRowHeight="14.5"/>
  <cols>
    <col min="1" max="1" width="1.7265625" style="222" customWidth="1"/>
    <col min="2" max="2" width="1.453125" style="222" customWidth="1"/>
    <col min="3" max="3" width="10" style="222" customWidth="1"/>
    <col min="4" max="4" width="22.1796875" style="222" bestFit="1" customWidth="1"/>
    <col min="5" max="5" width="92.7265625" style="222" customWidth="1"/>
    <col min="6" max="7" width="1.1796875" style="222" customWidth="1"/>
    <col min="8" max="8" width="1.7265625" style="222" customWidth="1"/>
    <col min="9" max="16384" width="9.1796875" style="222"/>
  </cols>
  <sheetData>
    <row r="1" spans="1:8" s="332" customFormat="1" ht="8.25" customHeight="1" thickBot="1">
      <c r="A1" s="405"/>
      <c r="B1" s="7"/>
      <c r="C1" s="7"/>
      <c r="D1" s="7"/>
      <c r="E1" s="405"/>
      <c r="F1" s="359"/>
      <c r="G1" s="405"/>
      <c r="H1" s="405"/>
    </row>
    <row r="2" spans="1:8" s="332" customFormat="1" ht="4.5" customHeight="1">
      <c r="A2" s="405"/>
      <c r="B2" s="67"/>
      <c r="C2" s="68"/>
      <c r="D2" s="68"/>
      <c r="E2" s="426"/>
      <c r="F2" s="425"/>
      <c r="G2" s="424"/>
      <c r="H2" s="405"/>
    </row>
    <row r="3" spans="1:8" s="422" customFormat="1" ht="23.5">
      <c r="A3" s="327"/>
      <c r="B3" s="72"/>
      <c r="C3" s="113" t="s">
        <v>289</v>
      </c>
      <c r="D3" s="46"/>
      <c r="E3" s="113"/>
      <c r="F3" s="93"/>
      <c r="G3" s="423"/>
      <c r="H3" s="327"/>
    </row>
    <row r="4" spans="1:8" s="422" customFormat="1" ht="23.5">
      <c r="A4" s="327"/>
      <c r="B4" s="72"/>
      <c r="C4" s="113" t="s">
        <v>148</v>
      </c>
      <c r="D4" s="46"/>
      <c r="E4" s="113"/>
      <c r="F4" s="15"/>
      <c r="G4" s="423"/>
      <c r="H4" s="327"/>
    </row>
    <row r="5" spans="1:8" s="422" customFormat="1" ht="11.25" customHeight="1">
      <c r="A5" s="327"/>
      <c r="B5" s="72"/>
      <c r="C5" s="46"/>
      <c r="D5" s="46"/>
      <c r="E5" s="12"/>
      <c r="F5" s="93"/>
      <c r="G5" s="423"/>
      <c r="H5" s="327"/>
    </row>
    <row r="6" spans="1:8" ht="30" customHeight="1">
      <c r="A6"/>
      <c r="B6" s="283"/>
      <c r="C6" s="457" t="s">
        <v>152</v>
      </c>
      <c r="D6" s="457"/>
      <c r="E6" s="457"/>
      <c r="F6"/>
      <c r="G6" s="284"/>
      <c r="H6"/>
    </row>
    <row r="7" spans="1:8" s="417" customFormat="1" ht="13">
      <c r="A7" s="418"/>
      <c r="B7" s="420"/>
      <c r="C7" s="418"/>
      <c r="D7" s="418"/>
      <c r="E7" s="297"/>
      <c r="F7" s="418"/>
      <c r="G7" s="419"/>
      <c r="H7" s="418"/>
    </row>
    <row r="8" spans="1:8" s="417" customFormat="1" ht="13">
      <c r="A8" s="418"/>
      <c r="B8" s="420"/>
      <c r="C8" s="305" t="s">
        <v>153</v>
      </c>
      <c r="D8" s="306"/>
      <c r="E8" s="412"/>
      <c r="F8" s="418"/>
      <c r="G8" s="419"/>
      <c r="H8" s="418"/>
    </row>
    <row r="9" spans="1:8" s="417" customFormat="1" ht="26">
      <c r="A9" s="418"/>
      <c r="B9" s="420"/>
      <c r="C9" s="421" t="s">
        <v>149</v>
      </c>
      <c r="D9" s="303" t="s">
        <v>102</v>
      </c>
      <c r="E9" s="303" t="s">
        <v>151</v>
      </c>
      <c r="F9" s="418"/>
      <c r="G9" s="419"/>
      <c r="H9" s="418"/>
    </row>
    <row r="10" spans="1:8" s="417" customFormat="1" ht="65">
      <c r="A10" s="418"/>
      <c r="B10" s="420"/>
      <c r="C10" s="421" t="s">
        <v>164</v>
      </c>
      <c r="D10" s="303" t="s">
        <v>100</v>
      </c>
      <c r="E10" s="303" t="s">
        <v>150</v>
      </c>
      <c r="F10" s="418"/>
      <c r="G10" s="419"/>
      <c r="H10" s="418"/>
    </row>
    <row r="11" spans="1:8" s="417" customFormat="1" ht="78">
      <c r="A11" s="418"/>
      <c r="B11" s="420"/>
      <c r="C11" s="364" t="s">
        <v>357</v>
      </c>
      <c r="D11" s="308" t="s">
        <v>154</v>
      </c>
      <c r="E11" s="308" t="s">
        <v>331</v>
      </c>
      <c r="F11" s="418"/>
      <c r="G11" s="419"/>
      <c r="H11" s="418"/>
    </row>
    <row r="12" spans="1:8" s="417" customFormat="1" ht="26">
      <c r="A12" s="418"/>
      <c r="B12" s="420"/>
      <c r="C12" s="365" t="s">
        <v>165</v>
      </c>
      <c r="D12" s="311" t="s">
        <v>36</v>
      </c>
      <c r="E12" s="311" t="s">
        <v>337</v>
      </c>
      <c r="F12" s="418"/>
      <c r="G12" s="419"/>
      <c r="H12" s="418"/>
    </row>
    <row r="13" spans="1:8" s="417" customFormat="1" ht="13">
      <c r="A13" s="418"/>
      <c r="B13" s="420"/>
      <c r="C13" s="365" t="s">
        <v>237</v>
      </c>
      <c r="D13" s="311" t="s">
        <v>175</v>
      </c>
      <c r="E13" s="311" t="s">
        <v>338</v>
      </c>
      <c r="F13" s="418"/>
      <c r="G13" s="419"/>
      <c r="H13" s="418"/>
    </row>
    <row r="14" spans="1:8" s="417" customFormat="1" ht="13">
      <c r="A14" s="418"/>
      <c r="B14" s="420"/>
      <c r="C14" s="365" t="s">
        <v>238</v>
      </c>
      <c r="D14" s="311" t="s">
        <v>177</v>
      </c>
      <c r="E14" s="311" t="s">
        <v>196</v>
      </c>
      <c r="F14" s="418"/>
      <c r="G14" s="419"/>
      <c r="H14" s="418"/>
    </row>
    <row r="15" spans="1:8" s="417" customFormat="1" ht="26">
      <c r="A15" s="418"/>
      <c r="B15" s="420"/>
      <c r="C15" s="365" t="s">
        <v>240</v>
      </c>
      <c r="D15" s="311" t="s">
        <v>178</v>
      </c>
      <c r="E15" s="311" t="s">
        <v>197</v>
      </c>
      <c r="F15" s="418"/>
      <c r="G15" s="419"/>
      <c r="H15" s="418"/>
    </row>
    <row r="16" spans="1:8" s="417" customFormat="1" ht="26">
      <c r="A16" s="418"/>
      <c r="B16" s="420"/>
      <c r="C16" s="365" t="s">
        <v>166</v>
      </c>
      <c r="D16" s="311" t="s">
        <v>232</v>
      </c>
      <c r="E16" s="311" t="s">
        <v>239</v>
      </c>
      <c r="F16" s="418"/>
      <c r="G16" s="419"/>
      <c r="H16" s="418"/>
    </row>
    <row r="17" spans="1:8" s="417" customFormat="1" ht="65">
      <c r="A17" s="418"/>
      <c r="B17" s="420"/>
      <c r="C17" s="365" t="s">
        <v>243</v>
      </c>
      <c r="D17" s="311" t="s">
        <v>91</v>
      </c>
      <c r="E17" s="311" t="s">
        <v>198</v>
      </c>
      <c r="F17" s="418"/>
      <c r="G17" s="419"/>
      <c r="H17" s="418"/>
    </row>
    <row r="18" spans="1:8" s="417" customFormat="1" ht="26">
      <c r="A18" s="418"/>
      <c r="B18" s="420"/>
      <c r="C18" s="365" t="s">
        <v>244</v>
      </c>
      <c r="D18" s="311" t="s">
        <v>332</v>
      </c>
      <c r="E18" s="311" t="s">
        <v>339</v>
      </c>
      <c r="F18" s="418"/>
      <c r="G18" s="419"/>
      <c r="H18" s="418"/>
    </row>
    <row r="19" spans="1:8" s="417" customFormat="1" ht="65">
      <c r="A19" s="418"/>
      <c r="B19" s="420"/>
      <c r="C19" s="365" t="s">
        <v>246</v>
      </c>
      <c r="D19" s="311" t="s">
        <v>34</v>
      </c>
      <c r="E19" s="311" t="s">
        <v>245</v>
      </c>
      <c r="F19" s="418"/>
      <c r="G19" s="419"/>
      <c r="H19" s="418"/>
    </row>
    <row r="20" spans="1:8" s="417" customFormat="1" ht="54">
      <c r="A20" s="418"/>
      <c r="B20" s="420"/>
      <c r="C20" s="365" t="s">
        <v>333</v>
      </c>
      <c r="D20" s="311" t="s">
        <v>1</v>
      </c>
      <c r="E20" s="311" t="s">
        <v>199</v>
      </c>
      <c r="F20" s="418"/>
      <c r="G20" s="419"/>
      <c r="H20" s="418"/>
    </row>
    <row r="21" spans="1:8" s="417" customFormat="1" ht="26">
      <c r="A21" s="418"/>
      <c r="B21" s="420"/>
      <c r="C21" s="365" t="s">
        <v>250</v>
      </c>
      <c r="D21" s="311" t="s">
        <v>286</v>
      </c>
      <c r="E21" s="311" t="s">
        <v>320</v>
      </c>
      <c r="F21" s="418"/>
      <c r="G21" s="419"/>
      <c r="H21" s="418"/>
    </row>
    <row r="22" spans="1:8" s="417" customFormat="1" ht="26">
      <c r="A22" s="418"/>
      <c r="B22" s="420"/>
      <c r="C22" s="365" t="s">
        <v>334</v>
      </c>
      <c r="D22" s="311" t="s">
        <v>281</v>
      </c>
      <c r="E22" s="311" t="s">
        <v>292</v>
      </c>
      <c r="F22" s="418"/>
      <c r="G22" s="419"/>
      <c r="H22" s="418"/>
    </row>
    <row r="23" spans="1:8" s="417" customFormat="1" ht="26">
      <c r="A23" s="418"/>
      <c r="B23" s="420"/>
      <c r="C23" s="365" t="s">
        <v>294</v>
      </c>
      <c r="D23" s="311" t="s">
        <v>261</v>
      </c>
      <c r="E23" s="311" t="s">
        <v>293</v>
      </c>
      <c r="F23" s="418"/>
      <c r="G23" s="419"/>
      <c r="H23" s="418"/>
    </row>
    <row r="24" spans="1:8" s="417" customFormat="1" ht="39">
      <c r="A24" s="418"/>
      <c r="B24" s="420"/>
      <c r="C24" s="365" t="s">
        <v>299</v>
      </c>
      <c r="D24" s="311" t="s">
        <v>282</v>
      </c>
      <c r="E24" s="311" t="s">
        <v>295</v>
      </c>
      <c r="F24" s="418"/>
      <c r="G24" s="419"/>
      <c r="H24" s="418"/>
    </row>
    <row r="25" spans="1:8" s="417" customFormat="1" ht="26">
      <c r="A25" s="418"/>
      <c r="B25" s="420"/>
      <c r="C25" s="365" t="s">
        <v>298</v>
      </c>
      <c r="D25" s="311" t="s">
        <v>267</v>
      </c>
      <c r="E25" s="311" t="s">
        <v>296</v>
      </c>
      <c r="F25" s="418"/>
      <c r="G25" s="419"/>
      <c r="H25" s="418"/>
    </row>
    <row r="26" spans="1:8" ht="26">
      <c r="A26"/>
      <c r="B26" s="283"/>
      <c r="C26" s="365" t="s">
        <v>300</v>
      </c>
      <c r="D26" s="311" t="s">
        <v>262</v>
      </c>
      <c r="E26" s="311" t="s">
        <v>297</v>
      </c>
      <c r="F26"/>
      <c r="G26" s="284"/>
      <c r="H26"/>
    </row>
    <row r="27" spans="1:8" ht="26">
      <c r="A27"/>
      <c r="B27" s="283"/>
      <c r="C27" s="365" t="s">
        <v>305</v>
      </c>
      <c r="D27" s="333" t="s">
        <v>190</v>
      </c>
      <c r="E27" s="333" t="s">
        <v>301</v>
      </c>
      <c r="F27"/>
      <c r="G27" s="284"/>
      <c r="H27"/>
    </row>
    <row r="28" spans="1:8" ht="53.5">
      <c r="A28"/>
      <c r="B28" s="283"/>
      <c r="C28" s="366" t="s">
        <v>306</v>
      </c>
      <c r="D28" s="333" t="s">
        <v>45</v>
      </c>
      <c r="E28" s="333" t="s">
        <v>202</v>
      </c>
      <c r="F28"/>
      <c r="G28" s="284"/>
      <c r="H28"/>
    </row>
    <row r="29" spans="1:8" ht="52">
      <c r="A29"/>
      <c r="B29" s="283"/>
      <c r="C29" s="365" t="s">
        <v>307</v>
      </c>
      <c r="D29" s="311" t="s">
        <v>83</v>
      </c>
      <c r="E29" s="311" t="s">
        <v>222</v>
      </c>
      <c r="F29"/>
      <c r="G29" s="284"/>
      <c r="H29"/>
    </row>
    <row r="30" spans="1:8" ht="52">
      <c r="A30"/>
      <c r="B30" s="283"/>
      <c r="C30" s="365" t="s">
        <v>340</v>
      </c>
      <c r="D30" s="311" t="s">
        <v>322</v>
      </c>
      <c r="E30" s="311" t="s">
        <v>358</v>
      </c>
      <c r="F30"/>
      <c r="G30" s="284"/>
      <c r="H30"/>
    </row>
    <row r="31" spans="1:8" ht="26">
      <c r="A31"/>
      <c r="B31" s="283"/>
      <c r="C31" s="365" t="s">
        <v>308</v>
      </c>
      <c r="D31" s="311" t="s">
        <v>158</v>
      </c>
      <c r="E31" s="311" t="s">
        <v>203</v>
      </c>
      <c r="F31"/>
      <c r="G31" s="284"/>
      <c r="H31"/>
    </row>
    <row r="32" spans="1:8" ht="52">
      <c r="A32"/>
      <c r="B32" s="283"/>
      <c r="C32" s="365" t="s">
        <v>309</v>
      </c>
      <c r="D32" s="311" t="s">
        <v>26</v>
      </c>
      <c r="E32" s="311" t="s">
        <v>204</v>
      </c>
      <c r="F32"/>
      <c r="G32" s="284"/>
      <c r="H32"/>
    </row>
    <row r="33" spans="1:8">
      <c r="A33"/>
      <c r="B33" s="283"/>
      <c r="C33" s="365" t="s">
        <v>310</v>
      </c>
      <c r="D33" s="311" t="s">
        <v>179</v>
      </c>
      <c r="E33" s="311" t="s">
        <v>205</v>
      </c>
      <c r="F33"/>
      <c r="G33" s="284"/>
      <c r="H33"/>
    </row>
    <row r="34" spans="1:8" ht="26">
      <c r="A34"/>
      <c r="B34" s="283"/>
      <c r="C34" s="365" t="s">
        <v>341</v>
      </c>
      <c r="D34" s="311" t="s">
        <v>159</v>
      </c>
      <c r="E34" s="311" t="s">
        <v>206</v>
      </c>
      <c r="F34"/>
      <c r="G34" s="284"/>
      <c r="H34"/>
    </row>
    <row r="35" spans="1:8" ht="52">
      <c r="A35"/>
      <c r="B35" s="283"/>
      <c r="C35" s="365" t="s">
        <v>311</v>
      </c>
      <c r="D35" s="311" t="s">
        <v>160</v>
      </c>
      <c r="E35" s="311" t="s">
        <v>207</v>
      </c>
      <c r="F35"/>
      <c r="G35" s="284"/>
      <c r="H35"/>
    </row>
    <row r="36" spans="1:8" ht="26">
      <c r="A36"/>
      <c r="B36" s="283"/>
      <c r="C36" s="365" t="s">
        <v>312</v>
      </c>
      <c r="D36" s="311" t="s">
        <v>335</v>
      </c>
      <c r="E36" s="311" t="s">
        <v>336</v>
      </c>
      <c r="F36"/>
      <c r="G36" s="284"/>
      <c r="H36"/>
    </row>
    <row r="37" spans="1:8" ht="39">
      <c r="A37"/>
      <c r="B37" s="283"/>
      <c r="C37" s="365" t="s">
        <v>342</v>
      </c>
      <c r="D37" s="311" t="s">
        <v>161</v>
      </c>
      <c r="E37" s="311" t="s">
        <v>208</v>
      </c>
      <c r="F37"/>
      <c r="G37" s="284"/>
      <c r="H37"/>
    </row>
    <row r="38" spans="1:8" ht="39">
      <c r="A38"/>
      <c r="B38" s="283"/>
      <c r="C38" s="365" t="s">
        <v>343</v>
      </c>
      <c r="D38" s="311" t="s">
        <v>162</v>
      </c>
      <c r="E38" s="311" t="s">
        <v>209</v>
      </c>
      <c r="F38"/>
      <c r="G38" s="284"/>
      <c r="H38"/>
    </row>
    <row r="39" spans="1:8">
      <c r="A39"/>
      <c r="B39" s="283"/>
      <c r="C39" s="365"/>
      <c r="D39" s="408"/>
      <c r="E39" s="311"/>
      <c r="F39"/>
      <c r="G39" s="284"/>
      <c r="H39"/>
    </row>
    <row r="40" spans="1:8">
      <c r="A40"/>
      <c r="B40" s="283"/>
      <c r="C40" s="305" t="s">
        <v>163</v>
      </c>
      <c r="D40" s="306"/>
      <c r="E40" s="412"/>
      <c r="F40"/>
      <c r="G40" s="284"/>
      <c r="H40"/>
    </row>
    <row r="41" spans="1:8">
      <c r="A41"/>
      <c r="B41" s="283"/>
      <c r="C41" s="365"/>
      <c r="D41" s="408"/>
      <c r="E41" s="311"/>
      <c r="F41"/>
      <c r="G41" s="284"/>
      <c r="H41"/>
    </row>
    <row r="42" spans="1:8" ht="52">
      <c r="A42"/>
      <c r="B42" s="283"/>
      <c r="C42" s="365" t="s">
        <v>237</v>
      </c>
      <c r="D42" s="311" t="s">
        <v>49</v>
      </c>
      <c r="E42" s="311" t="s">
        <v>313</v>
      </c>
      <c r="F42"/>
      <c r="G42" s="284"/>
      <c r="H42"/>
    </row>
    <row r="43" spans="1:8" ht="39">
      <c r="A43"/>
      <c r="B43" s="283"/>
      <c r="C43" s="416" t="s">
        <v>238</v>
      </c>
      <c r="D43" s="415" t="s">
        <v>50</v>
      </c>
      <c r="E43" s="343" t="s">
        <v>346</v>
      </c>
      <c r="F43"/>
      <c r="G43" s="284"/>
      <c r="H43"/>
    </row>
    <row r="44" spans="1:8">
      <c r="A44"/>
      <c r="B44" s="283"/>
      <c r="C44" s="365" t="s">
        <v>314</v>
      </c>
      <c r="D44" s="311" t="s">
        <v>216</v>
      </c>
      <c r="E44" s="312" t="s">
        <v>211</v>
      </c>
      <c r="F44"/>
      <c r="G44" s="284"/>
      <c r="H44"/>
    </row>
    <row r="45" spans="1:8">
      <c r="A45"/>
      <c r="B45" s="283"/>
      <c r="C45" s="365" t="s">
        <v>315</v>
      </c>
      <c r="D45" s="311" t="s">
        <v>215</v>
      </c>
      <c r="E45" s="312" t="s">
        <v>212</v>
      </c>
      <c r="F45"/>
      <c r="G45" s="284"/>
      <c r="H45"/>
    </row>
    <row r="46" spans="1:8" ht="26">
      <c r="A46"/>
      <c r="B46" s="283"/>
      <c r="C46" s="365" t="s">
        <v>317</v>
      </c>
      <c r="D46" s="311" t="s">
        <v>214</v>
      </c>
      <c r="E46" s="312" t="s">
        <v>316</v>
      </c>
      <c r="F46"/>
      <c r="G46" s="284"/>
      <c r="H46"/>
    </row>
    <row r="47" spans="1:8" ht="15">
      <c r="A47"/>
      <c r="B47" s="283"/>
      <c r="C47" s="365" t="s">
        <v>355</v>
      </c>
      <c r="D47" s="311" t="s">
        <v>167</v>
      </c>
      <c r="E47" s="312" t="s">
        <v>217</v>
      </c>
      <c r="F47"/>
      <c r="G47" s="284"/>
      <c r="H47"/>
    </row>
    <row r="48" spans="1:8">
      <c r="A48"/>
      <c r="B48" s="283"/>
      <c r="C48" s="365" t="s">
        <v>155</v>
      </c>
      <c r="D48" s="311" t="s">
        <v>51</v>
      </c>
      <c r="E48" s="312" t="s">
        <v>168</v>
      </c>
      <c r="F48"/>
      <c r="G48" s="284"/>
      <c r="H48"/>
    </row>
    <row r="49" spans="1:12">
      <c r="A49"/>
      <c r="B49" s="283"/>
      <c r="C49" s="365" t="s">
        <v>318</v>
      </c>
      <c r="D49" s="311" t="s">
        <v>328</v>
      </c>
      <c r="E49" s="312" t="s">
        <v>344</v>
      </c>
      <c r="F49"/>
      <c r="G49" s="284"/>
      <c r="H49"/>
    </row>
    <row r="50" spans="1:12">
      <c r="A50"/>
      <c r="B50" s="283"/>
      <c r="C50" s="365" t="s">
        <v>319</v>
      </c>
      <c r="D50" s="311" t="s">
        <v>52</v>
      </c>
      <c r="E50" s="312" t="s">
        <v>169</v>
      </c>
      <c r="F50"/>
      <c r="G50" s="284"/>
      <c r="H50"/>
    </row>
    <row r="51" spans="1:12">
      <c r="A51"/>
      <c r="B51" s="283"/>
      <c r="C51" s="365" t="s">
        <v>253</v>
      </c>
      <c r="D51" s="311" t="s">
        <v>53</v>
      </c>
      <c r="E51" s="312" t="s">
        <v>170</v>
      </c>
      <c r="F51"/>
      <c r="G51" s="284"/>
      <c r="H51"/>
    </row>
    <row r="52" spans="1:12">
      <c r="A52"/>
      <c r="B52" s="283"/>
      <c r="C52" s="365" t="s">
        <v>157</v>
      </c>
      <c r="D52" s="311" t="s">
        <v>54</v>
      </c>
      <c r="E52" s="312" t="s">
        <v>171</v>
      </c>
      <c r="F52"/>
      <c r="G52" s="284"/>
      <c r="H52"/>
    </row>
    <row r="53" spans="1:12">
      <c r="A53"/>
      <c r="B53" s="283"/>
      <c r="C53" s="365" t="s">
        <v>247</v>
      </c>
      <c r="D53" s="311" t="s">
        <v>172</v>
      </c>
      <c r="E53" s="312" t="s">
        <v>173</v>
      </c>
      <c r="F53"/>
      <c r="G53" s="284"/>
      <c r="H53"/>
    </row>
    <row r="54" spans="1:12">
      <c r="A54"/>
      <c r="B54" s="283"/>
      <c r="C54" s="414"/>
      <c r="D54" s="413"/>
      <c r="E54" s="315"/>
      <c r="F54"/>
      <c r="G54" s="284"/>
      <c r="H54"/>
    </row>
    <row r="55" spans="1:12">
      <c r="A55"/>
      <c r="B55" s="283"/>
      <c r="C55" s="305" t="s">
        <v>174</v>
      </c>
      <c r="D55" s="306"/>
      <c r="E55" s="412"/>
      <c r="F55"/>
      <c r="G55" s="284"/>
      <c r="H55"/>
    </row>
    <row r="56" spans="1:12">
      <c r="A56"/>
      <c r="B56" s="283"/>
      <c r="C56" s="411"/>
      <c r="D56" s="410"/>
      <c r="E56" s="322"/>
      <c r="F56"/>
      <c r="G56" s="284"/>
      <c r="H56"/>
    </row>
    <row r="57" spans="1:12" ht="15" customHeight="1">
      <c r="A57"/>
      <c r="B57" s="283"/>
      <c r="C57" s="459" t="s">
        <v>194</v>
      </c>
      <c r="D57" s="459"/>
      <c r="E57" s="459"/>
      <c r="F57"/>
      <c r="G57" s="284"/>
      <c r="H57"/>
    </row>
    <row r="58" spans="1:12">
      <c r="A58"/>
      <c r="B58" s="283"/>
      <c r="C58" s="325"/>
      <c r="D58" s="409"/>
      <c r="E58" s="324"/>
      <c r="F58"/>
      <c r="G58" s="284"/>
      <c r="H58"/>
    </row>
    <row r="59" spans="1:12" ht="39">
      <c r="A59"/>
      <c r="B59" s="283"/>
      <c r="C59" s="365"/>
      <c r="D59" s="408" t="s">
        <v>43</v>
      </c>
      <c r="E59" s="319" t="s">
        <v>218</v>
      </c>
      <c r="F59"/>
      <c r="G59" s="284"/>
      <c r="H59"/>
    </row>
    <row r="60" spans="1:12" ht="26">
      <c r="A60"/>
      <c r="B60" s="283"/>
      <c r="C60" s="365"/>
      <c r="D60" s="408" t="s">
        <v>176</v>
      </c>
      <c r="E60" s="311" t="s">
        <v>219</v>
      </c>
      <c r="F60"/>
      <c r="G60" s="284"/>
      <c r="H60"/>
    </row>
    <row r="61" spans="1:12" ht="26">
      <c r="A61"/>
      <c r="B61" s="283"/>
      <c r="C61" s="365"/>
      <c r="D61" s="408" t="s">
        <v>76</v>
      </c>
      <c r="E61" s="311" t="s">
        <v>220</v>
      </c>
      <c r="F61"/>
      <c r="G61" s="284"/>
      <c r="H61"/>
    </row>
    <row r="62" spans="1:12" s="332" customFormat="1" ht="26">
      <c r="A62"/>
      <c r="B62" s="283"/>
      <c r="C62" s="365"/>
      <c r="D62" s="408" t="s">
        <v>27</v>
      </c>
      <c r="E62" s="311" t="s">
        <v>221</v>
      </c>
      <c r="F62"/>
      <c r="G62" s="284"/>
      <c r="H62"/>
      <c r="I62" s="222"/>
      <c r="J62" s="222"/>
      <c r="K62" s="222"/>
      <c r="L62" s="222"/>
    </row>
    <row r="63" spans="1:12" ht="15" thickBot="1">
      <c r="A63"/>
      <c r="B63" s="285"/>
      <c r="C63" s="286"/>
      <c r="D63" s="286"/>
      <c r="E63" s="286"/>
      <c r="F63" s="286"/>
      <c r="G63" s="287"/>
      <c r="H63"/>
    </row>
    <row r="64" spans="1:12">
      <c r="A64" s="405"/>
      <c r="B64" s="265" t="s">
        <v>228</v>
      </c>
      <c r="C64" s="7"/>
      <c r="D64" s="7"/>
      <c r="E64" s="405"/>
      <c r="F64" s="359"/>
      <c r="G64" s="405"/>
      <c r="H64" s="405"/>
    </row>
    <row r="65" spans="1:8">
      <c r="A65" s="405"/>
      <c r="B65" s="405"/>
      <c r="C65" s="405"/>
      <c r="D65" s="405"/>
      <c r="E65" s="405"/>
      <c r="F65" s="405"/>
      <c r="G65" s="405"/>
      <c r="H65" s="405"/>
    </row>
    <row r="66" spans="1:8">
      <c r="A66" s="405"/>
      <c r="B66" s="405"/>
      <c r="C66" s="405"/>
      <c r="D66" s="405"/>
      <c r="E66" s="405"/>
      <c r="F66" s="405"/>
      <c r="G66" s="405"/>
      <c r="H66" s="405"/>
    </row>
    <row r="67" spans="1:8">
      <c r="A67" s="405"/>
      <c r="B67" s="405"/>
      <c r="C67" s="405"/>
      <c r="D67" s="405"/>
      <c r="E67" s="405"/>
      <c r="F67" s="405"/>
      <c r="G67" s="405"/>
      <c r="H67" s="405"/>
    </row>
    <row r="68" spans="1:8">
      <c r="A68" s="405"/>
      <c r="B68" s="405"/>
      <c r="C68" s="405"/>
      <c r="D68" s="405"/>
      <c r="E68" s="405"/>
      <c r="F68" s="405"/>
      <c r="G68" s="405"/>
      <c r="H68" s="405"/>
    </row>
  </sheetData>
  <sheetProtection sheet="1" objects="1" scenarios="1"/>
  <mergeCells count="2">
    <mergeCell ref="C6:E6"/>
    <mergeCell ref="C57:E57"/>
  </mergeCells>
  <pageMargins left="0.70866141732283472" right="0.70866141732283472" top="0.74803149606299213" bottom="0.74803149606299213" header="0.31496062992125984" footer="0.31496062992125984"/>
  <pageSetup paperSize="9" scale="41"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8080"/>
    <pageSetUpPr fitToPage="1"/>
  </sheetPr>
  <dimension ref="A1:U165"/>
  <sheetViews>
    <sheetView zoomScaleNormal="100" zoomScaleSheetLayoutView="100" workbookViewId="0"/>
  </sheetViews>
  <sheetFormatPr defaultColWidth="9.1796875" defaultRowHeight="13"/>
  <cols>
    <col min="1" max="1" width="2" style="103" customWidth="1"/>
    <col min="2" max="2" width="1" style="107" customWidth="1"/>
    <col min="3" max="3" width="0.81640625" style="107" customWidth="1"/>
    <col min="4" max="4" width="36.54296875" style="103" customWidth="1"/>
    <col min="5" max="5" width="1" style="108" customWidth="1"/>
    <col min="6" max="6" width="11" style="103" customWidth="1"/>
    <col min="7" max="7" width="10" style="111" customWidth="1"/>
    <col min="8" max="8" width="61.54296875" style="103" customWidth="1"/>
    <col min="9" max="10" width="1" style="103" customWidth="1"/>
    <col min="11" max="11" width="2" style="103" customWidth="1"/>
    <col min="12" max="12" width="9.81640625" style="103" bestFit="1" customWidth="1"/>
    <col min="13" max="13" width="44.7265625" style="103" customWidth="1"/>
    <col min="14" max="14" width="9.1796875" style="103"/>
    <col min="15" max="15" width="10.1796875" style="103" bestFit="1" customWidth="1"/>
    <col min="16" max="16" width="6.1796875" style="103" customWidth="1"/>
    <col min="17" max="17" width="2.54296875" style="103" customWidth="1"/>
    <col min="18" max="16384" width="9.1796875" style="103"/>
  </cols>
  <sheetData>
    <row r="1" spans="1:19" ht="11.25" customHeight="1" thickBot="1">
      <c r="A1" s="8"/>
      <c r="B1" s="7"/>
      <c r="C1" s="7"/>
      <c r="D1" s="8"/>
      <c r="E1" s="13"/>
      <c r="F1" s="8"/>
      <c r="G1" s="9"/>
      <c r="H1" s="8"/>
      <c r="I1" s="8"/>
      <c r="J1" s="8"/>
      <c r="K1" s="8"/>
    </row>
    <row r="2" spans="1:19" ht="4.5" customHeight="1">
      <c r="A2" s="8"/>
      <c r="B2" s="67"/>
      <c r="C2" s="68"/>
      <c r="D2" s="69"/>
      <c r="E2" s="92"/>
      <c r="F2" s="70"/>
      <c r="G2" s="70"/>
      <c r="H2" s="69"/>
      <c r="I2" s="69"/>
      <c r="J2" s="71"/>
      <c r="K2" s="8"/>
    </row>
    <row r="3" spans="1:19" s="104" customFormat="1" ht="23.5">
      <c r="A3" s="1"/>
      <c r="B3" s="72"/>
      <c r="C3" s="46"/>
      <c r="D3" s="113" t="s">
        <v>289</v>
      </c>
      <c r="E3" s="93"/>
      <c r="F3" s="1"/>
      <c r="G3" s="13"/>
      <c r="H3" s="1"/>
      <c r="I3" s="1"/>
      <c r="J3" s="73"/>
      <c r="K3" s="1"/>
    </row>
    <row r="4" spans="1:19" s="104" customFormat="1" ht="21" customHeight="1">
      <c r="A4" s="1"/>
      <c r="B4" s="72"/>
      <c r="C4" s="46"/>
      <c r="D4" s="113" t="s">
        <v>98</v>
      </c>
      <c r="E4" s="15"/>
      <c r="F4" s="15"/>
      <c r="G4" s="15"/>
      <c r="H4" s="112"/>
      <c r="I4" s="1"/>
      <c r="J4" s="73"/>
      <c r="K4" s="1"/>
    </row>
    <row r="5" spans="1:19" s="104" customFormat="1" ht="11.25" customHeight="1">
      <c r="A5" s="1"/>
      <c r="B5" s="72"/>
      <c r="C5" s="46"/>
      <c r="D5" s="12"/>
      <c r="E5" s="93"/>
      <c r="F5" s="1"/>
      <c r="G5" s="13"/>
      <c r="H5" s="1"/>
      <c r="I5" s="1"/>
      <c r="J5" s="73"/>
      <c r="K5" s="1"/>
    </row>
    <row r="6" spans="1:19" s="104" customFormat="1" ht="14.5">
      <c r="A6" s="1"/>
      <c r="B6" s="72"/>
      <c r="C6" s="46"/>
      <c r="D6" s="116" t="s">
        <v>102</v>
      </c>
      <c r="E6" s="115" t="s">
        <v>96</v>
      </c>
      <c r="F6" s="461"/>
      <c r="G6" s="465"/>
      <c r="H6" s="281"/>
      <c r="I6" s="1"/>
      <c r="J6" s="73"/>
      <c r="K6" s="1"/>
    </row>
    <row r="7" spans="1:19" s="104" customFormat="1" ht="5.25" customHeight="1">
      <c r="A7" s="1"/>
      <c r="B7" s="72"/>
      <c r="C7" s="46"/>
      <c r="D7" s="116"/>
      <c r="E7" s="114"/>
      <c r="F7" s="1"/>
      <c r="G7" s="1"/>
      <c r="H7" s="1"/>
      <c r="I7" s="1"/>
      <c r="J7" s="73"/>
      <c r="K7" s="1"/>
    </row>
    <row r="8" spans="1:19" s="104" customFormat="1" ht="14.5">
      <c r="A8" s="1"/>
      <c r="B8" s="72"/>
      <c r="C8" s="46"/>
      <c r="D8" s="116" t="s">
        <v>99</v>
      </c>
      <c r="E8" s="115" t="s">
        <v>96</v>
      </c>
      <c r="F8" s="461"/>
      <c r="G8" s="465"/>
      <c r="H8" s="280"/>
      <c r="I8" s="1"/>
      <c r="J8" s="73"/>
      <c r="K8" s="1"/>
    </row>
    <row r="9" spans="1:19" s="104" customFormat="1" ht="5.25" customHeight="1">
      <c r="A9" s="1"/>
      <c r="B9" s="72"/>
      <c r="C9" s="46"/>
      <c r="D9" s="116"/>
      <c r="E9" s="114"/>
      <c r="F9" s="1"/>
      <c r="G9" s="1"/>
      <c r="H9" s="1"/>
      <c r="I9" s="1"/>
      <c r="J9" s="73"/>
      <c r="K9" s="1"/>
    </row>
    <row r="10" spans="1:19" s="104" customFormat="1" ht="14.5">
      <c r="A10" s="1"/>
      <c r="B10" s="72"/>
      <c r="C10" s="46"/>
      <c r="D10" s="116" t="s">
        <v>100</v>
      </c>
      <c r="E10" s="115" t="s">
        <v>96</v>
      </c>
      <c r="F10" s="367"/>
      <c r="G10" s="1"/>
      <c r="H10" s="281"/>
      <c r="I10" s="1"/>
      <c r="J10" s="73"/>
      <c r="K10" s="1"/>
    </row>
    <row r="11" spans="1:19" s="104" customFormat="1" ht="5.25" customHeight="1">
      <c r="A11" s="1"/>
      <c r="B11" s="72"/>
      <c r="C11" s="46"/>
      <c r="D11" s="116"/>
      <c r="E11" s="114"/>
      <c r="F11" s="1"/>
      <c r="G11" s="1"/>
      <c r="H11" s="1"/>
      <c r="I11" s="1"/>
      <c r="J11" s="73"/>
      <c r="K11" s="1"/>
    </row>
    <row r="12" spans="1:19" s="104" customFormat="1" ht="14.5">
      <c r="A12" s="1"/>
      <c r="B12" s="72"/>
      <c r="C12" s="46"/>
      <c r="D12" s="116" t="s">
        <v>101</v>
      </c>
      <c r="E12" s="115" t="s">
        <v>96</v>
      </c>
      <c r="F12" s="294"/>
      <c r="G12" s="1"/>
      <c r="H12" s="282" t="s">
        <v>142</v>
      </c>
      <c r="I12" s="1"/>
      <c r="J12" s="73"/>
      <c r="K12" s="1"/>
    </row>
    <row r="13" spans="1:19" s="104" customFormat="1" ht="8.25" customHeight="1">
      <c r="A13" s="1"/>
      <c r="B13" s="72"/>
      <c r="C13" s="46"/>
      <c r="D13" s="1"/>
      <c r="E13" s="13"/>
      <c r="F13" s="13"/>
      <c r="G13" s="13"/>
      <c r="H13" s="1"/>
      <c r="I13" s="1"/>
      <c r="J13" s="73"/>
      <c r="K13" s="1"/>
    </row>
    <row r="14" spans="1:19" s="109" customFormat="1" ht="16.5" customHeight="1">
      <c r="A14" s="117"/>
      <c r="B14" s="118"/>
      <c r="C14" s="119"/>
      <c r="D14" s="452" t="s">
        <v>88</v>
      </c>
      <c r="E14" s="121"/>
      <c r="F14" s="122"/>
      <c r="G14" s="122"/>
      <c r="H14" s="123"/>
      <c r="I14" s="124"/>
      <c r="J14" s="125"/>
      <c r="K14" s="117"/>
    </row>
    <row r="15" spans="1:19" s="151" customFormat="1" ht="30.75" customHeight="1">
      <c r="A15" s="145"/>
      <c r="B15" s="146"/>
      <c r="C15" s="147"/>
      <c r="D15" s="462" t="s">
        <v>284</v>
      </c>
      <c r="E15" s="462"/>
      <c r="F15" s="462"/>
      <c r="G15" s="462"/>
      <c r="H15" s="462"/>
      <c r="I15" s="148"/>
      <c r="J15" s="149"/>
      <c r="K15" s="145"/>
      <c r="L15" s="150"/>
      <c r="M15" s="150"/>
      <c r="N15" s="150"/>
      <c r="O15" s="150"/>
      <c r="P15" s="150"/>
      <c r="Q15" s="150"/>
      <c r="R15" s="150"/>
      <c r="S15" s="150"/>
    </row>
    <row r="16" spans="1:19">
      <c r="A16" s="8"/>
      <c r="B16" s="74"/>
      <c r="C16" s="49"/>
      <c r="D16" s="440" t="s">
        <v>348</v>
      </c>
      <c r="E16" s="13" t="s">
        <v>96</v>
      </c>
      <c r="F16" s="270"/>
      <c r="G16" s="30" t="s">
        <v>0</v>
      </c>
      <c r="H16" s="141" t="s">
        <v>37</v>
      </c>
      <c r="I16" s="50"/>
      <c r="J16" s="76"/>
      <c r="K16" s="8"/>
      <c r="L16" s="105"/>
      <c r="M16" s="105"/>
      <c r="N16" s="105"/>
      <c r="O16" s="105"/>
      <c r="P16" s="105"/>
      <c r="Q16" s="105"/>
      <c r="R16" s="105"/>
      <c r="S16" s="105"/>
    </row>
    <row r="17" spans="1:19" ht="4.5" customHeight="1">
      <c r="A17" s="8"/>
      <c r="B17" s="74"/>
      <c r="C17" s="49"/>
      <c r="D17" s="44"/>
      <c r="E17" s="95"/>
      <c r="F17" s="42"/>
      <c r="G17" s="42"/>
      <c r="H17" s="137"/>
      <c r="I17" s="50"/>
      <c r="J17" s="76"/>
      <c r="K17" s="8"/>
      <c r="L17" s="105"/>
      <c r="M17" s="105"/>
      <c r="N17" s="105"/>
      <c r="O17" s="105"/>
      <c r="P17" s="105"/>
      <c r="Q17" s="105"/>
      <c r="R17" s="105"/>
      <c r="S17" s="105"/>
    </row>
    <row r="18" spans="1:19" ht="4.5" customHeight="1">
      <c r="A18" s="8"/>
      <c r="B18" s="74"/>
      <c r="C18" s="49"/>
      <c r="D18" s="37"/>
      <c r="E18" s="96"/>
      <c r="F18" s="30"/>
      <c r="G18" s="30"/>
      <c r="H18" s="138"/>
      <c r="I18" s="50"/>
      <c r="J18" s="76"/>
      <c r="K18" s="8"/>
      <c r="L18" s="105"/>
      <c r="M18" s="105"/>
      <c r="N18" s="105"/>
      <c r="O18" s="105"/>
      <c r="P18" s="105"/>
      <c r="Q18" s="105"/>
      <c r="R18" s="105"/>
      <c r="S18" s="105"/>
    </row>
    <row r="19" spans="1:19" ht="9.75" customHeight="1">
      <c r="A19" s="8"/>
      <c r="B19" s="74"/>
      <c r="C19" s="49"/>
      <c r="D19" s="114" t="s">
        <v>35</v>
      </c>
      <c r="E19" s="96"/>
      <c r="F19" s="30"/>
      <c r="G19" s="30"/>
      <c r="H19" s="139"/>
      <c r="I19" s="52"/>
      <c r="J19" s="76"/>
      <c r="K19" s="10"/>
      <c r="L19" s="105"/>
      <c r="M19" s="105"/>
      <c r="N19" s="105"/>
      <c r="O19" s="105"/>
      <c r="P19" s="105"/>
      <c r="Q19" s="105"/>
      <c r="R19" s="105"/>
      <c r="S19" s="105"/>
    </row>
    <row r="20" spans="1:19" ht="5.25" customHeight="1">
      <c r="A20" s="8"/>
      <c r="B20" s="74"/>
      <c r="C20" s="49"/>
      <c r="D20" s="14"/>
      <c r="E20" s="96"/>
      <c r="F20" s="28"/>
      <c r="G20" s="30"/>
      <c r="H20" s="139"/>
      <c r="I20" s="52"/>
      <c r="J20" s="76"/>
      <c r="K20" s="10"/>
      <c r="L20" s="105"/>
      <c r="M20" s="105"/>
      <c r="N20" s="105"/>
      <c r="O20" s="105"/>
      <c r="P20" s="105"/>
      <c r="Q20" s="105"/>
      <c r="R20" s="105"/>
      <c r="S20" s="105"/>
    </row>
    <row r="21" spans="1:19" ht="5.25" customHeight="1">
      <c r="A21" s="8"/>
      <c r="B21" s="74"/>
      <c r="C21" s="49"/>
      <c r="D21" s="38"/>
      <c r="E21" s="94"/>
      <c r="F21" s="39"/>
      <c r="G21" s="40"/>
      <c r="H21" s="142"/>
      <c r="I21" s="52"/>
      <c r="J21" s="76"/>
      <c r="K21" s="10"/>
      <c r="L21" s="105"/>
      <c r="M21" s="105"/>
      <c r="N21" s="105"/>
      <c r="O21" s="105"/>
      <c r="P21" s="105"/>
      <c r="Q21" s="105"/>
      <c r="R21" s="105"/>
      <c r="S21" s="105"/>
    </row>
    <row r="22" spans="1:19">
      <c r="A22" s="8"/>
      <c r="B22" s="74"/>
      <c r="C22" s="49"/>
      <c r="D22" s="87" t="s">
        <v>19</v>
      </c>
      <c r="E22" s="13" t="s">
        <v>96</v>
      </c>
      <c r="F22" s="270"/>
      <c r="G22" s="30" t="s">
        <v>21</v>
      </c>
      <c r="H22" s="141" t="s">
        <v>37</v>
      </c>
      <c r="I22" s="50"/>
      <c r="J22" s="76"/>
      <c r="K22" s="10"/>
      <c r="L22" s="105"/>
      <c r="M22" s="105"/>
      <c r="N22" s="105"/>
      <c r="O22" s="105"/>
      <c r="P22" s="105"/>
      <c r="Q22" s="105"/>
      <c r="R22" s="105"/>
      <c r="S22" s="105"/>
    </row>
    <row r="23" spans="1:19" ht="5.25" customHeight="1">
      <c r="A23" s="8"/>
      <c r="B23" s="74"/>
      <c r="C23" s="49"/>
      <c r="D23" s="87"/>
      <c r="E23" s="13"/>
      <c r="F23" s="30"/>
      <c r="G23" s="30"/>
      <c r="H23" s="141"/>
      <c r="I23" s="50"/>
      <c r="J23" s="76"/>
      <c r="K23" s="10"/>
      <c r="L23" s="105"/>
      <c r="M23" s="105"/>
      <c r="N23" s="105"/>
      <c r="O23" s="105"/>
      <c r="P23" s="105"/>
      <c r="Q23" s="105"/>
      <c r="R23" s="105"/>
      <c r="S23" s="105"/>
    </row>
    <row r="24" spans="1:19">
      <c r="A24" s="8"/>
      <c r="B24" s="74"/>
      <c r="C24" s="49"/>
      <c r="D24" s="87" t="s">
        <v>20</v>
      </c>
      <c r="E24" s="13" t="s">
        <v>96</v>
      </c>
      <c r="F24" s="270"/>
      <c r="G24" s="30" t="s">
        <v>22</v>
      </c>
      <c r="H24" s="141" t="s">
        <v>37</v>
      </c>
      <c r="I24" s="50"/>
      <c r="J24" s="76"/>
      <c r="K24" s="10"/>
      <c r="L24" s="105"/>
      <c r="M24" s="105"/>
      <c r="N24" s="105"/>
      <c r="O24" s="105"/>
      <c r="P24" s="105"/>
      <c r="Q24" s="105"/>
      <c r="R24" s="105"/>
      <c r="S24" s="105"/>
    </row>
    <row r="25" spans="1:19" ht="5.25" customHeight="1">
      <c r="A25" s="8"/>
      <c r="B25" s="74"/>
      <c r="C25" s="49"/>
      <c r="D25" s="87"/>
      <c r="E25" s="13"/>
      <c r="F25" s="30"/>
      <c r="G25" s="30"/>
      <c r="H25" s="141"/>
      <c r="I25" s="50"/>
      <c r="J25" s="76"/>
      <c r="K25" s="10"/>
      <c r="L25" s="105"/>
      <c r="M25" s="105"/>
      <c r="N25" s="105"/>
      <c r="O25" s="105"/>
      <c r="P25" s="105"/>
      <c r="Q25" s="105"/>
      <c r="R25" s="105"/>
      <c r="S25" s="105"/>
    </row>
    <row r="26" spans="1:19" ht="26">
      <c r="A26" s="8"/>
      <c r="B26" s="74"/>
      <c r="C26" s="49"/>
      <c r="D26" s="318" t="s">
        <v>90</v>
      </c>
      <c r="E26" s="13" t="s">
        <v>96</v>
      </c>
      <c r="F26" s="271"/>
      <c r="G26" s="16"/>
      <c r="H26" s="141" t="s">
        <v>39</v>
      </c>
      <c r="I26" s="50"/>
      <c r="J26" s="76"/>
      <c r="K26" s="10"/>
      <c r="L26" s="105"/>
      <c r="M26" s="105"/>
      <c r="N26" s="105"/>
      <c r="O26" s="105"/>
      <c r="P26" s="105"/>
      <c r="Q26" s="105"/>
      <c r="R26" s="105"/>
      <c r="S26" s="105"/>
    </row>
    <row r="27" spans="1:19">
      <c r="A27" s="8"/>
      <c r="B27" s="74"/>
      <c r="C27" s="49"/>
      <c r="D27" s="358" t="s">
        <v>232</v>
      </c>
      <c r="E27" s="13"/>
      <c r="F27" s="31">
        <f>F22*F24*SQRT(3)/1000</f>
        <v>0</v>
      </c>
      <c r="G27" s="348" t="s">
        <v>23</v>
      </c>
      <c r="H27" s="141"/>
      <c r="I27" s="50"/>
      <c r="J27" s="76"/>
      <c r="K27" s="10"/>
      <c r="L27" s="105"/>
      <c r="M27" s="105"/>
      <c r="N27" s="105"/>
      <c r="O27" s="105"/>
      <c r="P27" s="105"/>
      <c r="Q27" s="105"/>
      <c r="R27" s="105"/>
      <c r="S27" s="105"/>
    </row>
    <row r="28" spans="1:19" ht="5.25" customHeight="1">
      <c r="A28" s="8"/>
      <c r="B28" s="74"/>
      <c r="C28" s="49"/>
      <c r="D28" s="87"/>
      <c r="E28" s="296"/>
      <c r="F28" s="296"/>
      <c r="G28" s="296"/>
      <c r="H28" s="141"/>
      <c r="I28" s="50"/>
      <c r="J28" s="76"/>
      <c r="K28" s="10"/>
      <c r="L28" s="105"/>
      <c r="M28" s="105"/>
      <c r="N28" s="105"/>
      <c r="O28" s="105"/>
      <c r="P28" s="105"/>
      <c r="Q28" s="105"/>
      <c r="R28" s="105"/>
      <c r="S28" s="105"/>
    </row>
    <row r="29" spans="1:19" ht="5.25" customHeight="1">
      <c r="A29" s="8"/>
      <c r="B29" s="74"/>
      <c r="C29" s="49"/>
      <c r="D29" s="41"/>
      <c r="E29" s="42"/>
      <c r="F29" s="42"/>
      <c r="G29" s="42"/>
      <c r="H29" s="137"/>
      <c r="I29" s="50"/>
      <c r="J29" s="76"/>
      <c r="K29" s="10"/>
      <c r="L29" s="105"/>
      <c r="M29" s="105"/>
      <c r="N29" s="105"/>
      <c r="O29" s="105"/>
      <c r="P29" s="105"/>
      <c r="Q29" s="105"/>
      <c r="R29" s="105"/>
      <c r="S29" s="105"/>
    </row>
    <row r="30" spans="1:19" ht="5.25" customHeight="1">
      <c r="A30" s="8"/>
      <c r="B30" s="74"/>
      <c r="C30" s="49"/>
      <c r="D30" s="8"/>
      <c r="E30" s="13"/>
      <c r="F30" s="31"/>
      <c r="G30" s="30"/>
      <c r="H30" s="138"/>
      <c r="I30" s="50"/>
      <c r="J30" s="76"/>
      <c r="K30" s="10"/>
      <c r="L30" s="105"/>
      <c r="M30" s="105"/>
      <c r="N30" s="105"/>
      <c r="O30" s="105"/>
      <c r="P30" s="105"/>
      <c r="Q30" s="105"/>
      <c r="R30" s="105"/>
      <c r="S30" s="105"/>
    </row>
    <row r="31" spans="1:19" ht="9.75" customHeight="1">
      <c r="A31" s="8"/>
      <c r="B31" s="74"/>
      <c r="C31" s="49"/>
      <c r="D31" s="114" t="s">
        <v>87</v>
      </c>
      <c r="E31" s="96"/>
      <c r="F31" s="30"/>
      <c r="G31" s="30"/>
      <c r="H31" s="139"/>
      <c r="I31" s="52"/>
      <c r="J31" s="76"/>
      <c r="K31" s="10"/>
      <c r="L31" s="105"/>
      <c r="M31" s="105"/>
      <c r="N31" s="105"/>
      <c r="O31" s="105"/>
      <c r="P31" s="105"/>
      <c r="Q31" s="105"/>
      <c r="R31" s="105"/>
      <c r="S31" s="105"/>
    </row>
    <row r="32" spans="1:19" ht="5.25" customHeight="1">
      <c r="A32" s="8"/>
      <c r="B32" s="74"/>
      <c r="C32" s="49"/>
      <c r="D32" s="14"/>
      <c r="E32" s="96"/>
      <c r="F32" s="28"/>
      <c r="G32" s="30"/>
      <c r="H32" s="139"/>
      <c r="I32" s="52"/>
      <c r="J32" s="76"/>
      <c r="K32" s="10"/>
      <c r="L32" s="105"/>
      <c r="M32" s="105"/>
      <c r="N32" s="105"/>
      <c r="O32" s="105"/>
      <c r="P32" s="105"/>
      <c r="Q32" s="105"/>
      <c r="R32" s="105"/>
      <c r="S32" s="105"/>
    </row>
    <row r="33" spans="1:21">
      <c r="A33" s="8"/>
      <c r="B33" s="74"/>
      <c r="C33" s="49"/>
      <c r="D33" s="45"/>
      <c r="E33" s="98"/>
      <c r="F33" s="40"/>
      <c r="G33" s="40"/>
      <c r="H33" s="140"/>
      <c r="I33" s="50"/>
      <c r="J33" s="76"/>
      <c r="K33" s="10"/>
      <c r="L33" s="105"/>
      <c r="M33" s="105"/>
      <c r="N33" s="105"/>
      <c r="O33" s="105"/>
      <c r="P33" s="105"/>
      <c r="Q33" s="105"/>
      <c r="R33" s="105"/>
      <c r="S33" s="105"/>
    </row>
    <row r="34" spans="1:21" ht="15">
      <c r="A34" s="8"/>
      <c r="B34" s="74"/>
      <c r="C34" s="49"/>
      <c r="D34" s="318" t="s">
        <v>91</v>
      </c>
      <c r="E34" s="13" t="s">
        <v>96</v>
      </c>
      <c r="F34" s="272"/>
      <c r="G34" s="30"/>
      <c r="H34" s="136" t="s">
        <v>86</v>
      </c>
      <c r="I34" s="51"/>
      <c r="J34" s="77"/>
      <c r="K34" s="6"/>
      <c r="L34" s="106"/>
      <c r="O34" s="106"/>
      <c r="P34" s="106"/>
      <c r="Q34" s="106"/>
      <c r="R34" s="106"/>
      <c r="S34" s="106"/>
      <c r="T34" s="106"/>
      <c r="U34" s="106"/>
    </row>
    <row r="35" spans="1:21" ht="26">
      <c r="A35" s="8"/>
      <c r="B35" s="74"/>
      <c r="C35" s="49"/>
      <c r="D35" s="86"/>
      <c r="E35" s="13"/>
      <c r="F35" s="29"/>
      <c r="G35" s="30"/>
      <c r="H35" s="143" t="s">
        <v>106</v>
      </c>
      <c r="I35" s="53"/>
      <c r="J35" s="77"/>
      <c r="K35" s="6"/>
      <c r="L35" s="106"/>
      <c r="O35" s="106"/>
      <c r="P35" s="106"/>
      <c r="Q35" s="106"/>
      <c r="R35" s="106"/>
      <c r="S35" s="106"/>
      <c r="T35" s="106"/>
      <c r="U35" s="106"/>
    </row>
    <row r="36" spans="1:21" ht="26">
      <c r="A36" s="8"/>
      <c r="B36" s="74"/>
      <c r="C36" s="49"/>
      <c r="D36" s="318" t="s">
        <v>324</v>
      </c>
      <c r="E36" s="359" t="s">
        <v>96</v>
      </c>
      <c r="F36" s="439"/>
      <c r="G36" s="30"/>
      <c r="H36" s="441" t="s">
        <v>325</v>
      </c>
      <c r="I36" s="53"/>
      <c r="J36" s="77"/>
      <c r="K36" s="6"/>
      <c r="L36" s="106"/>
      <c r="O36" s="106"/>
      <c r="P36" s="106"/>
      <c r="Q36" s="106"/>
      <c r="R36" s="106"/>
      <c r="S36" s="106"/>
      <c r="T36" s="106"/>
      <c r="U36" s="106"/>
    </row>
    <row r="37" spans="1:21" ht="12.75" customHeight="1">
      <c r="A37" s="8"/>
      <c r="B37" s="74"/>
      <c r="C37" s="49"/>
      <c r="D37" s="86"/>
      <c r="E37" s="13"/>
      <c r="F37" s="29"/>
      <c r="G37" s="30"/>
      <c r="H37" s="441"/>
      <c r="I37" s="53"/>
      <c r="J37" s="77"/>
      <c r="K37" s="6"/>
      <c r="L37" s="106"/>
      <c r="O37" s="106"/>
      <c r="P37" s="106"/>
      <c r="Q37" s="106"/>
      <c r="R37" s="106"/>
      <c r="S37" s="106"/>
      <c r="T37" s="106"/>
      <c r="U37" s="106"/>
    </row>
    <row r="38" spans="1:21">
      <c r="A38" s="8"/>
      <c r="B38" s="74"/>
      <c r="C38" s="49"/>
      <c r="D38" s="86" t="s">
        <v>34</v>
      </c>
      <c r="E38" s="13" t="s">
        <v>96</v>
      </c>
      <c r="F38" s="34">
        <f>IF(F16="",(F22*F24*SQRT(3)/1000*F26),F16)</f>
        <v>0</v>
      </c>
      <c r="G38" s="30" t="s">
        <v>0</v>
      </c>
      <c r="H38" s="141" t="str">
        <f>IF(F16&gt;0,"Based upon actual motor &amp; drive power consumption data supplied",IF(F38&gt;0,"Calculated from user-supplied Voltage, Current and Power factor data",""))</f>
        <v/>
      </c>
      <c r="I38" s="54"/>
      <c r="J38" s="76"/>
      <c r="K38" s="10"/>
      <c r="L38" s="105"/>
      <c r="O38" s="105"/>
      <c r="P38" s="105"/>
      <c r="Q38" s="105"/>
      <c r="R38" s="105"/>
      <c r="S38" s="105"/>
    </row>
    <row r="39" spans="1:21" ht="12.75" customHeight="1">
      <c r="A39" s="8"/>
      <c r="B39" s="74"/>
      <c r="C39" s="49"/>
      <c r="D39" s="86"/>
      <c r="E39" s="13"/>
      <c r="F39" s="35"/>
      <c r="G39" s="30"/>
      <c r="H39" s="141"/>
      <c r="I39" s="54"/>
      <c r="J39" s="76"/>
      <c r="K39" s="10"/>
      <c r="L39" s="105"/>
      <c r="O39" s="105"/>
      <c r="P39" s="105"/>
      <c r="Q39" s="105"/>
      <c r="R39" s="105"/>
      <c r="S39" s="105"/>
    </row>
    <row r="40" spans="1:21">
      <c r="A40" s="8"/>
      <c r="B40" s="74"/>
      <c r="C40" s="49"/>
      <c r="D40" s="86" t="s">
        <v>1</v>
      </c>
      <c r="E40" s="13" t="s">
        <v>96</v>
      </c>
      <c r="F40" s="34">
        <f>F38*F34*F36</f>
        <v>0</v>
      </c>
      <c r="G40" s="30" t="s">
        <v>0</v>
      </c>
      <c r="H40" s="144" t="s">
        <v>25</v>
      </c>
      <c r="I40" s="55"/>
      <c r="J40" s="75"/>
      <c r="K40" s="8"/>
    </row>
    <row r="41" spans="1:21">
      <c r="A41" s="8"/>
      <c r="B41" s="74"/>
      <c r="C41" s="49"/>
      <c r="D41" s="41"/>
      <c r="E41" s="97"/>
      <c r="F41" s="42"/>
      <c r="G41" s="42"/>
      <c r="H41" s="43"/>
      <c r="I41" s="50"/>
      <c r="J41" s="76"/>
      <c r="K41" s="10"/>
      <c r="L41" s="105"/>
      <c r="O41" s="105"/>
      <c r="P41" s="105"/>
      <c r="Q41" s="105"/>
      <c r="R41" s="105"/>
      <c r="S41" s="105"/>
    </row>
    <row r="42" spans="1:21">
      <c r="A42" s="8"/>
      <c r="B42" s="74"/>
      <c r="C42" s="56"/>
      <c r="D42" s="57"/>
      <c r="E42" s="99"/>
      <c r="F42" s="57"/>
      <c r="G42" s="58"/>
      <c r="H42" s="57"/>
      <c r="I42" s="59"/>
      <c r="J42" s="75"/>
      <c r="K42" s="8"/>
    </row>
    <row r="43" spans="1:21">
      <c r="A43" s="8"/>
      <c r="B43" s="74"/>
      <c r="C43" s="7"/>
      <c r="D43" s="8"/>
      <c r="E43" s="13"/>
      <c r="F43" s="8"/>
      <c r="G43" s="16"/>
      <c r="H43" s="8"/>
      <c r="I43" s="8"/>
      <c r="J43" s="75"/>
      <c r="K43" s="8"/>
    </row>
    <row r="44" spans="1:21" s="109" customFormat="1" ht="14.5">
      <c r="A44" s="117"/>
      <c r="B44" s="118"/>
      <c r="C44" s="119"/>
      <c r="D44" s="120" t="s">
        <v>89</v>
      </c>
      <c r="E44" s="121"/>
      <c r="F44" s="122"/>
      <c r="G44" s="122"/>
      <c r="H44" s="123"/>
      <c r="I44" s="124"/>
      <c r="J44" s="125"/>
      <c r="K44" s="117"/>
    </row>
    <row r="45" spans="1:21" s="151" customFormat="1" ht="36.75" customHeight="1">
      <c r="A45" s="145"/>
      <c r="B45" s="146"/>
      <c r="C45" s="147"/>
      <c r="D45" s="460" t="s">
        <v>285</v>
      </c>
      <c r="E45" s="460"/>
      <c r="F45" s="460"/>
      <c r="G45" s="460"/>
      <c r="H45" s="460"/>
      <c r="I45" s="148"/>
      <c r="J45" s="149"/>
      <c r="K45" s="145"/>
      <c r="L45" s="150"/>
      <c r="O45" s="150"/>
      <c r="P45" s="150"/>
      <c r="Q45" s="150"/>
      <c r="R45" s="150"/>
      <c r="S45" s="150"/>
    </row>
    <row r="46" spans="1:21" ht="26">
      <c r="A46" s="8"/>
      <c r="B46" s="74"/>
      <c r="C46" s="49"/>
      <c r="D46" s="327" t="s">
        <v>286</v>
      </c>
      <c r="E46" s="102" t="s">
        <v>96</v>
      </c>
      <c r="F46" s="273"/>
      <c r="G46" s="348" t="s">
        <v>4</v>
      </c>
      <c r="H46" s="298" t="s">
        <v>291</v>
      </c>
      <c r="I46" s="51"/>
      <c r="J46" s="75"/>
      <c r="K46" s="8"/>
    </row>
    <row r="47" spans="1:21" ht="5.25" customHeight="1">
      <c r="A47" s="8"/>
      <c r="B47" s="74"/>
      <c r="C47" s="49"/>
      <c r="D47" s="327"/>
      <c r="E47" s="102"/>
      <c r="F47" s="34"/>
      <c r="G47" s="348"/>
      <c r="H47" s="298"/>
      <c r="I47" s="51"/>
      <c r="J47" s="75"/>
      <c r="K47" s="8"/>
    </row>
    <row r="48" spans="1:21" ht="65">
      <c r="A48" s="8"/>
      <c r="B48" s="74"/>
      <c r="C48" s="49"/>
      <c r="D48" s="327" t="s">
        <v>281</v>
      </c>
      <c r="E48" s="102"/>
      <c r="F48" s="377">
        <v>0.02</v>
      </c>
      <c r="G48" s="348" t="s">
        <v>266</v>
      </c>
      <c r="H48" s="401" t="s">
        <v>290</v>
      </c>
      <c r="I48" s="51"/>
      <c r="J48" s="75"/>
      <c r="K48" s="8"/>
    </row>
    <row r="49" spans="1:13" ht="5.25" customHeight="1">
      <c r="A49" s="8"/>
      <c r="B49" s="74"/>
      <c r="C49" s="49"/>
      <c r="D49" s="327"/>
      <c r="E49" s="102"/>
      <c r="F49" s="373"/>
      <c r="G49" s="348"/>
      <c r="H49" s="298"/>
      <c r="I49" s="51"/>
      <c r="J49" s="75"/>
      <c r="K49" s="8"/>
    </row>
    <row r="50" spans="1:13">
      <c r="A50" s="8"/>
      <c r="B50" s="74"/>
      <c r="C50" s="49"/>
      <c r="D50" s="327" t="s">
        <v>268</v>
      </c>
      <c r="E50" s="102"/>
      <c r="F50" s="350">
        <f>F48*F46</f>
        <v>0</v>
      </c>
      <c r="G50" s="348" t="s">
        <v>4</v>
      </c>
      <c r="H50" s="298" t="s">
        <v>269</v>
      </c>
      <c r="I50" s="51"/>
      <c r="J50" s="75"/>
      <c r="K50" s="8"/>
    </row>
    <row r="51" spans="1:13" ht="5.25" customHeight="1">
      <c r="A51" s="8"/>
      <c r="B51" s="74"/>
      <c r="C51" s="49"/>
      <c r="D51" s="327"/>
      <c r="E51" s="102"/>
      <c r="F51" s="373"/>
      <c r="G51" s="348"/>
      <c r="H51" s="298"/>
      <c r="I51" s="51"/>
      <c r="J51" s="75"/>
      <c r="K51" s="8"/>
    </row>
    <row r="52" spans="1:13" ht="26">
      <c r="A52" s="8"/>
      <c r="B52" s="74"/>
      <c r="C52" s="49"/>
      <c r="D52" s="327" t="s">
        <v>261</v>
      </c>
      <c r="E52" s="359" t="s">
        <v>96</v>
      </c>
      <c r="F52" s="273"/>
      <c r="G52" s="348" t="s">
        <v>4</v>
      </c>
      <c r="H52" s="298" t="s">
        <v>287</v>
      </c>
      <c r="I52" s="51"/>
      <c r="J52" s="75"/>
      <c r="K52" s="8"/>
    </row>
    <row r="53" spans="1:13" ht="5.25" customHeight="1">
      <c r="A53" s="8"/>
      <c r="B53" s="74"/>
      <c r="C53" s="49"/>
      <c r="D53" s="327"/>
      <c r="E53" s="102"/>
      <c r="F53" s="373"/>
      <c r="G53" s="348"/>
      <c r="H53" s="298"/>
      <c r="I53" s="51"/>
      <c r="J53" s="75"/>
      <c r="K53" s="8"/>
    </row>
    <row r="54" spans="1:13" ht="26">
      <c r="A54" s="8"/>
      <c r="B54" s="74"/>
      <c r="C54" s="49"/>
      <c r="D54" s="327" t="s">
        <v>282</v>
      </c>
      <c r="E54" s="13" t="s">
        <v>96</v>
      </c>
      <c r="F54" s="273"/>
      <c r="G54" s="348" t="s">
        <v>4</v>
      </c>
      <c r="H54" s="298" t="s">
        <v>260</v>
      </c>
      <c r="I54" s="51"/>
      <c r="J54" s="75"/>
      <c r="K54" s="8"/>
    </row>
    <row r="55" spans="1:13" ht="5.25" customHeight="1">
      <c r="A55" s="8"/>
      <c r="B55" s="74"/>
      <c r="C55" s="49"/>
      <c r="D55" s="1"/>
      <c r="E55" s="13"/>
      <c r="F55" s="34"/>
      <c r="G55" s="30"/>
      <c r="H55" s="152"/>
      <c r="I55" s="51"/>
      <c r="J55" s="75"/>
      <c r="K55" s="8"/>
      <c r="M55" s="385"/>
    </row>
    <row r="56" spans="1:13">
      <c r="A56" s="8"/>
      <c r="B56" s="74"/>
      <c r="C56" s="49"/>
      <c r="D56" s="374" t="s">
        <v>267</v>
      </c>
      <c r="E56" s="359" t="s">
        <v>96</v>
      </c>
      <c r="F56" s="273"/>
      <c r="G56" s="349" t="s">
        <v>4</v>
      </c>
      <c r="H56" s="298" t="s">
        <v>265</v>
      </c>
      <c r="I56" s="51"/>
      <c r="J56" s="75"/>
      <c r="K56" s="8"/>
    </row>
    <row r="57" spans="1:13" ht="5.25" customHeight="1">
      <c r="A57" s="36"/>
      <c r="B57" s="78"/>
      <c r="C57" s="60"/>
      <c r="D57" s="1"/>
      <c r="E57" s="1"/>
      <c r="F57" s="34"/>
      <c r="G57" s="30"/>
      <c r="H57" s="153"/>
      <c r="I57" s="61"/>
      <c r="J57" s="79"/>
      <c r="K57" s="36"/>
    </row>
    <row r="58" spans="1:13">
      <c r="A58" s="8"/>
      <c r="B58" s="74"/>
      <c r="C58" s="49"/>
      <c r="D58" s="327" t="s">
        <v>262</v>
      </c>
      <c r="E58" s="13" t="s">
        <v>96</v>
      </c>
      <c r="F58" s="273"/>
      <c r="G58" s="349" t="s">
        <v>67</v>
      </c>
      <c r="H58" s="298" t="s">
        <v>263</v>
      </c>
      <c r="I58" s="51"/>
      <c r="J58" s="75"/>
      <c r="K58" s="8"/>
    </row>
    <row r="59" spans="1:13" s="332" customFormat="1">
      <c r="A59" s="405"/>
      <c r="B59" s="74"/>
      <c r="C59" s="49"/>
      <c r="D59" s="327"/>
      <c r="E59" s="359"/>
      <c r="F59" s="327"/>
      <c r="G59" s="405"/>
      <c r="H59" s="298"/>
      <c r="I59" s="406"/>
      <c r="J59" s="407"/>
      <c r="K59" s="405"/>
    </row>
    <row r="60" spans="1:13" s="332" customFormat="1">
      <c r="A60" s="405"/>
      <c r="B60" s="74"/>
      <c r="C60" s="49"/>
      <c r="D60" s="327" t="s">
        <v>186</v>
      </c>
      <c r="E60" s="359" t="s">
        <v>96</v>
      </c>
      <c r="F60" s="316">
        <f>IF(G56="m of head",F50+F52+F56,IF(G56="bar",F50+F52+F56*'Fixed Data (2)'!I4,IF(G56="psi",F50+F52+F56*'Fixed Data (2)'!I7)))</f>
        <v>0</v>
      </c>
      <c r="G60" s="348" t="s">
        <v>4</v>
      </c>
      <c r="H60" s="298" t="s">
        <v>302</v>
      </c>
      <c r="I60" s="406"/>
      <c r="J60" s="407"/>
      <c r="K60" s="405"/>
    </row>
    <row r="61" spans="1:13" s="332" customFormat="1">
      <c r="A61" s="405"/>
      <c r="B61" s="74"/>
      <c r="C61" s="49"/>
      <c r="D61" s="327"/>
      <c r="E61" s="359"/>
      <c r="F61" s="327"/>
      <c r="G61" s="327"/>
      <c r="H61" s="298"/>
      <c r="I61" s="406"/>
      <c r="J61" s="407"/>
      <c r="K61" s="405"/>
    </row>
    <row r="62" spans="1:13">
      <c r="A62" s="8"/>
      <c r="B62" s="74"/>
      <c r="C62" s="49"/>
      <c r="D62" s="1" t="s">
        <v>45</v>
      </c>
      <c r="E62" s="13" t="s">
        <v>96</v>
      </c>
      <c r="F62" s="316">
        <f>IF(AND('Inputs - Borehole Pumping'!G56="m of head",'Inputs - Borehole Pumping'!G58="m3/h"),'Fixed Data (2)'!$C$22,IF(AND('Inputs - Borehole Pumping'!G56="m of head",'Inputs - Borehole Pumping'!G58="g/h"),'Fixed Data (2)'!$C$26,IF(AND('Inputs - Borehole Pumping'!G56="bar",'Inputs - Borehole Pumping'!G58="m3/h"),'Fixed Data (2)'!$C$23,IF(AND('Inputs - Borehole Pumping'!G56="bar",'Inputs - Borehole Pumping'!G58="g/h"),'Fixed Data (2)'!C27,IF(AND('Inputs - Borehole Pumping'!G56="psi",'Inputs - Borehole Pumping'!G58="m3/h"),'Fixed Data (2)'!C24,IF(AND('Inputs - Borehole Pumping'!G56="psi",'Inputs - Borehole Pumping'!G58="g/h"),'Fixed Data'!$C$28))))))</f>
        <v>0</v>
      </c>
      <c r="G62" s="30" t="s">
        <v>0</v>
      </c>
      <c r="H62" s="326" t="s">
        <v>235</v>
      </c>
      <c r="I62" s="51"/>
      <c r="J62" s="75"/>
      <c r="K62" s="8"/>
    </row>
    <row r="63" spans="1:13">
      <c r="A63" s="8"/>
      <c r="B63" s="74"/>
      <c r="C63" s="49"/>
      <c r="D63" s="1"/>
      <c r="E63" s="13"/>
      <c r="F63" s="34"/>
      <c r="G63" s="30"/>
      <c r="H63" s="154"/>
      <c r="I63" s="51"/>
      <c r="J63" s="75"/>
      <c r="K63" s="8"/>
    </row>
    <row r="64" spans="1:13" ht="15">
      <c r="A64" s="8"/>
      <c r="B64" s="74"/>
      <c r="C64" s="49"/>
      <c r="D64" s="1" t="s">
        <v>83</v>
      </c>
      <c r="E64" s="13" t="s">
        <v>96</v>
      </c>
      <c r="F64" s="346" t="str">
        <f>IF('Inputs - Borehole Pumping'!$F$40=0,"-",$F$62/'Inputs - Borehole Pumping'!$F$40)</f>
        <v>-</v>
      </c>
      <c r="G64" s="32"/>
      <c r="H64" s="152"/>
      <c r="I64" s="51"/>
      <c r="J64" s="75"/>
      <c r="K64" s="8"/>
    </row>
    <row r="65" spans="1:11" s="376" customFormat="1">
      <c r="A65" s="8"/>
      <c r="B65" s="74"/>
      <c r="C65" s="49"/>
      <c r="D65" s="1"/>
      <c r="E65" s="359"/>
      <c r="F65" s="397"/>
      <c r="G65" s="32"/>
      <c r="H65" s="298"/>
      <c r="I65" s="375"/>
      <c r="J65" s="79"/>
      <c r="K65" s="36"/>
    </row>
    <row r="66" spans="1:11" s="376" customFormat="1">
      <c r="A66" s="8"/>
      <c r="B66" s="74"/>
      <c r="C66" s="49"/>
      <c r="D66" s="327" t="s">
        <v>322</v>
      </c>
      <c r="E66" s="398" t="s">
        <v>96</v>
      </c>
      <c r="F66" s="316">
        <f>IF('Inputs - Borehole Pumping'!G56="m of head",'Fixed Data (2)'!C35-('Inputs - Borehole Pumping'!F54),IF('Inputs - Borehole Pumping'!G56="Bar",'Fixed Data (2)'!C36-('Inputs - Borehole Pumping'!F54),IF('Inputs - Borehole Pumping'!G56="psi",'Fixed Data (2)'!C37-('Inputs - Borehole Pumping'!F54))))</f>
        <v>0</v>
      </c>
      <c r="G66" s="348" t="s">
        <v>4</v>
      </c>
      <c r="H66" s="331" t="s">
        <v>304</v>
      </c>
      <c r="I66" s="375"/>
      <c r="J66" s="79"/>
      <c r="K66" s="36"/>
    </row>
    <row r="67" spans="1:11">
      <c r="A67" s="8"/>
      <c r="B67" s="74"/>
      <c r="C67" s="56"/>
      <c r="D67" s="62"/>
      <c r="E67" s="100"/>
      <c r="F67" s="63"/>
      <c r="G67" s="64"/>
      <c r="H67" s="65"/>
      <c r="I67" s="66"/>
      <c r="J67" s="75"/>
      <c r="K67" s="8"/>
    </row>
    <row r="68" spans="1:11">
      <c r="A68" s="8"/>
      <c r="B68" s="74"/>
      <c r="C68" s="7"/>
      <c r="D68" s="33"/>
      <c r="E68" s="27"/>
      <c r="F68" s="35"/>
      <c r="G68" s="30"/>
      <c r="H68" s="6"/>
      <c r="I68" s="6"/>
      <c r="J68" s="75"/>
      <c r="K68" s="8"/>
    </row>
    <row r="69" spans="1:11">
      <c r="A69" s="8"/>
      <c r="B69" s="74"/>
      <c r="C69" s="47"/>
      <c r="D69" s="337"/>
      <c r="E69" s="338"/>
      <c r="F69" s="339"/>
      <c r="G69" s="340"/>
      <c r="H69" s="341"/>
      <c r="I69" s="342"/>
      <c r="J69" s="75"/>
      <c r="K69" s="8"/>
    </row>
    <row r="70" spans="1:11" ht="5.25" customHeight="1">
      <c r="A70" s="8"/>
      <c r="B70" s="74"/>
      <c r="C70" s="49"/>
      <c r="D70" s="33"/>
      <c r="E70" s="27"/>
      <c r="F70" s="35"/>
      <c r="G70" s="30"/>
      <c r="H70" s="6"/>
      <c r="I70" s="51"/>
      <c r="J70" s="75"/>
      <c r="K70" s="8"/>
    </row>
    <row r="71" spans="1:11" ht="5.25" customHeight="1">
      <c r="A71" s="8"/>
      <c r="B71" s="74"/>
      <c r="C71" s="49"/>
      <c r="D71" s="33"/>
      <c r="E71" s="27"/>
      <c r="F71" s="35"/>
      <c r="G71" s="30"/>
      <c r="H71" s="6"/>
      <c r="I71" s="51"/>
      <c r="J71" s="75"/>
      <c r="K71" s="8"/>
    </row>
    <row r="72" spans="1:11" ht="14.25" customHeight="1">
      <c r="A72" s="8"/>
      <c r="B72" s="74"/>
      <c r="C72" s="49"/>
      <c r="D72" s="33"/>
      <c r="E72" s="27"/>
      <c r="F72" s="35"/>
      <c r="G72" s="30"/>
      <c r="H72" s="6"/>
      <c r="I72" s="51"/>
      <c r="J72" s="75"/>
      <c r="K72" s="8"/>
    </row>
    <row r="73" spans="1:11" ht="5.25" customHeight="1">
      <c r="A73" s="8"/>
      <c r="B73" s="74"/>
      <c r="C73" s="49"/>
      <c r="D73" s="33"/>
      <c r="E73" s="27"/>
      <c r="F73" s="35"/>
      <c r="G73" s="30"/>
      <c r="H73" s="6"/>
      <c r="I73" s="51"/>
      <c r="J73" s="75"/>
      <c r="K73" s="8"/>
    </row>
    <row r="74" spans="1:11" ht="14.25" customHeight="1">
      <c r="A74" s="8"/>
      <c r="B74" s="74"/>
      <c r="C74" s="49"/>
      <c r="D74" s="33"/>
      <c r="E74" s="27"/>
      <c r="F74" s="35"/>
      <c r="G74" s="30"/>
      <c r="H74" s="6"/>
      <c r="I74" s="51"/>
      <c r="J74" s="75"/>
      <c r="K74" s="8"/>
    </row>
    <row r="75" spans="1:11" ht="14.25" customHeight="1">
      <c r="A75" s="8"/>
      <c r="B75" s="74"/>
      <c r="C75" s="49"/>
      <c r="D75" s="33"/>
      <c r="E75" s="27"/>
      <c r="F75" s="35"/>
      <c r="G75" s="30"/>
      <c r="H75" s="6"/>
      <c r="I75" s="51"/>
      <c r="J75" s="75"/>
      <c r="K75" s="8"/>
    </row>
    <row r="76" spans="1:11" ht="14.25" customHeight="1">
      <c r="A76" s="8"/>
      <c r="B76" s="74"/>
      <c r="C76" s="49"/>
      <c r="D76" s="33"/>
      <c r="E76" s="27"/>
      <c r="F76" s="35"/>
      <c r="G76" s="30"/>
      <c r="H76" s="6"/>
      <c r="I76" s="51"/>
      <c r="J76" s="75"/>
      <c r="K76" s="8"/>
    </row>
    <row r="77" spans="1:11" ht="14.25" customHeight="1">
      <c r="A77" s="8"/>
      <c r="B77" s="74"/>
      <c r="C77" s="49"/>
      <c r="D77" s="33"/>
      <c r="E77" s="27"/>
      <c r="F77" s="35"/>
      <c r="G77" s="30"/>
      <c r="H77" s="6"/>
      <c r="I77" s="51"/>
      <c r="J77" s="75"/>
      <c r="K77" s="8"/>
    </row>
    <row r="78" spans="1:11" ht="13.5" customHeight="1">
      <c r="A78" s="8"/>
      <c r="B78" s="74"/>
      <c r="C78" s="49"/>
      <c r="D78" s="33"/>
      <c r="E78" s="27"/>
      <c r="F78" s="35"/>
      <c r="G78" s="6"/>
      <c r="H78" s="6"/>
      <c r="I78" s="51"/>
      <c r="J78" s="75"/>
      <c r="K78" s="8"/>
    </row>
    <row r="79" spans="1:11" ht="18.75" customHeight="1">
      <c r="A79" s="8"/>
      <c r="B79" s="74"/>
      <c r="C79" s="49"/>
      <c r="D79" s="33"/>
      <c r="E79" s="27"/>
      <c r="F79" s="402">
        <f>'Inputs - Borehole Pumping'!F54</f>
        <v>0</v>
      </c>
      <c r="G79" s="363"/>
      <c r="H79" s="431" t="str">
        <f>IF(ISNUMBER(FIND(" ",'Inputs - Borehole Pumping'!G56,1)),'Inputs - Borehole Pumping'!F56&amp;" "&amp;LEFT('Inputs - Borehole Pumping'!G56,FIND(" ",'Inputs - Borehole Pumping'!G56,1)-1),'Inputs - Borehole Pumping'!F56&amp;" "&amp;LEFT('Inputs - Borehole Pumping'!G56,3))</f>
        <v xml:space="preserve"> m</v>
      </c>
      <c r="I79" s="51"/>
      <c r="J79" s="75"/>
      <c r="K79" s="8"/>
    </row>
    <row r="80" spans="1:11" ht="13.5" customHeight="1">
      <c r="A80" s="8"/>
      <c r="B80" s="74"/>
      <c r="C80" s="49"/>
      <c r="D80" s="33"/>
      <c r="E80" s="27"/>
      <c r="F80" s="35"/>
      <c r="G80" s="30"/>
      <c r="H80" s="360"/>
      <c r="I80" s="51"/>
      <c r="J80" s="75"/>
      <c r="K80" s="8"/>
    </row>
    <row r="81" spans="1:13" ht="14.25" customHeight="1">
      <c r="A81" s="8"/>
      <c r="B81" s="74"/>
      <c r="C81" s="49"/>
      <c r="D81" s="33"/>
      <c r="E81" s="27"/>
      <c r="F81" s="35"/>
      <c r="G81" s="30"/>
      <c r="H81" s="399"/>
      <c r="I81" s="51"/>
      <c r="J81" s="75"/>
      <c r="K81" s="8"/>
    </row>
    <row r="82" spans="1:13" ht="14.25" customHeight="1">
      <c r="A82" s="8"/>
      <c r="B82" s="74"/>
      <c r="C82" s="49"/>
      <c r="D82" s="33"/>
      <c r="E82" s="27"/>
      <c r="F82" s="35"/>
      <c r="G82" s="30"/>
      <c r="H82" s="356"/>
      <c r="I82" s="51"/>
      <c r="J82" s="75"/>
      <c r="K82" s="8"/>
    </row>
    <row r="83" spans="1:13" ht="19.5" customHeight="1">
      <c r="A83" s="8"/>
      <c r="B83" s="74"/>
      <c r="C83" s="49"/>
      <c r="D83" s="404">
        <f>'Inputs - Borehole Pumping'!F54+'Inputs - Borehole Pumping'!F52</f>
        <v>0</v>
      </c>
      <c r="E83" s="27"/>
      <c r="F83" s="35"/>
      <c r="G83" s="30"/>
      <c r="H83" s="432" t="str">
        <f>IF(ISNUMBER(FIND(" ",'Inputs - Borehole Pumping'!G58,1)),'Inputs - Borehole Pumping'!F58&amp;" "&amp;LEFT('Inputs - Borehole Pumping'!G58,FIND(" ",'Inputs - Borehole Pumping'!G58,1)-1),'Inputs - Borehole Pumping'!F58&amp;" "&amp;LEFT('Inputs - Borehole Pumping'!G58,4))</f>
        <v xml:space="preserve"> m3/h</v>
      </c>
      <c r="I83" s="51"/>
      <c r="J83" s="75"/>
      <c r="K83" s="8"/>
    </row>
    <row r="84" spans="1:13" ht="14.25" customHeight="1">
      <c r="A84" s="8"/>
      <c r="B84" s="74"/>
      <c r="C84" s="49"/>
      <c r="D84" s="35"/>
      <c r="E84" s="27"/>
      <c r="F84" s="35"/>
      <c r="G84" s="30"/>
      <c r="H84" s="362"/>
      <c r="I84" s="51"/>
      <c r="J84" s="75"/>
      <c r="K84" s="8"/>
    </row>
    <row r="85" spans="1:13" ht="12.75" customHeight="1">
      <c r="A85" s="8"/>
      <c r="B85" s="74"/>
      <c r="C85" s="49"/>
      <c r="D85" s="33"/>
      <c r="E85" s="27"/>
      <c r="F85" s="35"/>
      <c r="G85" s="30"/>
      <c r="H85" s="6"/>
      <c r="I85" s="51"/>
      <c r="J85" s="75"/>
      <c r="K85" s="8"/>
    </row>
    <row r="86" spans="1:13" ht="15" customHeight="1">
      <c r="A86" s="8"/>
      <c r="B86" s="74"/>
      <c r="C86" s="49"/>
      <c r="D86" s="33"/>
      <c r="E86" s="27"/>
      <c r="F86" s="35"/>
      <c r="G86" s="30"/>
      <c r="H86" s="6"/>
      <c r="I86" s="51"/>
      <c r="J86" s="75"/>
      <c r="K86" s="8"/>
    </row>
    <row r="87" spans="1:13" ht="14.25" customHeight="1">
      <c r="A87" s="8"/>
      <c r="B87" s="74"/>
      <c r="C87" s="49"/>
      <c r="D87" s="33"/>
      <c r="E87" s="27"/>
      <c r="F87" s="35"/>
      <c r="G87" s="30"/>
      <c r="H87" s="6"/>
      <c r="I87" s="51"/>
      <c r="J87" s="75"/>
      <c r="K87" s="8"/>
    </row>
    <row r="88" spans="1:13" ht="14.25" customHeight="1">
      <c r="A88" s="8"/>
      <c r="B88" s="74"/>
      <c r="C88" s="49"/>
      <c r="D88" s="33"/>
      <c r="E88" s="27"/>
      <c r="F88" s="35"/>
      <c r="G88" s="30"/>
      <c r="H88" s="6"/>
      <c r="I88" s="51"/>
      <c r="J88" s="75"/>
      <c r="K88" s="8"/>
    </row>
    <row r="89" spans="1:13" ht="19.5" customHeight="1">
      <c r="A89" s="8"/>
      <c r="B89" s="74"/>
      <c r="C89" s="49"/>
      <c r="D89" s="403">
        <f>F52</f>
        <v>0</v>
      </c>
      <c r="E89" s="27"/>
      <c r="F89" s="35"/>
      <c r="G89" s="30"/>
      <c r="H89" s="6"/>
      <c r="I89" s="51"/>
      <c r="J89" s="75"/>
      <c r="K89" s="8"/>
    </row>
    <row r="90" spans="1:13" ht="9.75" customHeight="1">
      <c r="A90" s="8"/>
      <c r="B90" s="74"/>
      <c r="C90" s="49"/>
      <c r="D90" s="33"/>
      <c r="E90" s="27"/>
      <c r="F90" s="35"/>
      <c r="G90" s="30"/>
      <c r="H90" s="6"/>
      <c r="I90" s="51"/>
      <c r="J90" s="75"/>
      <c r="K90" s="8"/>
    </row>
    <row r="91" spans="1:13" ht="11.25" customHeight="1">
      <c r="A91" s="8"/>
      <c r="B91" s="74"/>
      <c r="C91" s="49"/>
      <c r="D91" s="33"/>
      <c r="E91" s="27"/>
      <c r="F91" s="35"/>
      <c r="G91" s="400"/>
      <c r="H91" s="6"/>
      <c r="I91" s="51"/>
      <c r="J91" s="75"/>
      <c r="K91" s="8"/>
    </row>
    <row r="92" spans="1:13" ht="20.25" customHeight="1">
      <c r="A92" s="8"/>
      <c r="B92" s="74"/>
      <c r="C92" s="49"/>
      <c r="D92" s="33"/>
      <c r="E92" s="27"/>
      <c r="F92" s="433">
        <f>'Inputs - Borehole Pumping'!F46</f>
        <v>0</v>
      </c>
      <c r="G92" s="30"/>
      <c r="H92" s="6"/>
      <c r="I92" s="51"/>
      <c r="J92" s="75"/>
      <c r="K92" s="8"/>
    </row>
    <row r="93" spans="1:13" ht="14.25" customHeight="1">
      <c r="A93" s="8"/>
      <c r="B93" s="74"/>
      <c r="C93" s="49"/>
      <c r="D93" s="33"/>
      <c r="E93" s="27"/>
      <c r="F93" s="35"/>
      <c r="G93" s="30"/>
      <c r="H93" s="6"/>
      <c r="I93" s="51"/>
      <c r="J93" s="75"/>
      <c r="K93" s="8"/>
    </row>
    <row r="94" spans="1:13" ht="14.25" customHeight="1">
      <c r="A94" s="8"/>
      <c r="B94" s="74"/>
      <c r="C94" s="49"/>
      <c r="D94" s="33"/>
      <c r="E94" s="27"/>
      <c r="F94" s="35"/>
      <c r="G94" s="30"/>
      <c r="H94" s="6"/>
      <c r="I94" s="51"/>
      <c r="J94" s="75"/>
      <c r="K94" s="8"/>
    </row>
    <row r="95" spans="1:13" ht="14.25" customHeight="1">
      <c r="A95" s="8"/>
      <c r="B95" s="74"/>
      <c r="C95" s="49"/>
      <c r="D95" s="33"/>
      <c r="E95" s="27"/>
      <c r="F95" s="35"/>
      <c r="G95" s="30"/>
      <c r="H95" s="6"/>
      <c r="I95" s="51"/>
      <c r="J95" s="75"/>
      <c r="K95" s="8"/>
      <c r="M95" s="332"/>
    </row>
    <row r="96" spans="1:13" ht="14.25" customHeight="1">
      <c r="A96" s="8"/>
      <c r="B96" s="74"/>
      <c r="C96" s="49"/>
      <c r="D96" s="33"/>
      <c r="E96" s="27"/>
      <c r="F96" s="35"/>
      <c r="G96" s="30"/>
      <c r="H96" s="6"/>
      <c r="I96" s="51"/>
      <c r="J96" s="75"/>
      <c r="K96" s="8"/>
      <c r="M96" s="332"/>
    </row>
    <row r="97" spans="1:19" ht="14.25" customHeight="1">
      <c r="A97" s="8"/>
      <c r="B97" s="74"/>
      <c r="C97" s="49"/>
      <c r="D97" s="33"/>
      <c r="E97" s="27"/>
      <c r="F97" s="35"/>
      <c r="G97" s="30"/>
      <c r="H97" s="6"/>
      <c r="I97" s="51"/>
      <c r="J97" s="75"/>
      <c r="K97" s="8"/>
      <c r="M97" s="332"/>
    </row>
    <row r="98" spans="1:19" ht="14.25" customHeight="1">
      <c r="A98" s="8"/>
      <c r="B98" s="74"/>
      <c r="C98" s="49"/>
      <c r="D98" s="33"/>
      <c r="E98" s="27"/>
      <c r="F98" s="35"/>
      <c r="G98" s="30"/>
      <c r="H98" s="6"/>
      <c r="I98" s="51"/>
      <c r="J98" s="75"/>
      <c r="K98" s="8"/>
      <c r="M98" s="332"/>
    </row>
    <row r="99" spans="1:19" ht="14.25" customHeight="1">
      <c r="A99" s="8"/>
      <c r="B99" s="74"/>
      <c r="C99" s="49"/>
      <c r="D99" s="33"/>
      <c r="E99" s="27"/>
      <c r="F99" s="35"/>
      <c r="G99" s="30"/>
      <c r="H99" s="6"/>
      <c r="I99" s="51"/>
      <c r="J99" s="75"/>
      <c r="K99" s="8"/>
      <c r="M99" s="332"/>
    </row>
    <row r="100" spans="1:19" ht="14.25" customHeight="1">
      <c r="A100" s="8"/>
      <c r="B100" s="74"/>
      <c r="C100" s="49"/>
      <c r="D100" s="33"/>
      <c r="E100" s="27"/>
      <c r="F100" s="35"/>
      <c r="G100" s="30"/>
      <c r="H100" s="6"/>
      <c r="I100" s="51"/>
      <c r="J100" s="75"/>
      <c r="K100" s="8"/>
    </row>
    <row r="101" spans="1:19" ht="14.25" customHeight="1">
      <c r="A101" s="8"/>
      <c r="B101" s="74"/>
      <c r="C101" s="49"/>
      <c r="D101" s="33"/>
      <c r="E101" s="27"/>
      <c r="F101" s="35"/>
      <c r="G101" s="30"/>
      <c r="H101" s="6"/>
      <c r="I101" s="51"/>
      <c r="J101" s="75"/>
      <c r="K101" s="8"/>
    </row>
    <row r="102" spans="1:19" ht="14.25" customHeight="1">
      <c r="A102" s="8"/>
      <c r="B102" s="74"/>
      <c r="C102" s="49"/>
      <c r="D102" s="33"/>
      <c r="E102" s="27"/>
      <c r="F102" s="35"/>
      <c r="G102" s="30"/>
      <c r="H102" s="6"/>
      <c r="I102" s="51"/>
      <c r="J102" s="75"/>
      <c r="K102" s="8"/>
    </row>
    <row r="103" spans="1:19" ht="33.75" customHeight="1">
      <c r="A103" s="8"/>
      <c r="B103" s="74"/>
      <c r="C103" s="56"/>
      <c r="D103" s="464"/>
      <c r="E103" s="464"/>
      <c r="F103" s="464"/>
      <c r="G103" s="464"/>
      <c r="H103" s="464"/>
      <c r="I103" s="66"/>
      <c r="J103" s="75"/>
      <c r="K103" s="8"/>
    </row>
    <row r="104" spans="1:19">
      <c r="A104" s="8"/>
      <c r="B104" s="74"/>
      <c r="C104" s="7"/>
      <c r="D104" s="8"/>
      <c r="E104" s="13"/>
      <c r="F104" s="8"/>
      <c r="G104" s="17"/>
      <c r="H104" s="8"/>
      <c r="I104" s="8"/>
      <c r="J104" s="75"/>
      <c r="K104" s="8"/>
    </row>
    <row r="105" spans="1:19" ht="14.25" customHeight="1">
      <c r="A105" s="8"/>
      <c r="B105" s="74"/>
      <c r="C105" s="119"/>
      <c r="D105" s="120" t="s">
        <v>95</v>
      </c>
      <c r="E105" s="121"/>
      <c r="F105" s="122"/>
      <c r="G105" s="122"/>
      <c r="H105" s="123"/>
      <c r="I105" s="124"/>
      <c r="J105" s="75"/>
      <c r="K105" s="8"/>
    </row>
    <row r="106" spans="1:19" ht="14.25" customHeight="1">
      <c r="A106" s="8"/>
      <c r="B106" s="74"/>
      <c r="C106" s="47"/>
      <c r="D106" s="463" t="s">
        <v>104</v>
      </c>
      <c r="E106" s="463"/>
      <c r="F106" s="463"/>
      <c r="G106" s="463"/>
      <c r="H106" s="463"/>
      <c r="I106" s="48"/>
      <c r="J106" s="75"/>
      <c r="K106" s="8"/>
    </row>
    <row r="107" spans="1:19">
      <c r="A107" s="8"/>
      <c r="B107" s="74"/>
      <c r="C107" s="49"/>
      <c r="D107" s="1" t="s">
        <v>40</v>
      </c>
      <c r="E107" s="13" t="s">
        <v>96</v>
      </c>
      <c r="F107" s="351"/>
      <c r="G107" s="30" t="s">
        <v>8</v>
      </c>
      <c r="H107" s="6"/>
      <c r="I107" s="51"/>
      <c r="J107" s="75"/>
      <c r="K107" s="8"/>
    </row>
    <row r="108" spans="1:19" s="109" customFormat="1" ht="16.5" customHeight="1">
      <c r="A108" s="117"/>
      <c r="B108" s="118"/>
      <c r="C108" s="49"/>
      <c r="D108" s="14"/>
      <c r="E108" s="96"/>
      <c r="F108" s="37"/>
      <c r="G108" s="30"/>
      <c r="H108" s="30"/>
      <c r="I108" s="50"/>
      <c r="J108" s="125"/>
      <c r="K108" s="117"/>
    </row>
    <row r="109" spans="1:19" ht="15.75" customHeight="1">
      <c r="A109" s="8"/>
      <c r="B109" s="74"/>
      <c r="C109" s="49"/>
      <c r="D109" s="1" t="s">
        <v>26</v>
      </c>
      <c r="E109" s="13" t="s">
        <v>96</v>
      </c>
      <c r="F109" s="275"/>
      <c r="G109" s="30" t="s">
        <v>27</v>
      </c>
      <c r="H109" s="152" t="s">
        <v>68</v>
      </c>
      <c r="I109" s="51"/>
      <c r="J109" s="76"/>
      <c r="K109" s="8"/>
      <c r="L109" s="105"/>
      <c r="M109" s="105"/>
      <c r="N109" s="105"/>
      <c r="O109" s="105"/>
      <c r="P109" s="105"/>
      <c r="Q109" s="105"/>
      <c r="R109" s="105"/>
      <c r="S109" s="105"/>
    </row>
    <row r="110" spans="1:19">
      <c r="A110" s="8"/>
      <c r="B110" s="74"/>
      <c r="C110" s="49"/>
      <c r="D110" s="14"/>
      <c r="E110" s="96"/>
      <c r="F110" s="37"/>
      <c r="G110" s="30"/>
      <c r="H110" s="138"/>
      <c r="I110" s="50"/>
      <c r="J110" s="75"/>
      <c r="K110" s="8"/>
    </row>
    <row r="111" spans="1:19" ht="14.5">
      <c r="A111" s="8"/>
      <c r="B111" s="74"/>
      <c r="C111" s="49"/>
      <c r="D111" s="1" t="s">
        <v>13</v>
      </c>
      <c r="E111" s="13" t="s">
        <v>96</v>
      </c>
      <c r="F111" s="276">
        <v>1000</v>
      </c>
      <c r="G111" s="30" t="s">
        <v>38</v>
      </c>
      <c r="H111" s="152" t="s">
        <v>105</v>
      </c>
      <c r="I111" s="51"/>
      <c r="J111" s="76"/>
      <c r="K111" s="8"/>
      <c r="L111" s="105"/>
      <c r="N111" s="105"/>
      <c r="O111" s="105"/>
      <c r="P111" s="105"/>
      <c r="Q111" s="105"/>
      <c r="R111" s="105"/>
      <c r="S111" s="105"/>
    </row>
    <row r="112" spans="1:19" ht="15" customHeight="1">
      <c r="A112" s="8"/>
      <c r="B112" s="74"/>
      <c r="C112" s="49"/>
      <c r="D112" s="14"/>
      <c r="E112" s="96"/>
      <c r="F112" s="37"/>
      <c r="G112" s="30"/>
      <c r="H112" s="138"/>
      <c r="I112" s="50"/>
      <c r="J112" s="75"/>
      <c r="K112" s="8"/>
    </row>
    <row r="113" spans="1:19">
      <c r="A113" s="8"/>
      <c r="B113" s="74"/>
      <c r="C113" s="49"/>
      <c r="D113" s="327" t="s">
        <v>191</v>
      </c>
      <c r="E113" s="13" t="s">
        <v>96</v>
      </c>
      <c r="F113" s="277"/>
      <c r="G113" s="30" t="s">
        <v>72</v>
      </c>
      <c r="H113" s="152"/>
      <c r="I113" s="51"/>
      <c r="J113" s="76"/>
      <c r="K113" s="8"/>
      <c r="L113" s="105"/>
      <c r="M113" s="105"/>
      <c r="N113" s="105"/>
      <c r="O113" s="105"/>
      <c r="P113" s="105"/>
      <c r="Q113" s="105"/>
      <c r="R113" s="105"/>
      <c r="S113" s="105"/>
    </row>
    <row r="114" spans="1:19" ht="15.75" customHeight="1">
      <c r="A114" s="8"/>
      <c r="B114" s="74"/>
      <c r="C114" s="49"/>
      <c r="D114" s="14"/>
      <c r="E114" s="96"/>
      <c r="F114" s="37"/>
      <c r="G114" s="30"/>
      <c r="H114" s="138"/>
      <c r="I114" s="50"/>
      <c r="J114" s="75"/>
      <c r="K114" s="8"/>
    </row>
    <row r="115" spans="1:19">
      <c r="A115" s="8"/>
      <c r="B115" s="74"/>
      <c r="C115" s="49"/>
      <c r="D115" s="1" t="s">
        <v>141</v>
      </c>
      <c r="E115" s="13" t="s">
        <v>96</v>
      </c>
      <c r="F115" s="276"/>
      <c r="G115" s="30" t="s">
        <v>140</v>
      </c>
      <c r="H115" s="152" t="s">
        <v>82</v>
      </c>
      <c r="I115" s="51"/>
      <c r="J115" s="76"/>
      <c r="K115" s="8"/>
      <c r="L115" s="105"/>
      <c r="M115" s="105"/>
      <c r="N115" s="105"/>
      <c r="O115" s="105"/>
      <c r="P115" s="105"/>
      <c r="Q115" s="105"/>
      <c r="R115" s="105"/>
      <c r="S115" s="105"/>
    </row>
    <row r="116" spans="1:19">
      <c r="A116" s="8"/>
      <c r="B116" s="74"/>
      <c r="C116" s="56"/>
      <c r="D116" s="57"/>
      <c r="E116" s="57"/>
      <c r="F116" s="57"/>
      <c r="G116" s="57"/>
      <c r="H116" s="155"/>
      <c r="I116" s="66"/>
      <c r="J116" s="75"/>
      <c r="K116" s="8"/>
    </row>
    <row r="117" spans="1:19" ht="4.5" customHeight="1">
      <c r="A117" s="8"/>
      <c r="B117" s="74"/>
      <c r="C117" s="7"/>
      <c r="D117" s="8"/>
      <c r="E117" s="13"/>
      <c r="F117" s="8"/>
      <c r="G117" s="16"/>
      <c r="H117" s="8"/>
      <c r="I117" s="8"/>
      <c r="J117" s="76"/>
      <c r="K117" s="8"/>
      <c r="L117" s="105"/>
      <c r="M117" s="105"/>
      <c r="N117" s="105"/>
      <c r="O117" s="105"/>
      <c r="P117" s="105"/>
      <c r="Q117" s="105"/>
      <c r="R117" s="105"/>
      <c r="S117" s="105"/>
    </row>
    <row r="118" spans="1:19" ht="12.75" customHeight="1">
      <c r="A118" s="8"/>
      <c r="B118" s="74"/>
      <c r="C118" s="119"/>
      <c r="D118" s="120" t="s">
        <v>92</v>
      </c>
      <c r="E118" s="121"/>
      <c r="F118" s="122"/>
      <c r="G118" s="122"/>
      <c r="H118" s="123"/>
      <c r="I118" s="124"/>
      <c r="J118" s="75"/>
      <c r="K118" s="8"/>
    </row>
    <row r="119" spans="1:19">
      <c r="A119" s="8"/>
      <c r="B119" s="74"/>
      <c r="C119" s="147"/>
      <c r="D119" s="460" t="s">
        <v>103</v>
      </c>
      <c r="E119" s="460"/>
      <c r="F119" s="460"/>
      <c r="G119" s="460"/>
      <c r="H119" s="460"/>
      <c r="I119" s="148"/>
      <c r="J119" s="75"/>
      <c r="K119" s="8"/>
    </row>
    <row r="120" spans="1:19" ht="26">
      <c r="A120" s="8"/>
      <c r="B120" s="74"/>
      <c r="C120" s="49"/>
      <c r="D120" s="1" t="s">
        <v>24</v>
      </c>
      <c r="E120" s="13" t="s">
        <v>96</v>
      </c>
      <c r="F120" s="272"/>
      <c r="G120" s="30"/>
      <c r="H120" s="156" t="s">
        <v>93</v>
      </c>
      <c r="I120" s="51"/>
      <c r="J120" s="75"/>
      <c r="K120" s="8"/>
    </row>
    <row r="121" spans="1:19">
      <c r="A121" s="8"/>
      <c r="B121" s="74"/>
      <c r="C121" s="49"/>
      <c r="D121" s="14"/>
      <c r="E121" s="96"/>
      <c r="F121" s="37"/>
      <c r="G121" s="30"/>
      <c r="H121" s="138"/>
      <c r="I121" s="51"/>
      <c r="J121" s="75"/>
      <c r="K121" s="8"/>
    </row>
    <row r="122" spans="1:19" s="109" customFormat="1" ht="25.5" customHeight="1">
      <c r="A122" s="117"/>
      <c r="B122" s="118"/>
      <c r="C122" s="49"/>
      <c r="D122" s="442" t="s">
        <v>326</v>
      </c>
      <c r="E122" s="443" t="s">
        <v>96</v>
      </c>
      <c r="F122" s="445"/>
      <c r="G122" s="30"/>
      <c r="H122" s="444" t="s">
        <v>327</v>
      </c>
      <c r="I122" s="50"/>
      <c r="J122" s="125"/>
      <c r="K122" s="117"/>
    </row>
    <row r="123" spans="1:19" s="109" customFormat="1" ht="16.5" customHeight="1">
      <c r="A123" s="117"/>
      <c r="B123" s="118"/>
      <c r="C123" s="49"/>
      <c r="D123" s="14"/>
      <c r="E123" s="96"/>
      <c r="F123" s="37"/>
      <c r="G123" s="30"/>
      <c r="H123" s="138"/>
      <c r="I123" s="50"/>
      <c r="J123" s="125"/>
      <c r="K123" s="117"/>
    </row>
    <row r="124" spans="1:19" s="151" customFormat="1" ht="29.25" customHeight="1">
      <c r="A124" s="145"/>
      <c r="B124" s="146"/>
      <c r="C124" s="49"/>
      <c r="D124" s="1" t="s">
        <v>44</v>
      </c>
      <c r="E124" s="13" t="s">
        <v>96</v>
      </c>
      <c r="F124" s="278"/>
      <c r="G124" s="30"/>
      <c r="H124" s="156" t="s">
        <v>94</v>
      </c>
      <c r="I124" s="51"/>
      <c r="J124" s="149"/>
      <c r="K124" s="145"/>
      <c r="L124" s="150"/>
      <c r="M124" s="150"/>
      <c r="N124" s="150"/>
      <c r="O124" s="150"/>
      <c r="P124" s="150"/>
      <c r="Q124" s="150"/>
      <c r="R124" s="150"/>
      <c r="S124" s="150"/>
    </row>
    <row r="125" spans="1:19">
      <c r="A125" s="8"/>
      <c r="B125" s="74"/>
      <c r="C125" s="49"/>
      <c r="D125" s="14"/>
      <c r="E125" s="96"/>
      <c r="F125" s="37"/>
      <c r="G125" s="30"/>
      <c r="H125" s="138"/>
      <c r="I125" s="50"/>
      <c r="J125" s="75"/>
      <c r="K125" s="8"/>
    </row>
    <row r="126" spans="1:19" ht="52">
      <c r="A126" s="8"/>
      <c r="B126" s="74"/>
      <c r="C126" s="49"/>
      <c r="D126" s="327" t="s">
        <v>189</v>
      </c>
      <c r="E126" s="13" t="s">
        <v>96</v>
      </c>
      <c r="F126" s="279"/>
      <c r="G126" s="274" t="s">
        <v>138</v>
      </c>
      <c r="H126" s="156" t="s">
        <v>137</v>
      </c>
      <c r="I126" s="88"/>
      <c r="J126" s="76"/>
      <c r="K126" s="8"/>
      <c r="L126" s="105"/>
      <c r="M126" s="105"/>
      <c r="N126" s="105"/>
      <c r="O126" s="105"/>
      <c r="P126" s="105"/>
      <c r="Q126" s="105"/>
      <c r="R126" s="105"/>
      <c r="S126" s="105"/>
    </row>
    <row r="127" spans="1:19">
      <c r="A127" s="8"/>
      <c r="B127" s="74"/>
      <c r="C127" s="56"/>
      <c r="D127" s="57"/>
      <c r="E127" s="99"/>
      <c r="F127" s="57"/>
      <c r="G127" s="64"/>
      <c r="H127" s="90"/>
      <c r="I127" s="91"/>
      <c r="J127" s="75"/>
      <c r="K127" s="8"/>
    </row>
    <row r="128" spans="1:19" ht="4.5" customHeight="1">
      <c r="A128" s="8"/>
      <c r="B128" s="74"/>
      <c r="C128" s="8"/>
      <c r="D128" s="8"/>
      <c r="E128" s="13"/>
      <c r="F128" s="334"/>
      <c r="G128" s="30"/>
      <c r="H128" s="335"/>
      <c r="I128" s="335"/>
      <c r="J128" s="76"/>
      <c r="K128" s="8"/>
      <c r="L128" s="105"/>
      <c r="M128" s="105"/>
      <c r="N128" s="105"/>
      <c r="O128" s="105"/>
      <c r="P128" s="105"/>
      <c r="Q128" s="105"/>
      <c r="R128" s="105"/>
      <c r="S128" s="105"/>
    </row>
    <row r="129" spans="1:11" ht="4.5" customHeight="1" thickBot="1">
      <c r="A129" s="8"/>
      <c r="B129" s="80"/>
      <c r="C129" s="81"/>
      <c r="D129" s="82"/>
      <c r="E129" s="101"/>
      <c r="F129" s="83"/>
      <c r="G129" s="84"/>
      <c r="H129" s="82"/>
      <c r="I129" s="82"/>
      <c r="J129" s="85"/>
      <c r="K129" s="8"/>
    </row>
    <row r="130" spans="1:11" ht="4.5" customHeight="1">
      <c r="A130" s="8"/>
      <c r="B130" s="7"/>
      <c r="C130" s="7"/>
      <c r="D130" s="8"/>
      <c r="E130" s="13"/>
      <c r="F130" s="336"/>
      <c r="G130" s="16"/>
      <c r="H130" s="8"/>
      <c r="I130" s="8"/>
      <c r="J130" s="8"/>
      <c r="K130" s="8"/>
    </row>
    <row r="131" spans="1:11" ht="73.5" customHeight="1">
      <c r="A131" s="8"/>
      <c r="B131" s="265" t="s">
        <v>228</v>
      </c>
      <c r="C131" s="138"/>
      <c r="D131" s="138"/>
      <c r="E131" s="138"/>
      <c r="F131" s="138"/>
      <c r="G131" s="138"/>
      <c r="H131" s="138"/>
      <c r="I131" s="138"/>
      <c r="J131" s="138"/>
      <c r="K131" s="8"/>
    </row>
    <row r="132" spans="1:11">
      <c r="G132" s="103"/>
    </row>
    <row r="133" spans="1:11">
      <c r="G133" s="103"/>
    </row>
    <row r="134" spans="1:11">
      <c r="G134" s="103"/>
    </row>
    <row r="135" spans="1:11" ht="14.5">
      <c r="G135" s="103"/>
      <c r="H135" s="109"/>
      <c r="I135" s="109"/>
    </row>
    <row r="136" spans="1:11" ht="14.5">
      <c r="G136" s="103"/>
      <c r="H136" s="109"/>
      <c r="I136" s="109"/>
    </row>
    <row r="137" spans="1:11" ht="14.5">
      <c r="G137" s="103"/>
      <c r="H137" s="109"/>
      <c r="I137" s="109"/>
    </row>
    <row r="138" spans="1:11" ht="14.5">
      <c r="G138" s="103"/>
      <c r="H138" s="109"/>
      <c r="I138" s="109"/>
    </row>
    <row r="139" spans="1:11" ht="14.5">
      <c r="G139" s="103"/>
      <c r="H139" s="109"/>
      <c r="I139" s="109"/>
    </row>
    <row r="140" spans="1:11" ht="14.5">
      <c r="G140" s="103"/>
      <c r="H140" s="109"/>
      <c r="I140" s="109"/>
    </row>
    <row r="141" spans="1:11" ht="14.5">
      <c r="G141" s="103"/>
      <c r="H141" s="109"/>
      <c r="I141" s="109"/>
    </row>
    <row r="142" spans="1:11" ht="14.5">
      <c r="G142" s="103"/>
      <c r="H142" s="109"/>
      <c r="I142" s="109"/>
    </row>
    <row r="143" spans="1:11" ht="14.5">
      <c r="G143" s="103"/>
      <c r="H143" s="109"/>
      <c r="I143" s="109"/>
    </row>
    <row r="144" spans="1:11" ht="14.5">
      <c r="G144" s="103"/>
      <c r="H144" s="109"/>
      <c r="I144" s="109"/>
    </row>
    <row r="145" spans="7:9" ht="14.5">
      <c r="G145" s="103"/>
      <c r="H145" s="109"/>
      <c r="I145" s="109"/>
    </row>
    <row r="146" spans="7:9" ht="14.5">
      <c r="G146" s="103"/>
      <c r="H146" s="109"/>
      <c r="I146" s="109"/>
    </row>
    <row r="147" spans="7:9" ht="14.5">
      <c r="G147" s="103"/>
      <c r="H147" s="109"/>
      <c r="I147" s="109"/>
    </row>
    <row r="148" spans="7:9" ht="14.5">
      <c r="G148" s="103"/>
      <c r="H148" s="109"/>
      <c r="I148" s="109"/>
    </row>
    <row r="149" spans="7:9" ht="14.5">
      <c r="G149" s="103"/>
      <c r="H149" s="109"/>
      <c r="I149" s="109"/>
    </row>
    <row r="150" spans="7:9" ht="14.5">
      <c r="G150" s="103"/>
      <c r="H150" s="109"/>
      <c r="I150" s="109"/>
    </row>
    <row r="151" spans="7:9" ht="14.5">
      <c r="G151" s="103"/>
      <c r="H151" s="109"/>
      <c r="I151" s="109"/>
    </row>
    <row r="152" spans="7:9" ht="14.5">
      <c r="G152" s="103"/>
      <c r="H152" s="109"/>
      <c r="I152" s="109"/>
    </row>
    <row r="153" spans="7:9" ht="14.5">
      <c r="G153" s="103"/>
      <c r="H153" s="109"/>
      <c r="I153" s="109"/>
    </row>
    <row r="154" spans="7:9" ht="14.5">
      <c r="G154" s="103"/>
      <c r="H154" s="109"/>
      <c r="I154" s="109"/>
    </row>
    <row r="155" spans="7:9" ht="14.5">
      <c r="G155" s="103"/>
      <c r="H155" s="109"/>
      <c r="I155" s="109"/>
    </row>
    <row r="156" spans="7:9" ht="14.5">
      <c r="G156" s="103"/>
      <c r="H156" s="109"/>
      <c r="I156" s="109"/>
    </row>
    <row r="157" spans="7:9" ht="14.5">
      <c r="G157" s="103"/>
      <c r="H157" s="109"/>
      <c r="I157" s="109"/>
    </row>
    <row r="158" spans="7:9" ht="14.5">
      <c r="G158" s="103"/>
      <c r="H158" s="109"/>
      <c r="I158" s="109"/>
    </row>
    <row r="159" spans="7:9" ht="14.5">
      <c r="G159" s="103"/>
      <c r="H159" s="110"/>
      <c r="I159" s="110"/>
    </row>
    <row r="160" spans="7:9" ht="14.5">
      <c r="G160" s="103"/>
      <c r="H160" s="109"/>
      <c r="I160" s="109"/>
    </row>
    <row r="161" spans="7:9" ht="14.5">
      <c r="G161" s="103"/>
      <c r="H161" s="109"/>
      <c r="I161" s="109"/>
    </row>
    <row r="162" spans="7:9" ht="14.5">
      <c r="G162" s="103"/>
      <c r="H162" s="109"/>
      <c r="I162" s="109"/>
    </row>
    <row r="163" spans="7:9" ht="14.5">
      <c r="G163" s="103"/>
      <c r="H163" s="109"/>
      <c r="I163" s="109"/>
    </row>
    <row r="164" spans="7:9" ht="14.5">
      <c r="G164" s="103"/>
      <c r="H164" s="109"/>
      <c r="I164" s="109"/>
    </row>
    <row r="165" spans="7:9" ht="14.5">
      <c r="H165" s="109"/>
      <c r="I165" s="109"/>
    </row>
  </sheetData>
  <sheetProtection sheet="1" objects="1" scenarios="1"/>
  <mergeCells count="7">
    <mergeCell ref="D119:H119"/>
    <mergeCell ref="F6:G6"/>
    <mergeCell ref="F8:G8"/>
    <mergeCell ref="D15:H15"/>
    <mergeCell ref="D45:H45"/>
    <mergeCell ref="D103:H103"/>
    <mergeCell ref="D106:H106"/>
  </mergeCells>
  <conditionalFormatting sqref="D19:H29">
    <cfRule type="expression" dxfId="6" priority="1" stopIfTrue="1">
      <formula>$F$16&gt;0</formula>
    </cfRule>
  </conditionalFormatting>
  <conditionalFormatting sqref="G79">
    <cfRule type="expression" dxfId="5" priority="2" stopIfTrue="1">
      <formula>#REF!="m of head"</formula>
    </cfRule>
  </conditionalFormatting>
  <dataValidations count="3">
    <dataValidation type="list" allowBlank="1" showInputMessage="1" showErrorMessage="1" sqref="G126" xr:uid="{00000000-0002-0000-0400-000000000000}">
      <formula1>Friction</formula1>
    </dataValidation>
    <dataValidation type="list" allowBlank="1" showInputMessage="1" showErrorMessage="1" sqref="G58" xr:uid="{00000000-0002-0000-0400-000001000000}">
      <formula1>flow_rate</formula1>
    </dataValidation>
    <dataValidation type="list" allowBlank="1" showInputMessage="1" showErrorMessage="1" sqref="G56" xr:uid="{00000000-0002-0000-0400-000002000000}">
      <formula1>Pressure</formula1>
    </dataValidation>
  </dataValidations>
  <hyperlinks>
    <hyperlink ref="H120" r:id="rId1" display="Full Load Efficiency from EuroDEEM free software for motor of your size (or use the benchmark motor)" xr:uid="{00000000-0004-0000-0400-000000000000}"/>
    <hyperlink ref="H124" r:id="rId2" xr:uid="{00000000-0004-0000-0400-000001000000}"/>
    <hyperlink ref="H126" r:id="rId3" display="For an 18&quot; concrete pipe losses range from 0.4 - 1m hd per km for flow in the region of 250-450 m3/hour.  Online pressure calculator available from Pressure-Drop.com (click here), use online version and not the downloadable version." xr:uid="{00000000-0004-0000-0400-000002000000}"/>
    <hyperlink ref="H48" r:id="rId4" display="Calculate or estimate the friction losses per meter of piping.  Online pressure calculator available from Pressure-Drop.com (click here &amp; then click Pressure Drop Online Calculator)." xr:uid="{00000000-0004-0000-0400-000003000000}"/>
  </hyperlinks>
  <printOptions horizontalCentered="1"/>
  <pageMargins left="0.70866141732283472" right="0.70866141732283472" top="0.74803149606299213" bottom="0.74803149606299213" header="0.31496062992125984" footer="0.31496062992125984"/>
  <pageSetup paperSize="9" scale="43" orientation="portrait" r:id="rId5"/>
  <colBreaks count="1" manualBreakCount="1">
    <brk id="11" max="1048575" man="1"/>
  </colBreaks>
  <drawing r:id="rId6"/>
  <legacyDrawing r:id="rId7"/>
  <oleObjects>
    <mc:AlternateContent xmlns:mc="http://schemas.openxmlformats.org/markup-compatibility/2006">
      <mc:Choice Requires="x14">
        <oleObject progId="Visio.Drawing.11" shapeId="3091" r:id="rId8">
          <objectPr defaultSize="0" autoPict="0" r:id="rId9">
            <anchor moveWithCells="1">
              <from>
                <xdr:col>2</xdr:col>
                <xdr:colOff>6350</xdr:colOff>
                <xdr:row>69</xdr:row>
                <xdr:rowOff>25400</xdr:rowOff>
              </from>
              <to>
                <xdr:col>8</xdr:col>
                <xdr:colOff>25400</xdr:colOff>
                <xdr:row>103</xdr:row>
                <xdr:rowOff>0</xdr:rowOff>
              </to>
            </anchor>
          </objectPr>
        </oleObject>
      </mc:Choice>
      <mc:Fallback>
        <oleObject progId="Visio.Drawing.11" shapeId="3091" r:id="rId8"/>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8080"/>
    <pageSetUpPr fitToPage="1"/>
  </sheetPr>
  <dimension ref="A1:R67"/>
  <sheetViews>
    <sheetView zoomScaleNormal="100" zoomScaleSheetLayoutView="100" workbookViewId="0">
      <selection activeCell="E9" sqref="E9:F9"/>
    </sheetView>
  </sheetViews>
  <sheetFormatPr defaultColWidth="29.54296875" defaultRowHeight="13"/>
  <cols>
    <col min="1" max="1" width="1.1796875" style="132" customWidth="1"/>
    <col min="2" max="2" width="0.81640625" style="134" customWidth="1"/>
    <col min="3" max="3" width="23" style="132" customWidth="1"/>
    <col min="4" max="4" width="1.1796875" style="132" customWidth="1"/>
    <col min="5" max="5" width="13.1796875" style="132" customWidth="1"/>
    <col min="6" max="6" width="14.1796875" style="132" customWidth="1"/>
    <col min="7" max="7" width="1.54296875" style="132" customWidth="1"/>
    <col min="8" max="8" width="19.1796875" style="132" customWidth="1"/>
    <col min="9" max="9" width="18.7265625" style="132" customWidth="1"/>
    <col min="10" max="10" width="1.26953125" style="132" customWidth="1"/>
    <col min="11" max="11" width="1.7265625" style="132" customWidth="1"/>
    <col min="12" max="12" width="29.54296875" style="132" hidden="1" customWidth="1"/>
    <col min="13" max="16384" width="29.54296875" style="132"/>
  </cols>
  <sheetData>
    <row r="1" spans="1:12" s="103" customFormat="1" ht="9" customHeight="1" thickBot="1">
      <c r="A1" s="8"/>
      <c r="B1" s="7"/>
      <c r="C1" s="7"/>
      <c r="D1" s="7"/>
      <c r="E1" s="8"/>
      <c r="F1" s="13"/>
      <c r="G1" s="13"/>
      <c r="H1" s="8"/>
      <c r="I1" s="9"/>
      <c r="J1" s="8"/>
      <c r="K1" s="3"/>
      <c r="L1" s="8"/>
    </row>
    <row r="2" spans="1:12" s="103" customFormat="1" ht="4.5" customHeight="1">
      <c r="A2" s="8"/>
      <c r="B2" s="67"/>
      <c r="C2" s="68"/>
      <c r="D2" s="68"/>
      <c r="E2" s="69"/>
      <c r="F2" s="92"/>
      <c r="G2" s="92"/>
      <c r="H2" s="70"/>
      <c r="I2" s="70"/>
      <c r="J2" s="71"/>
      <c r="K2" s="3"/>
      <c r="L2" s="8"/>
    </row>
    <row r="3" spans="1:12" s="104" customFormat="1" ht="23.5">
      <c r="A3" s="1"/>
      <c r="B3" s="72"/>
      <c r="C3" s="113" t="s">
        <v>97</v>
      </c>
      <c r="D3" s="113"/>
      <c r="E3" s="1"/>
      <c r="F3" s="93"/>
      <c r="G3" s="93"/>
      <c r="H3" s="1"/>
      <c r="I3" s="13"/>
      <c r="J3" s="73"/>
      <c r="K3" s="3"/>
      <c r="L3" s="1"/>
    </row>
    <row r="4" spans="1:12" s="104" customFormat="1" ht="21" customHeight="1">
      <c r="A4" s="1"/>
      <c r="B4" s="72"/>
      <c r="C4" s="113" t="s">
        <v>107</v>
      </c>
      <c r="D4" s="113"/>
      <c r="E4" s="1"/>
      <c r="F4" s="15"/>
      <c r="G4" s="15"/>
      <c r="H4" s="15"/>
      <c r="I4" s="15"/>
      <c r="J4" s="73"/>
      <c r="K4" s="3"/>
      <c r="L4" s="1"/>
    </row>
    <row r="5" spans="1:12" s="104" customFormat="1" ht="12" customHeight="1">
      <c r="A5" s="1"/>
      <c r="B5" s="72"/>
      <c r="C5" s="113"/>
      <c r="D5" s="113"/>
      <c r="E5" s="1"/>
      <c r="F5" s="15"/>
      <c r="G5" s="15"/>
      <c r="H5" s="15"/>
      <c r="I5" s="15"/>
      <c r="J5" s="73"/>
      <c r="K5" s="3"/>
      <c r="L5" s="1"/>
    </row>
    <row r="6" spans="1:12" s="104" customFormat="1" ht="12" customHeight="1">
      <c r="A6" s="1"/>
      <c r="B6" s="72"/>
      <c r="C6" s="113"/>
      <c r="D6" s="113"/>
      <c r="E6" s="1"/>
      <c r="F6" s="15"/>
      <c r="G6" s="15"/>
      <c r="H6" s="15"/>
      <c r="I6" s="15"/>
      <c r="J6" s="73"/>
      <c r="K6" s="3"/>
      <c r="L6" s="1"/>
    </row>
    <row r="7" spans="1:12" s="104" customFormat="1" ht="12" customHeight="1">
      <c r="A7" s="1"/>
      <c r="B7" s="72"/>
      <c r="C7" s="381" t="s">
        <v>275</v>
      </c>
      <c r="D7" s="120"/>
      <c r="E7" s="120"/>
      <c r="F7" s="165"/>
      <c r="G7" s="201"/>
      <c r="H7" s="15"/>
      <c r="I7" s="15"/>
      <c r="J7" s="73"/>
      <c r="K7" s="3"/>
      <c r="L7" s="1"/>
    </row>
    <row r="8" spans="1:12" s="104" customFormat="1" ht="4.5" customHeight="1">
      <c r="A8" s="1"/>
      <c r="B8" s="72"/>
      <c r="C8" s="166"/>
      <c r="D8" s="163"/>
      <c r="E8" s="256"/>
      <c r="F8" s="382"/>
      <c r="G8" s="383"/>
      <c r="H8" s="15"/>
      <c r="I8" s="15"/>
      <c r="J8" s="73"/>
      <c r="K8" s="3"/>
      <c r="L8" s="1"/>
    </row>
    <row r="9" spans="1:12" s="104" customFormat="1" ht="26">
      <c r="A9" s="1"/>
      <c r="B9" s="72"/>
      <c r="C9" s="427" t="s">
        <v>274</v>
      </c>
      <c r="D9" s="14" t="s">
        <v>96</v>
      </c>
      <c r="E9" s="466" t="s">
        <v>276</v>
      </c>
      <c r="F9" s="466"/>
      <c r="G9" s="259"/>
      <c r="H9" s="15"/>
      <c r="I9" s="15"/>
      <c r="J9" s="73"/>
      <c r="K9" s="3"/>
      <c r="L9" s="1"/>
    </row>
    <row r="10" spans="1:12" s="104" customFormat="1" ht="4.5" customHeight="1">
      <c r="A10" s="1"/>
      <c r="B10" s="72"/>
      <c r="C10" s="171"/>
      <c r="D10" s="251"/>
      <c r="E10" s="89"/>
      <c r="F10" s="89"/>
      <c r="G10" s="172"/>
      <c r="H10" s="15"/>
      <c r="I10" s="15"/>
      <c r="J10" s="73"/>
      <c r="K10" s="3"/>
      <c r="L10" s="1"/>
    </row>
    <row r="11" spans="1:12" s="104" customFormat="1" ht="12" customHeight="1">
      <c r="A11" s="1"/>
      <c r="B11" s="72"/>
      <c r="C11" s="379"/>
      <c r="D11" s="379"/>
      <c r="E11" s="380"/>
      <c r="F11" s="380"/>
      <c r="G11" s="334"/>
      <c r="H11" s="15"/>
      <c r="I11" s="15"/>
      <c r="J11" s="73"/>
      <c r="K11" s="3"/>
      <c r="L11" s="1"/>
    </row>
    <row r="12" spans="1:12" s="104" customFormat="1" ht="17.25" customHeight="1">
      <c r="A12" s="1"/>
      <c r="B12" s="72"/>
      <c r="C12" s="164" t="s">
        <v>121</v>
      </c>
      <c r="D12" s="120"/>
      <c r="E12" s="120"/>
      <c r="F12" s="120"/>
      <c r="G12" s="384"/>
      <c r="H12" s="15"/>
      <c r="I12" s="15"/>
      <c r="J12" s="73"/>
      <c r="K12" s="3"/>
      <c r="L12" s="1"/>
    </row>
    <row r="13" spans="1:12" s="104" customFormat="1" ht="3.75" customHeight="1">
      <c r="A13" s="1"/>
      <c r="B13" s="72"/>
      <c r="C13" s="166"/>
      <c r="D13" s="163"/>
      <c r="E13" s="256"/>
      <c r="F13" s="256"/>
      <c r="G13" s="257"/>
      <c r="H13" s="15"/>
      <c r="I13" s="15"/>
      <c r="J13" s="73"/>
      <c r="K13" s="3"/>
      <c r="L13" s="1"/>
    </row>
    <row r="14" spans="1:12" ht="11.25" customHeight="1">
      <c r="A14" s="3"/>
      <c r="B14" s="126"/>
      <c r="C14" s="168"/>
      <c r="D14" s="37"/>
      <c r="E14" s="258" t="s">
        <v>55</v>
      </c>
      <c r="F14" s="258" t="s">
        <v>56</v>
      </c>
      <c r="G14" s="259"/>
      <c r="H14" s="158"/>
      <c r="I14" s="157"/>
      <c r="J14" s="127"/>
      <c r="K14" s="3"/>
      <c r="L14" s="3"/>
    </row>
    <row r="15" spans="1:12" ht="4.5" customHeight="1">
      <c r="A15" s="3"/>
      <c r="B15" s="126"/>
      <c r="C15" s="168"/>
      <c r="D15" s="37"/>
      <c r="E15" s="14"/>
      <c r="F15" s="14"/>
      <c r="G15" s="169"/>
      <c r="H15" s="158"/>
      <c r="I15" s="157"/>
      <c r="J15" s="127"/>
      <c r="K15" s="3"/>
      <c r="L15" s="3"/>
    </row>
    <row r="16" spans="1:12">
      <c r="A16" s="3"/>
      <c r="B16" s="126"/>
      <c r="C16" s="170" t="s">
        <v>24</v>
      </c>
      <c r="D16" s="14" t="s">
        <v>96</v>
      </c>
      <c r="E16" s="260">
        <f>IF(E9="Pumping system (above ground)",'Inputs - Pumping (above ground)'!F34,IF(E9="Borehole system",'Inputs - Borehole Pumping'!F34,""))</f>
        <v>0</v>
      </c>
      <c r="F16" s="260">
        <f>IF(E9="Pumping system (above ground)",'Inputs - Pumping (above ground)'!F116,IF(E9="Borehole system",'Inputs - Borehole Pumping'!F120,""))</f>
        <v>0</v>
      </c>
      <c r="G16" s="261"/>
      <c r="H16" s="158"/>
      <c r="I16" s="159"/>
      <c r="J16" s="127"/>
      <c r="K16" s="3"/>
      <c r="L16" s="3"/>
    </row>
    <row r="17" spans="1:12" ht="6.75" customHeight="1">
      <c r="A17" s="3"/>
      <c r="B17" s="126"/>
      <c r="C17" s="170"/>
      <c r="D17" s="14"/>
      <c r="E17" s="260"/>
      <c r="F17" s="260"/>
      <c r="G17" s="261"/>
      <c r="H17" s="158"/>
      <c r="I17" s="159"/>
      <c r="J17" s="127"/>
      <c r="K17" s="3"/>
      <c r="L17" s="3"/>
    </row>
    <row r="18" spans="1:12">
      <c r="A18" s="3"/>
      <c r="B18" s="126"/>
      <c r="C18" s="386" t="s">
        <v>326</v>
      </c>
      <c r="D18" s="442" t="s">
        <v>96</v>
      </c>
      <c r="E18" s="260">
        <f>IF(E9="Pumping system (above ground)",'Inputs - Pumping (above ground)'!F36,IF(E9="Borehole system",'Inputs - Borehole Pumping'!F36,""))</f>
        <v>0</v>
      </c>
      <c r="F18" s="446">
        <f>IF(E9="Pumping system (above ground)",'Inputs - Pumping (above ground)'!F118,IF(E9="Borehole system",'Inputs - Borehole Pumping'!F122,""))</f>
        <v>0</v>
      </c>
      <c r="G18" s="261"/>
      <c r="H18" s="158"/>
      <c r="I18" s="159"/>
      <c r="J18" s="127"/>
      <c r="K18" s="3"/>
      <c r="L18" s="3"/>
    </row>
    <row r="19" spans="1:12" ht="6" customHeight="1">
      <c r="A19" s="3"/>
      <c r="B19" s="126"/>
      <c r="C19" s="170"/>
      <c r="D19" s="14"/>
      <c r="E19" s="260"/>
      <c r="F19" s="260"/>
      <c r="G19" s="261"/>
      <c r="H19" s="158"/>
      <c r="I19" s="159"/>
      <c r="J19" s="127"/>
      <c r="K19" s="3"/>
      <c r="L19" s="3"/>
    </row>
    <row r="20" spans="1:12">
      <c r="A20" s="3"/>
      <c r="B20" s="126"/>
      <c r="C20" s="170" t="s">
        <v>44</v>
      </c>
      <c r="D20" s="14" t="s">
        <v>96</v>
      </c>
      <c r="E20" s="260" t="str">
        <f>IF(E9="Pumping system (above ground)",'Inputs - Pumping (above ground)'!F60,IF(E9="Borehole system",'Inputs - Borehole Pumping'!F64,""))</f>
        <v>-</v>
      </c>
      <c r="F20" s="260">
        <f>IF(E9="Pumping system (above ground)",'Inputs - Pumping (above ground)'!F120,IF(E9="Borehole system",'Inputs - Borehole Pumping'!F124,""))</f>
        <v>0</v>
      </c>
      <c r="G20" s="261"/>
      <c r="H20" s="158"/>
      <c r="I20" s="160"/>
      <c r="J20" s="127"/>
      <c r="K20" s="3"/>
      <c r="L20" s="3"/>
    </row>
    <row r="21" spans="1:12" ht="6.75" customHeight="1">
      <c r="A21" s="3"/>
      <c r="B21" s="126"/>
      <c r="C21" s="170"/>
      <c r="D21" s="14"/>
      <c r="E21" s="260"/>
      <c r="F21" s="260"/>
      <c r="G21" s="261"/>
      <c r="H21" s="158"/>
      <c r="I21" s="160"/>
      <c r="J21" s="127"/>
      <c r="K21" s="3"/>
      <c r="L21" s="3"/>
    </row>
    <row r="22" spans="1:12">
      <c r="A22" s="3"/>
      <c r="B22" s="126"/>
      <c r="C22" s="386" t="s">
        <v>49</v>
      </c>
      <c r="D22" s="14" t="s">
        <v>96</v>
      </c>
      <c r="E22" s="260" t="e">
        <f>IF(E9="Pumping system (above ground)",'Fixed Data'!C41,IF(E9="Borehole system",'Fixed Data (2)'!C41,""))</f>
        <v>#DIV/0!</v>
      </c>
      <c r="F22" s="260" t="e">
        <f>IF(E9="Pumping system (above ground)",'Fixed Data'!C42,IF(E9="Borehole system",'Fixed Data (2)'!C42,""))</f>
        <v>#DIV/0!</v>
      </c>
      <c r="G22" s="261"/>
      <c r="H22" s="158"/>
      <c r="I22" s="158"/>
      <c r="J22" s="127"/>
      <c r="K22" s="3"/>
      <c r="L22" s="3"/>
    </row>
    <row r="23" spans="1:12" ht="6" customHeight="1">
      <c r="A23" s="3"/>
      <c r="B23" s="126"/>
      <c r="C23" s="170"/>
      <c r="D23" s="14"/>
      <c r="E23" s="260"/>
      <c r="F23" s="260"/>
      <c r="G23" s="261"/>
      <c r="H23" s="158"/>
      <c r="I23" s="158"/>
      <c r="J23" s="127"/>
      <c r="K23" s="3"/>
      <c r="L23" s="3"/>
    </row>
    <row r="24" spans="1:12">
      <c r="A24" s="3"/>
      <c r="B24" s="126"/>
      <c r="C24" s="170" t="s">
        <v>50</v>
      </c>
      <c r="D24" s="14" t="s">
        <v>96</v>
      </c>
      <c r="E24" s="260" t="e">
        <f>IF(E9="Pumping system (above ground)",'Fixed Data'!C41*E20*E16*E18,IF(E9="Borehole system",'Fixed Data (2)'!C41*E20*E16*E18,""))</f>
        <v>#DIV/0!</v>
      </c>
      <c r="F24" s="260" t="e">
        <f>IF(E9="Pumping system (above ground)",Summary!F16*Summary!F20*F18*'Fixed Data'!C42,IF(E9="Borehole system",Summary!F16*Summary!F20*F18*'Fixed Data (2)'!C42))</f>
        <v>#DIV/0!</v>
      </c>
      <c r="G24" s="261"/>
      <c r="H24" s="158"/>
      <c r="I24" s="160"/>
      <c r="J24" s="127"/>
      <c r="K24" s="3"/>
      <c r="L24" s="3"/>
    </row>
    <row r="25" spans="1:12" ht="3.75" customHeight="1">
      <c r="A25" s="3"/>
      <c r="B25" s="126"/>
      <c r="C25" s="171"/>
      <c r="D25" s="251"/>
      <c r="E25" s="89"/>
      <c r="F25" s="89"/>
      <c r="G25" s="172"/>
      <c r="H25" s="158"/>
      <c r="I25" s="160"/>
      <c r="J25" s="127"/>
      <c r="K25" s="3"/>
      <c r="L25" s="3"/>
    </row>
    <row r="26" spans="1:12">
      <c r="A26" s="3"/>
      <c r="B26" s="126"/>
      <c r="C26" s="158"/>
      <c r="D26" s="158"/>
      <c r="E26" s="160"/>
      <c r="F26" s="158"/>
      <c r="G26" s="158"/>
      <c r="H26" s="158"/>
      <c r="I26" s="158"/>
      <c r="J26" s="127"/>
      <c r="K26" s="3"/>
      <c r="L26" s="3"/>
    </row>
    <row r="27" spans="1:12" ht="14.5">
      <c r="A27" s="3"/>
      <c r="B27" s="126"/>
      <c r="C27" s="173" t="s">
        <v>122</v>
      </c>
      <c r="D27" s="174"/>
      <c r="E27" s="174"/>
      <c r="F27" s="174"/>
      <c r="G27" s="175"/>
      <c r="H27" s="158"/>
      <c r="I27" s="158"/>
      <c r="J27" s="127"/>
      <c r="K27" s="3"/>
      <c r="L27" s="3"/>
    </row>
    <row r="28" spans="1:12" ht="3.75" customHeight="1">
      <c r="A28" s="3"/>
      <c r="B28" s="126"/>
      <c r="C28" s="166"/>
      <c r="D28" s="163"/>
      <c r="E28" s="163"/>
      <c r="F28" s="163"/>
      <c r="G28" s="167"/>
      <c r="H28" s="158"/>
      <c r="I28" s="158"/>
      <c r="J28" s="127"/>
      <c r="K28" s="3"/>
      <c r="L28" s="3"/>
    </row>
    <row r="29" spans="1:12">
      <c r="A29" s="3"/>
      <c r="B29" s="126"/>
      <c r="C29" s="176" t="s">
        <v>6</v>
      </c>
      <c r="D29" s="253" t="s">
        <v>96</v>
      </c>
      <c r="E29" s="180">
        <f>IF(E9="Pumping system (above ground)",'Inputs - Pumping (above ground)'!$F$111*'Inputs - Pumping (above ground)'!$F$37,IF(E9="Borehole system",'Inputs - Borehole Pumping'!F38*'Inputs - Borehole Pumping'!F115,""))</f>
        <v>0</v>
      </c>
      <c r="F29" s="3" t="s">
        <v>7</v>
      </c>
      <c r="G29" s="181"/>
      <c r="H29" s="158"/>
      <c r="I29" s="161"/>
      <c r="J29" s="127"/>
      <c r="K29" s="3"/>
      <c r="L29" s="3"/>
    </row>
    <row r="30" spans="1:12" ht="6.75" customHeight="1">
      <c r="A30" s="3"/>
      <c r="B30" s="126"/>
      <c r="C30" s="176"/>
      <c r="D30" s="11"/>
      <c r="E30" s="180"/>
      <c r="F30" s="3"/>
      <c r="G30" s="181"/>
      <c r="H30" s="158"/>
      <c r="I30" s="161"/>
      <c r="J30" s="127"/>
      <c r="K30" s="3"/>
      <c r="L30" s="3"/>
    </row>
    <row r="31" spans="1:12">
      <c r="A31" s="3"/>
      <c r="B31" s="126"/>
      <c r="C31" s="176" t="s">
        <v>9</v>
      </c>
      <c r="D31" s="253" t="s">
        <v>96</v>
      </c>
      <c r="E31" s="262">
        <f>IF(E9="Pumping system (above ground)",$E$29*'Inputs - Pumping (above ground)'!$F$103,IF(E9="Borehole system",Summary!E29*'Inputs - Borehole Pumping'!F107,""))</f>
        <v>0</v>
      </c>
      <c r="F31" s="3"/>
      <c r="G31" s="181"/>
      <c r="H31" s="158"/>
      <c r="I31" s="158"/>
      <c r="J31" s="127"/>
      <c r="K31" s="3"/>
      <c r="L31" s="3"/>
    </row>
    <row r="32" spans="1:12" ht="5.25" customHeight="1">
      <c r="A32" s="3"/>
      <c r="B32" s="126"/>
      <c r="C32" s="176"/>
      <c r="D32" s="11"/>
      <c r="E32" s="182"/>
      <c r="F32" s="3"/>
      <c r="G32" s="181"/>
      <c r="H32" s="158"/>
      <c r="I32" s="158"/>
      <c r="J32" s="127"/>
      <c r="K32" s="3"/>
      <c r="L32" s="3"/>
    </row>
    <row r="33" spans="1:17" ht="12" customHeight="1">
      <c r="A33" s="3"/>
      <c r="B33" s="126"/>
      <c r="C33" s="176" t="s">
        <v>120</v>
      </c>
      <c r="D33" s="253" t="s">
        <v>96</v>
      </c>
      <c r="E33" s="389">
        <f>IF(E9="Pumping system (above ground)",'Fixed Data'!C43,IF(E9="Borehole system",'Fixed Data (2)'!C43,""))</f>
        <v>0</v>
      </c>
      <c r="F33" s="3" t="s">
        <v>108</v>
      </c>
      <c r="G33" s="181"/>
      <c r="H33" s="158"/>
      <c r="I33" s="158"/>
      <c r="J33" s="127"/>
      <c r="K33" s="3"/>
      <c r="L33" s="3"/>
      <c r="M33" s="133"/>
    </row>
    <row r="34" spans="1:17" ht="4.5" customHeight="1">
      <c r="A34" s="3"/>
      <c r="B34" s="126"/>
      <c r="C34" s="176"/>
      <c r="D34" s="11"/>
      <c r="E34" s="180"/>
      <c r="F34" s="3"/>
      <c r="G34" s="181"/>
      <c r="H34" s="158"/>
      <c r="I34" s="158"/>
      <c r="J34" s="127"/>
      <c r="K34" s="3"/>
      <c r="L34" s="3"/>
      <c r="M34" s="133"/>
    </row>
    <row r="35" spans="1:17" ht="15">
      <c r="A35" s="3"/>
      <c r="B35" s="126"/>
      <c r="C35" s="176" t="s">
        <v>130</v>
      </c>
      <c r="D35" s="253" t="s">
        <v>96</v>
      </c>
      <c r="E35" s="180">
        <f>IF(E9="Pumping system (above ground)",'Inputs - Pumping (above ground)'!F105*Summary!E29,IF(E9="Borehole system",'Inputs - Borehole Pumping'!EF_bh*Summary!E29,""))</f>
        <v>0</v>
      </c>
      <c r="F35" s="3" t="s">
        <v>70</v>
      </c>
      <c r="G35" s="181"/>
      <c r="H35" s="158"/>
      <c r="I35" s="158"/>
      <c r="J35" s="127"/>
      <c r="K35" s="3"/>
      <c r="L35" s="3"/>
    </row>
    <row r="36" spans="1:17" ht="4.5" customHeight="1">
      <c r="A36" s="3"/>
      <c r="B36" s="126"/>
      <c r="C36" s="177"/>
      <c r="D36" s="190"/>
      <c r="E36" s="178"/>
      <c r="F36" s="206"/>
      <c r="G36" s="179"/>
      <c r="H36" s="158"/>
      <c r="I36" s="158"/>
      <c r="J36" s="127"/>
      <c r="K36" s="3"/>
      <c r="L36" s="3"/>
    </row>
    <row r="37" spans="1:17" ht="4.5" customHeight="1">
      <c r="A37" s="3"/>
      <c r="B37" s="126"/>
      <c r="C37" s="11"/>
      <c r="D37" s="11"/>
      <c r="E37" s="25"/>
      <c r="F37" s="2"/>
      <c r="G37" s="2"/>
      <c r="H37" s="158"/>
      <c r="I37" s="158"/>
      <c r="J37" s="127"/>
      <c r="K37" s="3"/>
      <c r="L37" s="3"/>
    </row>
    <row r="38" spans="1:17" ht="4.5" customHeight="1">
      <c r="A38" s="3"/>
      <c r="B38" s="126"/>
      <c r="C38" s="11"/>
      <c r="D38" s="11"/>
      <c r="E38" s="25"/>
      <c r="F38" s="2"/>
      <c r="G38" s="2"/>
      <c r="H38" s="158"/>
      <c r="I38" s="158"/>
      <c r="J38" s="127"/>
      <c r="K38" s="3"/>
      <c r="L38" s="3"/>
    </row>
    <row r="39" spans="1:17" ht="14.5">
      <c r="A39" s="3"/>
      <c r="B39" s="126"/>
      <c r="C39" s="173" t="s">
        <v>123</v>
      </c>
      <c r="D39" s="174"/>
      <c r="E39" s="174"/>
      <c r="F39" s="174"/>
      <c r="G39" s="174"/>
      <c r="H39" s="174"/>
      <c r="I39" s="175"/>
      <c r="J39" s="127"/>
      <c r="K39" s="3"/>
      <c r="L39" s="3"/>
      <c r="M39" s="135"/>
      <c r="N39" s="135"/>
      <c r="O39" s="135"/>
      <c r="P39" s="135"/>
    </row>
    <row r="40" spans="1:17" ht="4.5" customHeight="1">
      <c r="A40" s="3"/>
      <c r="B40" s="126"/>
      <c r="C40" s="166"/>
      <c r="D40" s="163"/>
      <c r="E40" s="163"/>
      <c r="F40" s="163"/>
      <c r="G40" s="163"/>
      <c r="H40" s="163"/>
      <c r="I40" s="167"/>
      <c r="J40" s="127"/>
      <c r="K40" s="3"/>
      <c r="L40" s="3"/>
    </row>
    <row r="41" spans="1:17" s="106" customFormat="1" ht="39">
      <c r="A41" s="6"/>
      <c r="B41" s="128"/>
      <c r="C41" s="183"/>
      <c r="D41" s="6"/>
      <c r="E41" s="263" t="s">
        <v>57</v>
      </c>
      <c r="F41" s="263" t="s">
        <v>58</v>
      </c>
      <c r="G41" s="263"/>
      <c r="H41" s="434" t="s">
        <v>347</v>
      </c>
      <c r="I41" s="435" t="s">
        <v>329</v>
      </c>
      <c r="J41" s="77"/>
      <c r="K41" s="6"/>
      <c r="L41" s="6"/>
      <c r="M41" s="450"/>
      <c r="N41" s="450"/>
      <c r="O41" s="450"/>
      <c r="P41" s="450"/>
      <c r="Q41" s="450"/>
    </row>
    <row r="42" spans="1:17" s="106" customFormat="1" ht="4.5" customHeight="1">
      <c r="A42" s="6"/>
      <c r="B42" s="128"/>
      <c r="C42" s="183"/>
      <c r="D42" s="6"/>
      <c r="E42" s="1"/>
      <c r="F42" s="1"/>
      <c r="G42" s="1"/>
      <c r="H42" s="1"/>
      <c r="I42" s="184"/>
      <c r="J42" s="77"/>
      <c r="K42" s="6"/>
      <c r="L42" s="6"/>
    </row>
    <row r="43" spans="1:17" ht="14.5">
      <c r="A43" s="3"/>
      <c r="B43" s="126"/>
      <c r="C43" s="176" t="s">
        <v>51</v>
      </c>
      <c r="D43" s="253" t="s">
        <v>96</v>
      </c>
      <c r="E43" s="22">
        <f>IF(E16="","",1-Summary!E16)</f>
        <v>1</v>
      </c>
      <c r="F43" s="22">
        <f>IF(F16="","",1-F16)</f>
        <v>1</v>
      </c>
      <c r="G43" s="22"/>
      <c r="H43" s="23">
        <f>IF(E29="","",E43*(E$29*(1-E45)))</f>
        <v>0</v>
      </c>
      <c r="I43" s="436">
        <f>IF(E29="","",IF(E43&lt;F43,"Check values",(E43-F43)*(E$29*(1-E45))))</f>
        <v>0</v>
      </c>
      <c r="J43" s="127"/>
      <c r="K43" s="3"/>
      <c r="L43" s="3"/>
      <c r="M43" s="449"/>
      <c r="N43" s="449"/>
      <c r="O43" s="449"/>
    </row>
    <row r="44" spans="1:17" ht="5.25" customHeight="1">
      <c r="A44" s="3"/>
      <c r="B44" s="126"/>
      <c r="C44" s="176"/>
      <c r="D44" s="11"/>
      <c r="E44" s="22"/>
      <c r="F44" s="22"/>
      <c r="G44" s="22"/>
      <c r="H44" s="23"/>
      <c r="I44" s="437"/>
      <c r="J44" s="127"/>
      <c r="K44" s="3"/>
      <c r="L44" s="3"/>
    </row>
    <row r="45" spans="1:17" ht="15" customHeight="1">
      <c r="A45" s="3"/>
      <c r="B45" s="126"/>
      <c r="C45" s="447" t="s">
        <v>328</v>
      </c>
      <c r="D45" s="448" t="s">
        <v>96</v>
      </c>
      <c r="E45" s="22">
        <f>IF(E18="","",1-Summary!E18)</f>
        <v>1</v>
      </c>
      <c r="F45" s="22">
        <f>IF(F18="","",1-F18)</f>
        <v>1</v>
      </c>
      <c r="G45" s="22"/>
      <c r="H45" s="23">
        <f>IF(E31="","",E45*E$29)</f>
        <v>0</v>
      </c>
      <c r="I45" s="436">
        <f>IF(E31="","",IF(E45&lt;F45,"Check values",(E45-F45)*(E$29)))</f>
        <v>0</v>
      </c>
      <c r="J45" s="127"/>
      <c r="K45" s="3"/>
      <c r="L45" s="3"/>
      <c r="M45" s="449"/>
      <c r="N45" s="449"/>
      <c r="O45" s="449"/>
    </row>
    <row r="46" spans="1:17" ht="5.25" customHeight="1">
      <c r="A46" s="3"/>
      <c r="B46" s="126"/>
      <c r="C46" s="176"/>
      <c r="D46" s="11"/>
      <c r="E46" s="22"/>
      <c r="F46" s="22"/>
      <c r="G46" s="22"/>
      <c r="H46" s="23"/>
      <c r="I46" s="437"/>
      <c r="J46" s="127"/>
      <c r="K46" s="3"/>
      <c r="L46" s="3"/>
      <c r="M46" s="449"/>
      <c r="N46" s="449"/>
      <c r="O46" s="135"/>
    </row>
    <row r="47" spans="1:17" ht="14.5">
      <c r="A47" s="3"/>
      <c r="B47" s="126"/>
      <c r="C47" s="176" t="s">
        <v>52</v>
      </c>
      <c r="D47" s="253" t="s">
        <v>96</v>
      </c>
      <c r="E47" s="22" t="e">
        <f>IF(E20="","",1-Summary!E20)</f>
        <v>#VALUE!</v>
      </c>
      <c r="F47" s="21">
        <f>IF(F20="","",1-F20)</f>
        <v>1</v>
      </c>
      <c r="G47" s="21"/>
      <c r="H47" s="23" t="e">
        <f>IF(E16="","",(E29*E18*E16)*(1-Summary!E20))</f>
        <v>#VALUE!</v>
      </c>
      <c r="I47" s="436" t="e">
        <f>IF(E29="","",IF(E47&lt;F47,"Check values",(E47-F47)*E$29))</f>
        <v>#VALUE!</v>
      </c>
      <c r="J47" s="127"/>
      <c r="K47" s="3"/>
      <c r="L47" s="3"/>
      <c r="M47" s="449"/>
      <c r="N47" s="449"/>
      <c r="O47" s="135"/>
    </row>
    <row r="48" spans="1:17" ht="5.25" customHeight="1">
      <c r="A48" s="3"/>
      <c r="B48" s="126"/>
      <c r="C48" s="176"/>
      <c r="D48" s="11"/>
      <c r="E48" s="22"/>
      <c r="F48" s="21"/>
      <c r="G48" s="21"/>
      <c r="H48" s="23"/>
      <c r="I48" s="436"/>
      <c r="J48" s="127"/>
      <c r="K48" s="3"/>
      <c r="L48" s="3"/>
      <c r="M48" s="449"/>
      <c r="N48" s="449"/>
      <c r="O48" s="135"/>
    </row>
    <row r="49" spans="1:18" ht="14.5">
      <c r="A49" s="3"/>
      <c r="B49" s="126"/>
      <c r="C49" s="176" t="s">
        <v>53</v>
      </c>
      <c r="D49" s="253" t="s">
        <v>96</v>
      </c>
      <c r="E49" s="22" t="e">
        <f>IF(E9="Pumping system (above ground)",1-'Fixed Data'!C41,IF(E9="Borehole system",1-'Fixed Data (2)'!C41,""))</f>
        <v>#DIV/0!</v>
      </c>
      <c r="F49" s="21" t="e">
        <f>IF(E9="Pumping system (above ground)",1-'Fixed Data'!C42,IF(E9="Borehole system",1-'Fixed Data (2)'!C42,""))</f>
        <v>#DIV/0!</v>
      </c>
      <c r="G49" s="21"/>
      <c r="H49" s="451" t="e">
        <f>IF(E9="Pumping system (above ground)",(E29*E16*E20*E18)*(1-'Fixed Data'!C41),IF(E9="Borehole system",(E29*E16*E20*E18)*(1-'Fixed Data (2)'!C41)))</f>
        <v>#VALUE!</v>
      </c>
      <c r="I49" s="436" t="e">
        <f>IF(E29="","",IF(E49&lt;F49,"Check values",(E49-F49)*E$29))</f>
        <v>#DIV/0!</v>
      </c>
      <c r="J49" s="127"/>
      <c r="K49" s="3"/>
      <c r="L49" s="3"/>
      <c r="M49" s="449"/>
      <c r="N49" s="449"/>
      <c r="O49" s="135"/>
    </row>
    <row r="50" spans="1:18" ht="4.5" customHeight="1">
      <c r="A50" s="3"/>
      <c r="B50" s="126"/>
      <c r="C50" s="176"/>
      <c r="D50" s="11"/>
      <c r="E50" s="22"/>
      <c r="F50" s="21"/>
      <c r="G50" s="21"/>
      <c r="H50" s="23"/>
      <c r="I50" s="436"/>
      <c r="J50" s="127"/>
      <c r="K50" s="3"/>
      <c r="L50" s="3"/>
      <c r="M50" s="449"/>
      <c r="N50" s="449"/>
      <c r="O50" s="135"/>
    </row>
    <row r="51" spans="1:18" ht="14.5">
      <c r="A51" s="3"/>
      <c r="B51" s="126"/>
      <c r="C51" s="447" t="s">
        <v>330</v>
      </c>
      <c r="D51" s="253" t="s">
        <v>96</v>
      </c>
      <c r="E51" s="22" t="e">
        <f>IF(E24="","",1-Summary!E24)</f>
        <v>#DIV/0!</v>
      </c>
      <c r="F51" s="22" t="e">
        <f>IF(F24="","",1-Summary!F24)</f>
        <v>#DIV/0!</v>
      </c>
      <c r="G51" s="22"/>
      <c r="H51" s="23" t="e">
        <f>IF(E29="","",(E51*E$29))</f>
        <v>#DIV/0!</v>
      </c>
      <c r="I51" s="436" t="e">
        <f>IF(E29="","",IF(E51&lt;F51,"Check values",(E51-F51)*E$29))</f>
        <v>#DIV/0!</v>
      </c>
      <c r="J51" s="127"/>
      <c r="K51" s="3"/>
      <c r="L51" s="3"/>
      <c r="M51" s="449"/>
      <c r="N51" s="449"/>
      <c r="O51" s="135"/>
    </row>
    <row r="52" spans="1:18" ht="19.5" customHeight="1">
      <c r="A52" s="3"/>
      <c r="B52" s="126"/>
      <c r="C52" s="176"/>
      <c r="D52" s="253"/>
      <c r="E52" s="22"/>
      <c r="F52" s="22"/>
      <c r="G52" s="22"/>
      <c r="H52" s="23" t="str">
        <f>IF(E30="","",IF(E52&lt;F52,"Check values",(F52-E52)*E$29))</f>
        <v/>
      </c>
      <c r="I52" s="436"/>
      <c r="J52" s="127"/>
      <c r="K52" s="3"/>
      <c r="L52" s="3"/>
      <c r="M52" s="438"/>
      <c r="N52" s="454"/>
      <c r="O52" s="135"/>
    </row>
    <row r="53" spans="1:18" ht="14.5">
      <c r="A53" s="3"/>
      <c r="B53" s="126"/>
      <c r="C53" s="176" t="s">
        <v>74</v>
      </c>
      <c r="D53" s="253" t="s">
        <v>96</v>
      </c>
      <c r="E53" s="22" t="e">
        <f>Summary!E24</f>
        <v>#DIV/0!</v>
      </c>
      <c r="F53" s="22" t="e">
        <f>F24</f>
        <v>#DIV/0!</v>
      </c>
      <c r="G53" s="22"/>
      <c r="H53" s="23" t="e">
        <f>IF(E29="","",E29*E53)</f>
        <v>#DIV/0!</v>
      </c>
      <c r="I53" s="436" t="e">
        <f>IF(E29="","",IF(E53&gt;F53,"Check values",(F53-E53)*E$29))</f>
        <v>#DIV/0!</v>
      </c>
      <c r="J53" s="127"/>
      <c r="K53" s="3"/>
      <c r="L53" s="3"/>
      <c r="M53" s="438"/>
      <c r="N53" s="454"/>
      <c r="O53" s="135"/>
    </row>
    <row r="54" spans="1:18" ht="4.5" customHeight="1">
      <c r="A54" s="3"/>
      <c r="B54" s="126"/>
      <c r="C54" s="185"/>
      <c r="D54" s="252"/>
      <c r="E54" s="186"/>
      <c r="F54" s="186"/>
      <c r="G54" s="186"/>
      <c r="H54" s="187"/>
      <c r="I54" s="188"/>
      <c r="J54" s="127"/>
      <c r="K54" s="3"/>
      <c r="L54" s="3"/>
    </row>
    <row r="55" spans="1:18" s="132" customFormat="1" ht="7.5" customHeight="1">
      <c r="A55" s="3"/>
      <c r="B55" s="126"/>
      <c r="C55" s="3"/>
      <c r="D55" s="3"/>
      <c r="E55" s="3"/>
      <c r="F55" s="3"/>
      <c r="G55" s="3"/>
      <c r="H55" s="3"/>
      <c r="I55" s="3"/>
      <c r="J55" s="127"/>
      <c r="K55" s="3"/>
      <c r="L55" s="3"/>
      <c r="R55" s="450"/>
    </row>
    <row r="56" spans="1:18" ht="7.5" customHeight="1">
      <c r="A56" s="3"/>
      <c r="B56" s="126"/>
      <c r="C56" s="158"/>
      <c r="D56" s="158"/>
      <c r="E56" s="162"/>
      <c r="F56" s="158"/>
      <c r="G56" s="158"/>
      <c r="H56" s="161"/>
      <c r="I56" s="161"/>
      <c r="J56" s="127"/>
      <c r="K56" s="3"/>
      <c r="L56" s="3"/>
    </row>
    <row r="57" spans="1:18" ht="14.5">
      <c r="A57" s="3"/>
      <c r="B57" s="126"/>
      <c r="C57" s="173" t="s">
        <v>124</v>
      </c>
      <c r="D57" s="174"/>
      <c r="E57" s="174"/>
      <c r="F57" s="174"/>
      <c r="G57" s="174"/>
      <c r="H57" s="174"/>
      <c r="I57" s="175"/>
      <c r="J57" s="127"/>
      <c r="K57" s="3"/>
      <c r="L57" s="3"/>
    </row>
    <row r="58" spans="1:18" ht="4.5" customHeight="1">
      <c r="A58" s="3"/>
      <c r="B58" s="126"/>
      <c r="C58" s="166"/>
      <c r="D58" s="163"/>
      <c r="E58" s="163"/>
      <c r="F58" s="163"/>
      <c r="G58" s="163"/>
      <c r="H58" s="163"/>
      <c r="I58" s="167"/>
      <c r="J58" s="127"/>
      <c r="K58" s="3"/>
      <c r="L58" s="3"/>
    </row>
    <row r="59" spans="1:18" ht="14.5">
      <c r="A59" s="3"/>
      <c r="B59" s="126"/>
      <c r="C59" s="391" t="e">
        <f>IF(E9="Pumping system (above ground)",'Fixed Data'!C55,IF(E9="Borehole system",'Fixed Data (2)'!C55,""))</f>
        <v>#DIV/0!</v>
      </c>
      <c r="D59" s="266"/>
      <c r="E59" s="11" t="s">
        <v>85</v>
      </c>
      <c r="F59" s="3"/>
      <c r="G59" s="3"/>
      <c r="H59" s="392" t="e">
        <f>IF(E9="Pumping system (above ground)",'Fixed Data'!C61,IF(E9="Borehole system",'Fixed Data (2)'!C61,""))</f>
        <v>#DIV/0!</v>
      </c>
      <c r="I59" s="189" t="s">
        <v>109</v>
      </c>
      <c r="J59" s="127"/>
      <c r="K59" s="3"/>
      <c r="L59" s="3"/>
    </row>
    <row r="60" spans="1:18" ht="4.5" customHeight="1">
      <c r="A60" s="3"/>
      <c r="B60" s="126"/>
      <c r="C60" s="391"/>
      <c r="D60" s="266"/>
      <c r="E60" s="11"/>
      <c r="F60" s="3"/>
      <c r="G60" s="3"/>
      <c r="H60" s="392"/>
      <c r="I60" s="189"/>
      <c r="J60" s="127"/>
      <c r="K60" s="3"/>
      <c r="L60" s="3"/>
    </row>
    <row r="61" spans="1:18" ht="14.5">
      <c r="A61" s="3"/>
      <c r="B61" s="126"/>
      <c r="C61" s="391" t="e">
        <f>IF(E9="Pumping system (above ground)",'Fixed Data'!C57,IF(E9="Borehole system",'Fixed Data (2)'!C57,""))</f>
        <v>#DIV/0!</v>
      </c>
      <c r="D61" s="266"/>
      <c r="E61" s="11" t="s">
        <v>110</v>
      </c>
      <c r="F61" s="3"/>
      <c r="G61" s="3"/>
      <c r="H61" s="392" t="e">
        <f>IF(E9="Pumping system (above ground)",'Fixed Data'!C63,IF(E9="Borehole system",'Fixed Data (2)'!C63,""))</f>
        <v>#DIV/0!</v>
      </c>
      <c r="I61" s="189" t="s">
        <v>111</v>
      </c>
      <c r="J61" s="127"/>
      <c r="K61" s="3"/>
      <c r="L61" s="3"/>
    </row>
    <row r="62" spans="1:18" ht="3.75" customHeight="1">
      <c r="A62" s="3"/>
      <c r="B62" s="126"/>
      <c r="C62" s="391"/>
      <c r="D62" s="266"/>
      <c r="E62" s="11"/>
      <c r="F62" s="3"/>
      <c r="G62" s="3"/>
      <c r="H62" s="392"/>
      <c r="I62" s="189"/>
      <c r="J62" s="127"/>
      <c r="K62" s="3"/>
      <c r="L62" s="3"/>
    </row>
    <row r="63" spans="1:18" ht="15.5">
      <c r="A63" s="3"/>
      <c r="B63" s="126"/>
      <c r="C63" s="391" t="e">
        <f>IF(E9="Pumping system (above ground)",'Fixed Data'!C59,IF(E9="Borehole system",'Fixed Data (2)'!C59,""))</f>
        <v>#DIV/0!</v>
      </c>
      <c r="D63" s="266"/>
      <c r="E63" s="11" t="s">
        <v>112</v>
      </c>
      <c r="F63" s="3"/>
      <c r="G63" s="3"/>
      <c r="H63" s="392" t="e">
        <f>IF(E9="Pumping system (above ground)",'Fixed Data'!C65,IF(E9="Borehole system",'Fixed Data (2)'!C65,""))</f>
        <v>#DIV/0!</v>
      </c>
      <c r="I63" s="189" t="s">
        <v>131</v>
      </c>
      <c r="J63" s="127"/>
      <c r="K63" s="3"/>
      <c r="L63" s="3"/>
    </row>
    <row r="64" spans="1:18" ht="3" customHeight="1">
      <c r="A64" s="3"/>
      <c r="B64" s="126"/>
      <c r="C64" s="267"/>
      <c r="D64" s="268"/>
      <c r="E64" s="190"/>
      <c r="F64" s="191"/>
      <c r="G64" s="191"/>
      <c r="H64" s="268"/>
      <c r="I64" s="192"/>
      <c r="J64" s="127"/>
      <c r="K64" s="3"/>
      <c r="L64" s="3"/>
    </row>
    <row r="65" spans="1:12" ht="13.5" thickBot="1">
      <c r="A65" s="3"/>
      <c r="B65" s="129"/>
      <c r="C65" s="130"/>
      <c r="D65" s="130"/>
      <c r="E65" s="130"/>
      <c r="F65" s="130"/>
      <c r="G65" s="130"/>
      <c r="H65" s="130"/>
      <c r="I65" s="130"/>
      <c r="J65" s="131"/>
      <c r="K65" s="3"/>
      <c r="L65" s="3"/>
    </row>
    <row r="66" spans="1:12" s="103" customFormat="1" ht="73.5" customHeight="1">
      <c r="A66" s="8"/>
      <c r="B66" s="455" t="s">
        <v>228</v>
      </c>
      <c r="C66" s="456"/>
      <c r="D66" s="456"/>
      <c r="E66" s="456"/>
      <c r="F66" s="456"/>
      <c r="G66" s="456"/>
      <c r="H66" s="456"/>
      <c r="I66" s="456"/>
      <c r="J66" s="456"/>
      <c r="K66" s="8"/>
      <c r="L66" s="8"/>
    </row>
    <row r="67" spans="1:12">
      <c r="E67" s="135"/>
    </row>
  </sheetData>
  <sheetProtection sheet="1" objects="1" scenarios="1"/>
  <dataConsolidate/>
  <mergeCells count="2">
    <mergeCell ref="B66:J66"/>
    <mergeCell ref="E9:F9"/>
  </mergeCells>
  <phoneticPr fontId="48" type="noConversion"/>
  <conditionalFormatting sqref="E43:F43 I43">
    <cfRule type="expression" dxfId="4" priority="6">
      <formula>$E$43&lt;$F$43</formula>
    </cfRule>
  </conditionalFormatting>
  <conditionalFormatting sqref="E45:F45 I45">
    <cfRule type="expression" dxfId="3" priority="5">
      <formula>$E$45&lt;$F$45</formula>
    </cfRule>
  </conditionalFormatting>
  <conditionalFormatting sqref="E47:F47 I47">
    <cfRule type="expression" dxfId="2" priority="4">
      <formula>$E$47&lt;$F$47</formula>
    </cfRule>
  </conditionalFormatting>
  <conditionalFormatting sqref="E49:F49 I49">
    <cfRule type="expression" dxfId="1" priority="3">
      <formula>$E$49&lt;$F$49</formula>
    </cfRule>
  </conditionalFormatting>
  <conditionalFormatting sqref="E51:F51 I51">
    <cfRule type="expression" dxfId="0" priority="2">
      <formula>$E$51&lt;$F$51</formula>
    </cfRule>
  </conditionalFormatting>
  <dataValidations count="1">
    <dataValidation type="list" allowBlank="1" showInputMessage="1" showErrorMessage="1" sqref="E9" xr:uid="{00000000-0002-0000-0500-000000000000}">
      <formula1>selection</formula1>
    </dataValidation>
  </dataValidations>
  <printOptions horizontalCentered="1"/>
  <pageMargins left="0.70866141732283472" right="0.70866141732283472" top="0.74803149606299213" bottom="0.74803149606299213" header="0.31496062992125984" footer="0.31496062992125984"/>
  <pageSetup paperSize="9" scale="94" orientation="portrait" r:id="rId1"/>
  <colBreaks count="1" manualBreakCount="1">
    <brk id="11"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8080"/>
    <pageSetUpPr fitToPage="1"/>
  </sheetPr>
  <dimension ref="A1:N55"/>
  <sheetViews>
    <sheetView zoomScaleNormal="100" zoomScaleSheetLayoutView="100" workbookViewId="0"/>
  </sheetViews>
  <sheetFormatPr defaultColWidth="9.1796875" defaultRowHeight="14.5"/>
  <cols>
    <col min="1" max="1" width="1.26953125" style="222" customWidth="1"/>
    <col min="2" max="2" width="0.81640625" style="222" customWidth="1"/>
    <col min="3" max="3" width="26.54296875" style="222" customWidth="1"/>
    <col min="4" max="4" width="3.1796875" style="222" customWidth="1"/>
    <col min="5" max="5" width="19" style="222" customWidth="1"/>
    <col min="6" max="6" width="11.26953125" style="222" customWidth="1"/>
    <col min="7" max="7" width="2.81640625" style="222" customWidth="1"/>
    <col min="8" max="8" width="12.1796875" style="222" customWidth="1"/>
    <col min="9" max="9" width="4" style="222" customWidth="1"/>
    <col min="10" max="10" width="13.54296875" style="222" customWidth="1"/>
    <col min="11" max="11" width="1.453125" style="222" customWidth="1"/>
    <col min="12" max="12" width="1.1796875" style="222" customWidth="1"/>
    <col min="13" max="13" width="1.453125" style="222" customWidth="1"/>
    <col min="14" max="14" width="1" style="222" customWidth="1"/>
    <col min="15" max="15" width="5.81640625" style="222" bestFit="1" customWidth="1"/>
    <col min="16" max="16" width="6" style="222" bestFit="1" customWidth="1"/>
    <col min="17" max="17" width="11.1796875" style="222" bestFit="1" customWidth="1"/>
    <col min="18" max="18" width="4.54296875" style="222" bestFit="1" customWidth="1"/>
    <col min="19" max="16384" width="9.1796875" style="222"/>
  </cols>
  <sheetData>
    <row r="1" spans="1:14" ht="10.5" customHeight="1" thickBot="1">
      <c r="A1" s="2"/>
      <c r="B1" s="2"/>
      <c r="C1" s="2"/>
      <c r="D1" s="2"/>
      <c r="E1" s="2"/>
      <c r="F1" s="2"/>
      <c r="G1" s="2"/>
      <c r="H1" s="2"/>
      <c r="I1" s="2"/>
      <c r="J1" s="2"/>
      <c r="K1" s="2"/>
      <c r="L1" s="2"/>
      <c r="M1" s="2"/>
      <c r="N1" s="2"/>
    </row>
    <row r="2" spans="1:14" ht="8.25" customHeight="1">
      <c r="A2" s="2"/>
      <c r="B2" s="193"/>
      <c r="C2" s="194"/>
      <c r="D2" s="194"/>
      <c r="E2" s="194"/>
      <c r="F2" s="194"/>
      <c r="G2" s="194"/>
      <c r="H2" s="194"/>
      <c r="I2" s="194"/>
      <c r="J2" s="194"/>
      <c r="K2" s="194"/>
      <c r="L2" s="195"/>
      <c r="M2" s="2"/>
      <c r="N2" s="2"/>
    </row>
    <row r="3" spans="1:14" ht="23.5">
      <c r="A3" s="2"/>
      <c r="B3" s="196"/>
      <c r="C3" s="113" t="s">
        <v>97</v>
      </c>
      <c r="D3" s="113"/>
      <c r="E3" s="2"/>
      <c r="F3" s="2"/>
      <c r="G3" s="2"/>
      <c r="H3" s="2"/>
      <c r="I3" s="2"/>
      <c r="J3" s="2"/>
      <c r="K3" s="2"/>
      <c r="L3" s="197"/>
      <c r="M3" s="2"/>
      <c r="N3" s="2"/>
    </row>
    <row r="4" spans="1:14" ht="28.5" customHeight="1">
      <c r="A4" s="2"/>
      <c r="B4" s="196"/>
      <c r="C4" s="250" t="s">
        <v>119</v>
      </c>
      <c r="D4" s="2"/>
      <c r="E4" s="2"/>
      <c r="F4" s="2"/>
      <c r="G4" s="2"/>
      <c r="H4" s="2"/>
      <c r="I4" s="2"/>
      <c r="J4" s="2"/>
      <c r="K4" s="2"/>
      <c r="L4" s="197"/>
      <c r="M4" s="2"/>
      <c r="N4" s="2"/>
    </row>
    <row r="5" spans="1:14">
      <c r="A5" s="2"/>
      <c r="B5" s="196"/>
      <c r="C5" s="2"/>
      <c r="D5" s="2"/>
      <c r="E5" s="2"/>
      <c r="F5" s="2"/>
      <c r="G5" s="2"/>
      <c r="H5" s="2"/>
      <c r="I5" s="2"/>
      <c r="J5" s="2"/>
      <c r="K5" s="2"/>
      <c r="L5" s="197"/>
      <c r="M5" s="2"/>
      <c r="N5" s="2"/>
    </row>
    <row r="6" spans="1:14">
      <c r="A6" s="2"/>
      <c r="B6" s="196"/>
      <c r="C6" s="116" t="s">
        <v>113</v>
      </c>
      <c r="D6" s="116" t="s">
        <v>96</v>
      </c>
      <c r="E6" s="4">
        <f>'Inputs - Pumping (above ground)'!F6</f>
        <v>0</v>
      </c>
      <c r="F6" s="2"/>
      <c r="G6" s="2"/>
      <c r="H6" s="2"/>
      <c r="I6" s="2"/>
      <c r="J6" s="2"/>
      <c r="K6" s="2"/>
      <c r="L6" s="197"/>
      <c r="M6" s="2"/>
      <c r="N6" s="2"/>
    </row>
    <row r="7" spans="1:14">
      <c r="A7" s="2"/>
      <c r="B7" s="196"/>
      <c r="C7" s="116" t="s">
        <v>99</v>
      </c>
      <c r="D7" s="116" t="s">
        <v>96</v>
      </c>
      <c r="E7" s="4">
        <f>'Inputs - Pumping (above ground)'!F8</f>
        <v>0</v>
      </c>
      <c r="F7" s="2"/>
      <c r="G7" s="2"/>
      <c r="H7" s="2"/>
      <c r="I7" s="2"/>
      <c r="J7" s="2"/>
      <c r="K7" s="2"/>
      <c r="L7" s="197"/>
      <c r="M7" s="2"/>
      <c r="N7" s="2"/>
    </row>
    <row r="8" spans="1:14">
      <c r="A8" s="2"/>
      <c r="B8" s="196"/>
      <c r="C8" s="116" t="s">
        <v>114</v>
      </c>
      <c r="D8" s="116" t="s">
        <v>96</v>
      </c>
      <c r="E8" s="344"/>
      <c r="F8" s="2"/>
      <c r="G8" s="2"/>
      <c r="H8" s="173" t="s">
        <v>126</v>
      </c>
      <c r="I8" s="174"/>
      <c r="J8" s="175"/>
      <c r="K8" s="2"/>
      <c r="L8" s="197"/>
      <c r="M8" s="2"/>
      <c r="N8" s="2"/>
    </row>
    <row r="9" spans="1:14">
      <c r="A9" s="2"/>
      <c r="B9" s="196"/>
      <c r="C9" s="116" t="s">
        <v>115</v>
      </c>
      <c r="D9" s="116" t="s">
        <v>96</v>
      </c>
      <c r="E9" s="345" t="str">
        <f>IF(E8="","-",E8+365)</f>
        <v>-</v>
      </c>
      <c r="F9" s="2"/>
      <c r="G9" s="2"/>
      <c r="H9" s="170" t="s">
        <v>43</v>
      </c>
      <c r="I9" s="1"/>
      <c r="J9" s="254" t="e">
        <f>IF(Summary!E9="Pumping system (above ground)",'Fixed Data'!C55,IF(Summary!E9="Borehole system (below ground)",'Fixed Data (2)'!C55,""))</f>
        <v>#DIV/0!</v>
      </c>
      <c r="K9" s="2"/>
      <c r="L9" s="197"/>
      <c r="M9" s="2"/>
      <c r="N9" s="2"/>
    </row>
    <row r="10" spans="1:14">
      <c r="A10" s="2"/>
      <c r="B10" s="196"/>
      <c r="C10" s="116"/>
      <c r="D10" s="116"/>
      <c r="E10" s="5"/>
      <c r="F10" s="2"/>
      <c r="G10" s="2"/>
      <c r="H10" s="170" t="s">
        <v>75</v>
      </c>
      <c r="I10" s="1"/>
      <c r="J10" s="254" t="e">
        <f>IF(Summary!E9="Pumping system (above ground)",'Fixed Data'!C61,IF(Summary!E9="Borehole system (below ground)",'Fixed Data (2)'!C61,""))</f>
        <v>#DIV/0!</v>
      </c>
      <c r="K10" s="2"/>
      <c r="L10" s="197"/>
      <c r="M10" s="2"/>
      <c r="N10" s="2"/>
    </row>
    <row r="11" spans="1:14" ht="16.5">
      <c r="A11" s="2"/>
      <c r="B11" s="196"/>
      <c r="C11" s="173" t="s">
        <v>127</v>
      </c>
      <c r="D11" s="174"/>
      <c r="E11" s="174"/>
      <c r="F11" s="175"/>
      <c r="G11" s="2"/>
      <c r="H11" s="170" t="s">
        <v>76</v>
      </c>
      <c r="I11" s="1"/>
      <c r="J11" s="347" t="e">
        <f>IF(Summary!E9="Pumping system (above ground)",'Fixed Data'!C57,IF(Summary!E9="Borehole system (below ground)",'Fixed Data (2)'!C57,""))</f>
        <v>#DIV/0!</v>
      </c>
      <c r="K11" s="2"/>
      <c r="L11" s="197"/>
      <c r="M11" s="2"/>
      <c r="N11" s="2"/>
    </row>
    <row r="12" spans="1:14">
      <c r="A12" s="2"/>
      <c r="B12" s="196"/>
      <c r="C12" s="170" t="s">
        <v>60</v>
      </c>
      <c r="D12" s="14"/>
      <c r="E12" s="180">
        <f>Summary!E29</f>
        <v>0</v>
      </c>
      <c r="F12" s="181" t="s">
        <v>7</v>
      </c>
      <c r="G12" s="2"/>
      <c r="H12" s="170" t="s">
        <v>81</v>
      </c>
      <c r="I12" s="1"/>
      <c r="J12" s="254" t="e">
        <f>IF(Summary!E9="Pumping system (above ground)",J10*'Inputs - Pumping (above ground)'!F103,IF(Summary!E9="borehole system (below ground)",'Performance Certificate'!J10*'Inputs - Borehole Pumping'!F107,""))</f>
        <v>#DIV/0!</v>
      </c>
      <c r="K12" s="2"/>
      <c r="L12" s="197"/>
      <c r="M12" s="2"/>
      <c r="N12" s="2"/>
    </row>
    <row r="13" spans="1:14" ht="15">
      <c r="A13" s="2"/>
      <c r="B13" s="196"/>
      <c r="C13" s="170" t="s">
        <v>59</v>
      </c>
      <c r="D13" s="14"/>
      <c r="E13" s="262">
        <f>Summary!E31</f>
        <v>0</v>
      </c>
      <c r="F13" s="181"/>
      <c r="G13" s="2"/>
      <c r="H13" s="170" t="s">
        <v>77</v>
      </c>
      <c r="I13" s="1"/>
      <c r="J13" s="254" t="e">
        <f>IF(Summary!E9="Pumping system (above ground)",'Fixed Data'!C59,IF(Summary!E9="Borehole system (below ground)",'Fixed Data (2)'!C59,""))</f>
        <v>#DIV/0!</v>
      </c>
      <c r="K13" s="2"/>
      <c r="L13" s="197"/>
      <c r="M13" s="2"/>
      <c r="N13" s="2"/>
    </row>
    <row r="14" spans="1:14" ht="15">
      <c r="A14" s="2"/>
      <c r="B14" s="196"/>
      <c r="C14" s="203" t="s">
        <v>133</v>
      </c>
      <c r="D14" s="204"/>
      <c r="E14" s="269">
        <f>Summary!E35</f>
        <v>0</v>
      </c>
      <c r="F14" s="205" t="s">
        <v>134</v>
      </c>
      <c r="G14" s="3"/>
      <c r="H14" s="203" t="s">
        <v>132</v>
      </c>
      <c r="I14" s="206"/>
      <c r="J14" s="255" t="e">
        <f>IF(Summary!E9="Pumping system (above ground)",'Fixed Data'!C65,IF(Summary!E9="Borehole system (below ground)",'Fixed Data (2)'!C65,""))</f>
        <v>#DIV/0!</v>
      </c>
      <c r="K14" s="2"/>
      <c r="L14" s="197"/>
      <c r="M14" s="2"/>
      <c r="N14" s="2"/>
    </row>
    <row r="15" spans="1:14" ht="7.5" customHeight="1">
      <c r="A15" s="2"/>
      <c r="B15" s="196"/>
      <c r="C15" s="1"/>
      <c r="D15" s="1"/>
      <c r="E15" s="25"/>
      <c r="F15" s="3"/>
      <c r="G15" s="3"/>
      <c r="H15" s="1"/>
      <c r="I15" s="1"/>
      <c r="J15" s="26"/>
      <c r="K15" s="2"/>
      <c r="L15" s="197"/>
      <c r="M15" s="2"/>
      <c r="N15" s="2"/>
    </row>
    <row r="16" spans="1:14" ht="13.5" customHeight="1">
      <c r="A16" s="2"/>
      <c r="B16" s="196"/>
      <c r="C16" s="164" t="s">
        <v>125</v>
      </c>
      <c r="D16" s="164"/>
      <c r="E16" s="164"/>
      <c r="F16" s="164"/>
      <c r="G16" s="164"/>
      <c r="H16" s="164"/>
      <c r="I16" s="164"/>
      <c r="J16" s="164"/>
      <c r="K16" s="201"/>
      <c r="L16" s="197"/>
      <c r="M16" s="2"/>
      <c r="N16" s="2"/>
    </row>
    <row r="17" spans="1:14" ht="27.5">
      <c r="A17" s="2"/>
      <c r="B17" s="196"/>
      <c r="C17" s="207"/>
      <c r="D17" s="2"/>
      <c r="E17" s="2"/>
      <c r="F17" s="264" t="s">
        <v>71</v>
      </c>
      <c r="G17" s="264"/>
      <c r="H17" s="264" t="s">
        <v>78</v>
      </c>
      <c r="I17" s="264"/>
      <c r="J17" s="264" t="s">
        <v>84</v>
      </c>
      <c r="K17" s="202"/>
      <c r="L17" s="197"/>
      <c r="M17" s="2"/>
      <c r="N17" s="2"/>
    </row>
    <row r="18" spans="1:14">
      <c r="A18" s="2"/>
      <c r="B18" s="196"/>
      <c r="C18" s="207"/>
      <c r="D18" s="2"/>
      <c r="E18" s="2"/>
      <c r="F18" s="14"/>
      <c r="G18" s="14"/>
      <c r="H18" s="14"/>
      <c r="I18" s="14"/>
      <c r="J18" s="14"/>
      <c r="K18" s="202"/>
      <c r="L18" s="197"/>
      <c r="M18" s="2"/>
      <c r="N18" s="2"/>
    </row>
    <row r="19" spans="1:14" ht="18.5">
      <c r="A19" s="2"/>
      <c r="B19" s="196"/>
      <c r="C19" s="207"/>
      <c r="D19" s="2"/>
      <c r="E19" s="2"/>
      <c r="F19" s="211" t="e">
        <f>IF(Summary!$E$24&gt;='Fixed Data'!$L$2,Summary!$E$24,"")</f>
        <v>#DIV/0!</v>
      </c>
      <c r="G19" s="24"/>
      <c r="H19" s="211" t="e">
        <f>IF(Summary!$E$24&gt;='Fixed Data'!$L$2,Summary!$E$20,"")</f>
        <v>#DIV/0!</v>
      </c>
      <c r="I19" s="215"/>
      <c r="J19" s="214" t="e">
        <f>IF(Summary!$E$24&gt;='Fixed Data'!$L$2,'Fixed Data'!$C$61,"")</f>
        <v>#DIV/0!</v>
      </c>
      <c r="K19" s="202"/>
      <c r="L19" s="197"/>
      <c r="M19" s="2"/>
      <c r="N19" s="2"/>
    </row>
    <row r="20" spans="1:14" ht="18.5">
      <c r="A20" s="2"/>
      <c r="B20" s="196"/>
      <c r="C20" s="207"/>
      <c r="D20" s="2"/>
      <c r="E20" s="2"/>
      <c r="F20" s="212"/>
      <c r="G20" s="20"/>
      <c r="H20" s="211"/>
      <c r="I20" s="216"/>
      <c r="J20" s="214"/>
      <c r="K20" s="202"/>
      <c r="L20" s="197"/>
      <c r="M20" s="2"/>
      <c r="N20" s="2"/>
    </row>
    <row r="21" spans="1:14" ht="18.5">
      <c r="A21" s="2"/>
      <c r="B21" s="196"/>
      <c r="C21" s="207"/>
      <c r="D21" s="2"/>
      <c r="E21" s="2"/>
      <c r="F21" s="211" t="e">
        <f>IF(Summary!E24&gt;='Fixed Data'!L3,IF(Summary!E24&lt;'Fixed Data'!L2,Summary!E24,""),"")</f>
        <v>#DIV/0!</v>
      </c>
      <c r="G21" s="24"/>
      <c r="H21" s="211" t="e">
        <f>IF(Summary!E24&gt;='Fixed Data'!L3,IF(Summary!E24&lt;'Fixed Data'!L2,Summary!E20,""),"")</f>
        <v>#DIV/0!</v>
      </c>
      <c r="I21" s="216"/>
      <c r="J21" s="295" t="e">
        <f>IF(Summary!E24&gt;='Fixed Data'!L3,IF(Summary!E24&lt;'Fixed Data'!L2,'Fixed Data'!C61,""),"")</f>
        <v>#DIV/0!</v>
      </c>
      <c r="K21" s="202"/>
      <c r="L21" s="197"/>
      <c r="M21" s="2"/>
      <c r="N21" s="2"/>
    </row>
    <row r="22" spans="1:14" ht="18.5">
      <c r="A22" s="2"/>
      <c r="B22" s="196"/>
      <c r="C22" s="207"/>
      <c r="D22" s="2"/>
      <c r="E22" s="2"/>
      <c r="F22" s="212"/>
      <c r="G22" s="20"/>
      <c r="H22" s="211"/>
      <c r="I22" s="216"/>
      <c r="J22" s="214"/>
      <c r="K22" s="202"/>
      <c r="L22" s="197"/>
      <c r="M22" s="2"/>
      <c r="N22" s="2"/>
    </row>
    <row r="23" spans="1:14" ht="18.5">
      <c r="A23" s="2"/>
      <c r="B23" s="196"/>
      <c r="C23" s="207"/>
      <c r="D23" s="2"/>
      <c r="E23" s="2"/>
      <c r="F23" s="213" t="e">
        <f>IF(Summary!E24&gt;='Fixed Data'!L4,IF(Summary!E24&lt;'Fixed Data'!L3,Summary!E24,""),"")</f>
        <v>#DIV/0!</v>
      </c>
      <c r="G23" s="24"/>
      <c r="H23" s="211" t="e">
        <f>IF(Summary!E24&gt;='Fixed Data'!L4,IF(Summary!E24&lt;'Fixed Data'!L3,Summary!E20,""),"")</f>
        <v>#DIV/0!</v>
      </c>
      <c r="I23" s="216"/>
      <c r="J23" s="214" t="e">
        <f>IF(Summary!E24&gt;='Fixed Data'!L4,IF(Summary!E24&lt;'Fixed Data'!L3,'Fixed Data'!C61,""),"")</f>
        <v>#DIV/0!</v>
      </c>
      <c r="K23" s="202"/>
      <c r="L23" s="197"/>
      <c r="M23" s="2"/>
      <c r="N23" s="2"/>
    </row>
    <row r="24" spans="1:14" ht="18.5">
      <c r="A24" s="2"/>
      <c r="B24" s="196"/>
      <c r="C24" s="207"/>
      <c r="D24" s="2"/>
      <c r="E24" s="2"/>
      <c r="F24" s="212"/>
      <c r="G24" s="20"/>
      <c r="H24" s="211"/>
      <c r="I24" s="216"/>
      <c r="J24" s="214"/>
      <c r="K24" s="202"/>
      <c r="L24" s="197"/>
      <c r="M24" s="2"/>
      <c r="N24" s="2"/>
    </row>
    <row r="25" spans="1:14" ht="18.5">
      <c r="A25" s="2"/>
      <c r="B25" s="196"/>
      <c r="C25" s="207"/>
      <c r="D25" s="2"/>
      <c r="E25" s="2"/>
      <c r="F25" s="211" t="e">
        <f>IF(Summary!E24&gt;='Fixed Data'!L5,IF(Summary!E24&lt;'Fixed Data'!L4,Summary!E24,""),"")</f>
        <v>#DIV/0!</v>
      </c>
      <c r="G25" s="24"/>
      <c r="H25" s="211" t="e">
        <f>IF(Summary!E24&gt;='Fixed Data'!L5,IF(Summary!E24&lt;'Fixed Data'!L4,Summary!E20,""),"")</f>
        <v>#DIV/0!</v>
      </c>
      <c r="I25" s="217"/>
      <c r="J25" s="214" t="e">
        <f>IF(Summary!E24&gt;='Fixed Data'!L5,IF(Summary!E24&lt;'Fixed Data'!L4,'Fixed Data'!C61,""),"")</f>
        <v>#DIV/0!</v>
      </c>
      <c r="K25" s="202"/>
      <c r="L25" s="197"/>
      <c r="M25" s="2"/>
      <c r="N25" s="2"/>
    </row>
    <row r="26" spans="1:14" ht="18.5">
      <c r="A26" s="2"/>
      <c r="B26" s="196"/>
      <c r="C26" s="207"/>
      <c r="D26" s="2"/>
      <c r="E26" s="2"/>
      <c r="F26" s="212"/>
      <c r="G26" s="20"/>
      <c r="H26" s="211"/>
      <c r="I26" s="218"/>
      <c r="J26" s="214"/>
      <c r="K26" s="202"/>
      <c r="L26" s="197"/>
      <c r="M26" s="2"/>
      <c r="N26" s="2"/>
    </row>
    <row r="27" spans="1:14" ht="18.5">
      <c r="A27" s="2"/>
      <c r="B27" s="196"/>
      <c r="C27" s="207"/>
      <c r="D27" s="2"/>
      <c r="E27" s="2"/>
      <c r="F27" s="211" t="e">
        <f>IF(Summary!E24&gt;='Fixed Data'!L6,IF(Summary!E24&lt;'Fixed Data'!L5,Summary!E24,""),"")</f>
        <v>#DIV/0!</v>
      </c>
      <c r="G27" s="24"/>
      <c r="H27" s="211" t="e">
        <f>IF(Summary!E24&gt;='Fixed Data'!L6,IF(Summary!E24&lt;'Fixed Data'!L5,Summary!E20,""),"")</f>
        <v>#DIV/0!</v>
      </c>
      <c r="I27" s="219"/>
      <c r="J27" s="214" t="e">
        <f>IF(Summary!E24&gt;='Fixed Data'!L6,IF(Summary!E24&lt;'Fixed Data'!L5,'Fixed Data'!C61,""),"")</f>
        <v>#DIV/0!</v>
      </c>
      <c r="K27" s="202"/>
      <c r="L27" s="197"/>
      <c r="M27" s="2"/>
      <c r="N27" s="2"/>
    </row>
    <row r="28" spans="1:14" ht="18.5">
      <c r="A28" s="2"/>
      <c r="B28" s="196"/>
      <c r="C28" s="207"/>
      <c r="D28" s="2"/>
      <c r="E28" s="2"/>
      <c r="F28" s="212"/>
      <c r="G28" s="20"/>
      <c r="H28" s="211"/>
      <c r="I28" s="218"/>
      <c r="J28" s="214"/>
      <c r="K28" s="202"/>
      <c r="L28" s="197"/>
      <c r="M28" s="2"/>
      <c r="N28" s="2"/>
    </row>
    <row r="29" spans="1:14" ht="18.5">
      <c r="A29" s="2"/>
      <c r="B29" s="196"/>
      <c r="C29" s="207"/>
      <c r="D29" s="2"/>
      <c r="E29" s="2"/>
      <c r="F29" s="211" t="e">
        <f>IF(Summary!E24&gt;='Fixed Data'!L7,IF(Summary!E24&lt;'Fixed Data'!L6,Summary!E24,""),"")</f>
        <v>#DIV/0!</v>
      </c>
      <c r="G29" s="24"/>
      <c r="H29" s="211" t="e">
        <f>IF(Summary!E24&gt;='Fixed Data'!L7,IF(Summary!E24&lt;'Fixed Data'!L6,Summary!E20,""),"")</f>
        <v>#DIV/0!</v>
      </c>
      <c r="I29" s="219"/>
      <c r="J29" s="214" t="e">
        <f>IF(Summary!E24&gt;='Fixed Data'!L7,IF(Summary!E24&lt;'Fixed Data'!L6,'Fixed Data'!C61,""),"")</f>
        <v>#DIV/0!</v>
      </c>
      <c r="K29" s="202"/>
      <c r="L29" s="197"/>
      <c r="M29" s="2"/>
      <c r="N29" s="2"/>
    </row>
    <row r="30" spans="1:14" ht="18.5">
      <c r="A30" s="2"/>
      <c r="B30" s="196"/>
      <c r="C30" s="207"/>
      <c r="D30" s="2"/>
      <c r="E30" s="2"/>
      <c r="F30" s="212"/>
      <c r="G30" s="20"/>
      <c r="H30" s="211"/>
      <c r="I30" s="218"/>
      <c r="J30" s="214"/>
      <c r="K30" s="202"/>
      <c r="L30" s="197"/>
      <c r="M30" s="2"/>
      <c r="N30" s="2"/>
    </row>
    <row r="31" spans="1:14" ht="18.5">
      <c r="A31" s="2"/>
      <c r="B31" s="196"/>
      <c r="C31" s="207"/>
      <c r="D31" s="2"/>
      <c r="E31" s="2"/>
      <c r="F31" s="211" t="e">
        <f>IF(Summary!E24&lt;'Fixed Data'!$L$8,Summary!E24,"")</f>
        <v>#DIV/0!</v>
      </c>
      <c r="G31" s="24"/>
      <c r="H31" s="211" t="e">
        <f>IF(Summary!E24&lt;'Fixed Data'!$L$8,Summary!E20,"")</f>
        <v>#DIV/0!</v>
      </c>
      <c r="I31" s="219"/>
      <c r="J31" s="214" t="e">
        <f>IF(Summary!E24&lt;'Fixed Data'!$L$8,'Fixed Data'!C61,"")</f>
        <v>#DIV/0!</v>
      </c>
      <c r="K31" s="202"/>
      <c r="L31" s="197"/>
      <c r="M31" s="2"/>
      <c r="N31" s="2"/>
    </row>
    <row r="32" spans="1:14" ht="18.5">
      <c r="A32" s="2"/>
      <c r="B32" s="196"/>
      <c r="C32" s="208"/>
      <c r="D32" s="206"/>
      <c r="E32" s="206"/>
      <c r="F32" s="206"/>
      <c r="G32" s="206"/>
      <c r="H32" s="209"/>
      <c r="I32" s="209"/>
      <c r="J32" s="210"/>
      <c r="K32" s="179"/>
      <c r="L32" s="197"/>
      <c r="M32" s="2"/>
      <c r="N32" s="2"/>
    </row>
    <row r="33" spans="1:14" ht="9" customHeight="1">
      <c r="A33" s="2"/>
      <c r="B33" s="196"/>
      <c r="C33" s="2"/>
      <c r="D33" s="2"/>
      <c r="E33" s="2"/>
      <c r="F33" s="2"/>
      <c r="G33" s="2"/>
      <c r="H33" s="18"/>
      <c r="I33" s="18"/>
      <c r="J33" s="4"/>
      <c r="K33" s="2"/>
      <c r="L33" s="197"/>
      <c r="M33" s="2"/>
      <c r="N33" s="2"/>
    </row>
    <row r="34" spans="1:14">
      <c r="A34" s="2"/>
      <c r="B34" s="196"/>
      <c r="C34" s="164" t="s">
        <v>128</v>
      </c>
      <c r="D34" s="164"/>
      <c r="E34" s="164"/>
      <c r="F34" s="164"/>
      <c r="G34" s="164"/>
      <c r="H34" s="164"/>
      <c r="I34" s="164"/>
      <c r="J34" s="164"/>
      <c r="K34" s="201"/>
      <c r="L34" s="197"/>
      <c r="M34" s="2"/>
      <c r="N34" s="2"/>
    </row>
    <row r="35" spans="1:14" ht="18.5">
      <c r="A35" s="2"/>
      <c r="B35" s="196"/>
      <c r="C35" s="207"/>
      <c r="D35" s="2"/>
      <c r="E35" s="2"/>
      <c r="F35" s="2"/>
      <c r="G35" s="2"/>
      <c r="H35" s="19"/>
      <c r="I35" s="19"/>
      <c r="J35" s="2"/>
      <c r="K35" s="202"/>
      <c r="L35" s="197"/>
      <c r="M35" s="2"/>
      <c r="N35" s="2"/>
    </row>
    <row r="36" spans="1:14">
      <c r="A36" s="2"/>
      <c r="B36" s="196"/>
      <c r="C36" s="207"/>
      <c r="D36" s="2"/>
      <c r="E36" s="2"/>
      <c r="F36" s="2"/>
      <c r="G36" s="2"/>
      <c r="H36" s="18"/>
      <c r="I36" s="18"/>
      <c r="J36" s="2"/>
      <c r="K36" s="202"/>
      <c r="L36" s="197"/>
      <c r="M36" s="2"/>
      <c r="N36" s="2"/>
    </row>
    <row r="37" spans="1:14" ht="18.5">
      <c r="A37" s="2"/>
      <c r="B37" s="196"/>
      <c r="C37" s="207"/>
      <c r="D37" s="2"/>
      <c r="E37" s="2"/>
      <c r="F37" s="2"/>
      <c r="G37" s="2"/>
      <c r="H37" s="19"/>
      <c r="I37" s="19"/>
      <c r="J37" s="2"/>
      <c r="K37" s="202"/>
      <c r="L37" s="197"/>
      <c r="M37" s="2"/>
      <c r="N37" s="2"/>
    </row>
    <row r="38" spans="1:14">
      <c r="A38" s="2"/>
      <c r="B38" s="196"/>
      <c r="C38" s="207"/>
      <c r="D38" s="2"/>
      <c r="E38" s="2"/>
      <c r="F38" s="2"/>
      <c r="G38" s="2"/>
      <c r="H38" s="18"/>
      <c r="I38" s="18"/>
      <c r="J38" s="2"/>
      <c r="K38" s="202"/>
      <c r="L38" s="197"/>
      <c r="M38" s="2"/>
      <c r="N38" s="2"/>
    </row>
    <row r="39" spans="1:14" ht="18.5">
      <c r="A39" s="2"/>
      <c r="B39" s="196"/>
      <c r="C39" s="207"/>
      <c r="D39" s="2"/>
      <c r="E39" s="2"/>
      <c r="F39" s="2"/>
      <c r="G39" s="2"/>
      <c r="H39" s="19"/>
      <c r="I39" s="19"/>
      <c r="J39" s="2"/>
      <c r="K39" s="202"/>
      <c r="L39" s="197"/>
      <c r="M39" s="2"/>
      <c r="N39" s="2"/>
    </row>
    <row r="40" spans="1:14">
      <c r="A40" s="2"/>
      <c r="B40" s="196"/>
      <c r="C40" s="207"/>
      <c r="D40" s="2"/>
      <c r="E40" s="2"/>
      <c r="F40" s="2"/>
      <c r="G40" s="2"/>
      <c r="H40" s="2"/>
      <c r="I40" s="2"/>
      <c r="J40" s="2"/>
      <c r="K40" s="202"/>
      <c r="L40" s="197"/>
      <c r="M40" s="2"/>
      <c r="N40" s="2"/>
    </row>
    <row r="41" spans="1:14">
      <c r="A41" s="2"/>
      <c r="B41" s="196"/>
      <c r="C41" s="207"/>
      <c r="D41" s="2"/>
      <c r="E41" s="2"/>
      <c r="F41" s="2"/>
      <c r="G41" s="2"/>
      <c r="H41" s="2"/>
      <c r="I41" s="2"/>
      <c r="J41" s="2"/>
      <c r="K41" s="202"/>
      <c r="L41" s="197"/>
      <c r="M41" s="2"/>
      <c r="N41" s="2"/>
    </row>
    <row r="42" spans="1:14">
      <c r="A42" s="2"/>
      <c r="B42" s="196"/>
      <c r="C42" s="207"/>
      <c r="D42" s="2"/>
      <c r="E42" s="2"/>
      <c r="F42" s="2"/>
      <c r="G42" s="2"/>
      <c r="H42" s="2"/>
      <c r="I42" s="2"/>
      <c r="J42" s="2"/>
      <c r="K42" s="202"/>
      <c r="L42" s="197"/>
      <c r="M42" s="2"/>
      <c r="N42" s="2"/>
    </row>
    <row r="43" spans="1:14">
      <c r="A43" s="2"/>
      <c r="B43" s="196"/>
      <c r="C43" s="207"/>
      <c r="D43" s="2"/>
      <c r="E43" s="2"/>
      <c r="F43" s="2"/>
      <c r="G43" s="2"/>
      <c r="H43" s="2"/>
      <c r="I43" s="2"/>
      <c r="J43" s="2"/>
      <c r="K43" s="202"/>
      <c r="L43" s="197"/>
      <c r="M43" s="2"/>
      <c r="N43" s="2"/>
    </row>
    <row r="44" spans="1:14">
      <c r="A44" s="2"/>
      <c r="B44" s="196"/>
      <c r="C44" s="207"/>
      <c r="D44" s="2"/>
      <c r="E44" s="2"/>
      <c r="F44" s="2"/>
      <c r="G44" s="2"/>
      <c r="H44" s="2"/>
      <c r="I44" s="2"/>
      <c r="J44" s="2"/>
      <c r="K44" s="202"/>
      <c r="L44" s="197"/>
      <c r="M44" s="2"/>
      <c r="N44" s="2"/>
    </row>
    <row r="45" spans="1:14">
      <c r="A45" s="2"/>
      <c r="B45" s="196"/>
      <c r="C45" s="207"/>
      <c r="D45" s="2"/>
      <c r="E45" s="2"/>
      <c r="F45" s="2"/>
      <c r="G45" s="2"/>
      <c r="H45" s="2"/>
      <c r="I45" s="2"/>
      <c r="J45" s="2"/>
      <c r="K45" s="202"/>
      <c r="L45" s="197"/>
      <c r="M45" s="2"/>
      <c r="N45" s="2"/>
    </row>
    <row r="46" spans="1:14">
      <c r="A46" s="2"/>
      <c r="B46" s="196"/>
      <c r="C46" s="207"/>
      <c r="D46" s="2"/>
      <c r="E46" s="2"/>
      <c r="F46" s="2"/>
      <c r="G46" s="2"/>
      <c r="H46" s="2"/>
      <c r="I46" s="2"/>
      <c r="J46" s="2"/>
      <c r="K46" s="202"/>
      <c r="L46" s="197"/>
      <c r="M46" s="2"/>
      <c r="N46" s="2"/>
    </row>
    <row r="47" spans="1:14">
      <c r="A47" s="2"/>
      <c r="B47" s="196"/>
      <c r="C47" s="207"/>
      <c r="D47" s="2"/>
      <c r="E47" s="2"/>
      <c r="F47" s="2"/>
      <c r="G47" s="2"/>
      <c r="H47" s="2"/>
      <c r="I47" s="2"/>
      <c r="J47" s="2"/>
      <c r="K47" s="202"/>
      <c r="L47" s="197"/>
      <c r="M47" s="2"/>
      <c r="N47" s="2"/>
    </row>
    <row r="48" spans="1:14">
      <c r="A48" s="2"/>
      <c r="B48" s="196"/>
      <c r="C48" s="207"/>
      <c r="D48" s="2"/>
      <c r="E48" s="2"/>
      <c r="F48" s="2"/>
      <c r="G48" s="2"/>
      <c r="H48" s="2"/>
      <c r="I48" s="2"/>
      <c r="J48" s="2"/>
      <c r="K48" s="202"/>
      <c r="L48" s="197"/>
      <c r="M48" s="2"/>
      <c r="N48" s="2"/>
    </row>
    <row r="49" spans="1:14">
      <c r="A49" s="2"/>
      <c r="B49" s="196"/>
      <c r="C49" s="207"/>
      <c r="D49" s="2"/>
      <c r="E49" s="2"/>
      <c r="F49" s="2"/>
      <c r="G49" s="2"/>
      <c r="H49" s="2"/>
      <c r="I49" s="2"/>
      <c r="J49" s="2"/>
      <c r="K49" s="202"/>
      <c r="L49" s="197"/>
      <c r="M49" s="2"/>
      <c r="N49" s="2"/>
    </row>
    <row r="50" spans="1:14">
      <c r="A50" s="2"/>
      <c r="B50" s="196"/>
      <c r="C50" s="207"/>
      <c r="D50" s="2"/>
      <c r="E50" s="2"/>
      <c r="F50" s="2"/>
      <c r="G50" s="2"/>
      <c r="H50" s="2"/>
      <c r="I50" s="2"/>
      <c r="J50" s="2"/>
      <c r="K50" s="202"/>
      <c r="L50" s="197"/>
      <c r="M50" s="2"/>
      <c r="N50" s="2"/>
    </row>
    <row r="51" spans="1:14">
      <c r="A51" s="2"/>
      <c r="B51" s="196"/>
      <c r="C51" s="207"/>
      <c r="D51" s="2"/>
      <c r="E51" s="2"/>
      <c r="F51" s="2"/>
      <c r="G51" s="2"/>
      <c r="H51" s="2"/>
      <c r="I51" s="2"/>
      <c r="J51" s="2"/>
      <c r="K51" s="202"/>
      <c r="L51" s="197"/>
      <c r="M51" s="2"/>
      <c r="N51" s="2"/>
    </row>
    <row r="52" spans="1:14" ht="14.25" customHeight="1">
      <c r="A52" s="2"/>
      <c r="B52" s="196"/>
      <c r="C52" s="208"/>
      <c r="D52" s="206"/>
      <c r="E52" s="206"/>
      <c r="F52" s="206"/>
      <c r="G52" s="206"/>
      <c r="H52" s="206"/>
      <c r="I52" s="206"/>
      <c r="J52" s="206"/>
      <c r="K52" s="179"/>
      <c r="L52" s="197"/>
      <c r="M52" s="2"/>
      <c r="N52" s="2"/>
    </row>
    <row r="53" spans="1:14" ht="15" hidden="1" thickBot="1">
      <c r="A53" s="2"/>
      <c r="B53" s="198"/>
      <c r="C53" s="199"/>
      <c r="D53" s="199"/>
      <c r="E53" s="199"/>
      <c r="F53" s="199"/>
      <c r="G53" s="199"/>
      <c r="H53" s="199"/>
      <c r="I53" s="199"/>
      <c r="J53" s="199"/>
      <c r="K53" s="199"/>
      <c r="L53" s="200"/>
      <c r="M53" s="2"/>
      <c r="N53" s="2"/>
    </row>
    <row r="54" spans="1:14" ht="6.75" customHeight="1" thickBot="1">
      <c r="A54" s="2"/>
      <c r="B54" s="198"/>
      <c r="C54" s="199"/>
      <c r="D54" s="199"/>
      <c r="E54" s="199"/>
      <c r="F54" s="199"/>
      <c r="G54" s="199"/>
      <c r="H54" s="199"/>
      <c r="I54" s="199"/>
      <c r="J54" s="199"/>
      <c r="K54" s="199"/>
      <c r="L54" s="200"/>
      <c r="M54" s="2"/>
      <c r="N54" s="2"/>
    </row>
    <row r="55" spans="1:14" s="103" customFormat="1" ht="73.5" customHeight="1">
      <c r="A55" s="8"/>
      <c r="B55" s="265" t="s">
        <v>228</v>
      </c>
      <c r="C55" s="7"/>
      <c r="D55" s="8"/>
      <c r="E55" s="13"/>
      <c r="F55" s="8"/>
      <c r="G55" s="8"/>
      <c r="H55" s="8"/>
      <c r="I55" s="8"/>
      <c r="J55" s="8"/>
      <c r="K55" s="8"/>
      <c r="L55" s="8"/>
      <c r="M55" s="8"/>
      <c r="N55" s="8"/>
    </row>
  </sheetData>
  <sheetProtection sheet="1" objects="1" scenarios="1"/>
  <phoneticPr fontId="48" type="noConversion"/>
  <printOptions horizontalCentered="1"/>
  <pageMargins left="0.31496062992125984" right="0.31496062992125984" top="0.55118110236220474" bottom="0.55118110236220474" header="0.31496062992125984" footer="0.31496062992125984"/>
  <pageSetup paperSize="9" scale="92" orientation="portrait" r:id="rId1"/>
  <rowBreaks count="1" manualBreakCount="1">
    <brk id="55" max="12"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sheetPr>
  <dimension ref="A1:E10"/>
  <sheetViews>
    <sheetView zoomScaleNormal="100" workbookViewId="0">
      <selection activeCell="D8" sqref="D8"/>
    </sheetView>
  </sheetViews>
  <sheetFormatPr defaultColWidth="9.1796875" defaultRowHeight="14.5"/>
  <cols>
    <col min="1" max="1" width="12.81640625" style="222" customWidth="1"/>
    <col min="2" max="2" width="40.1796875" style="222" customWidth="1"/>
    <col min="3" max="3" width="11.7265625" style="222" customWidth="1"/>
    <col min="4" max="4" width="26.81640625" style="222" customWidth="1"/>
    <col min="5" max="5" width="1.26953125" style="222" customWidth="1"/>
    <col min="6" max="16384" width="9.1796875" style="222"/>
  </cols>
  <sheetData>
    <row r="1" spans="1:5" ht="28.5" customHeight="1">
      <c r="A1" s="242" t="s">
        <v>225</v>
      </c>
      <c r="B1" s="242"/>
      <c r="C1" s="242"/>
      <c r="D1" s="242"/>
      <c r="E1" s="2"/>
    </row>
    <row r="2" spans="1:5">
      <c r="A2" s="243" t="s">
        <v>116</v>
      </c>
      <c r="B2" s="243" t="s">
        <v>117</v>
      </c>
      <c r="C2" s="243" t="s">
        <v>101</v>
      </c>
      <c r="D2" s="243" t="s">
        <v>118</v>
      </c>
      <c r="E2" s="2"/>
    </row>
    <row r="3" spans="1:5" ht="20">
      <c r="A3" s="244">
        <v>1</v>
      </c>
      <c r="B3" s="245"/>
      <c r="C3" s="246">
        <v>40100</v>
      </c>
      <c r="D3" s="245" t="s">
        <v>144</v>
      </c>
      <c r="E3" s="2"/>
    </row>
    <row r="4" spans="1:5" ht="30">
      <c r="A4" s="244">
        <v>2</v>
      </c>
      <c r="B4" s="245" t="s">
        <v>143</v>
      </c>
      <c r="C4" s="246">
        <v>40108</v>
      </c>
      <c r="D4" s="245" t="s">
        <v>129</v>
      </c>
      <c r="E4" s="2"/>
    </row>
    <row r="5" spans="1:5" ht="29.25" customHeight="1">
      <c r="A5" s="247">
        <v>3</v>
      </c>
      <c r="B5" s="248" t="s">
        <v>223</v>
      </c>
      <c r="C5" s="249">
        <v>40240</v>
      </c>
      <c r="D5" s="245" t="s">
        <v>224</v>
      </c>
      <c r="E5" s="2"/>
    </row>
    <row r="6" spans="1:5" ht="20">
      <c r="A6" s="247">
        <v>4</v>
      </c>
      <c r="B6" s="248" t="s">
        <v>226</v>
      </c>
      <c r="C6" s="249">
        <v>40242</v>
      </c>
      <c r="D6" s="245" t="s">
        <v>227</v>
      </c>
      <c r="E6" s="2"/>
    </row>
    <row r="7" spans="1:5" ht="20">
      <c r="A7" s="247">
        <v>5</v>
      </c>
      <c r="B7" s="248" t="s">
        <v>230</v>
      </c>
      <c r="C7" s="249">
        <v>40259</v>
      </c>
      <c r="D7" s="248" t="s">
        <v>229</v>
      </c>
      <c r="E7" s="2"/>
    </row>
    <row r="8" spans="1:5" ht="30">
      <c r="A8" s="247">
        <v>6</v>
      </c>
      <c r="B8" s="248" t="s">
        <v>323</v>
      </c>
      <c r="C8" s="249">
        <v>41226</v>
      </c>
      <c r="D8" s="248" t="s">
        <v>361</v>
      </c>
      <c r="E8" s="2"/>
    </row>
    <row r="9" spans="1:5" ht="20">
      <c r="A9" s="247">
        <v>7</v>
      </c>
      <c r="B9" s="248" t="s">
        <v>345</v>
      </c>
      <c r="C9" s="249">
        <v>41339</v>
      </c>
      <c r="D9" s="248" t="s">
        <v>360</v>
      </c>
      <c r="E9" s="2"/>
    </row>
    <row r="10" spans="1:5" ht="76.5" customHeight="1">
      <c r="A10" s="467" t="s">
        <v>231</v>
      </c>
      <c r="B10" s="468"/>
      <c r="C10" s="468"/>
      <c r="D10" s="468"/>
      <c r="E10" s="2"/>
    </row>
  </sheetData>
  <sheetProtection sheet="1" objects="1" scenarios="1"/>
  <mergeCells count="1">
    <mergeCell ref="A10:D10"/>
  </mergeCells>
  <phoneticPr fontId="48"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499984740745262"/>
  </sheetPr>
  <dimension ref="A2:O71"/>
  <sheetViews>
    <sheetView topLeftCell="B18" zoomScale="85" zoomScaleNormal="85" workbookViewId="0">
      <selection activeCell="E29" sqref="E29"/>
    </sheetView>
  </sheetViews>
  <sheetFormatPr defaultColWidth="9.1796875" defaultRowHeight="14.5"/>
  <cols>
    <col min="1" max="1" width="23.1796875" style="222" customWidth="1"/>
    <col min="2" max="2" width="82" style="222" bestFit="1" customWidth="1"/>
    <col min="3" max="3" width="14.54296875" style="222" bestFit="1" customWidth="1"/>
    <col min="4" max="4" width="12.453125" style="222" bestFit="1" customWidth="1"/>
    <col min="5" max="5" width="22.81640625" style="222" customWidth="1"/>
    <col min="6" max="6" width="4.1796875" style="222" bestFit="1" customWidth="1"/>
    <col min="7" max="7" width="2.453125" style="222" customWidth="1"/>
    <col min="8" max="8" width="31.81640625" style="222" bestFit="1" customWidth="1"/>
    <col min="9" max="9" width="10.453125" style="222" bestFit="1" customWidth="1"/>
    <col min="10" max="10" width="17" style="222" customWidth="1"/>
    <col min="11" max="11" width="12.26953125" style="222" customWidth="1"/>
    <col min="12" max="12" width="56.453125" style="222" customWidth="1"/>
    <col min="13" max="13" width="9.81640625" style="222" bestFit="1" customWidth="1"/>
    <col min="14" max="14" width="15" style="222" bestFit="1" customWidth="1"/>
    <col min="15" max="16384" width="9.1796875" style="222"/>
  </cols>
  <sheetData>
    <row r="2" spans="2:15" ht="15">
      <c r="B2" s="220" t="s">
        <v>14</v>
      </c>
      <c r="C2" s="221" t="s">
        <v>4</v>
      </c>
      <c r="D2" s="221" t="s">
        <v>66</v>
      </c>
      <c r="E2" s="291" t="s">
        <v>138</v>
      </c>
      <c r="F2" s="291" t="s">
        <v>180</v>
      </c>
      <c r="H2" s="469" t="s">
        <v>5</v>
      </c>
      <c r="I2" s="469"/>
      <c r="J2" s="223"/>
      <c r="K2" s="224" t="s">
        <v>73</v>
      </c>
      <c r="L2" s="225">
        <v>0.7</v>
      </c>
      <c r="N2" s="226" t="s">
        <v>79</v>
      </c>
      <c r="O2" s="227">
        <f>Summary!H43</f>
        <v>0</v>
      </c>
    </row>
    <row r="3" spans="2:15">
      <c r="B3" s="228"/>
      <c r="C3" s="229" t="s">
        <v>2</v>
      </c>
      <c r="D3" s="229" t="s">
        <v>65</v>
      </c>
      <c r="E3" s="292" t="s">
        <v>139</v>
      </c>
      <c r="F3" s="292" t="s">
        <v>181</v>
      </c>
      <c r="H3" s="230" t="s">
        <v>2</v>
      </c>
      <c r="I3" s="230" t="s">
        <v>4</v>
      </c>
      <c r="J3" s="231"/>
      <c r="K3" s="232"/>
      <c r="L3" s="225">
        <v>0.65</v>
      </c>
      <c r="N3" s="226" t="s">
        <v>80</v>
      </c>
      <c r="O3" s="227" t="e">
        <f>Summary!H47</f>
        <v>#VALUE!</v>
      </c>
    </row>
    <row r="4" spans="2:15">
      <c r="B4" s="233"/>
      <c r="C4" s="234" t="s">
        <v>15</v>
      </c>
      <c r="D4" s="234"/>
      <c r="E4" s="293"/>
      <c r="F4" s="293"/>
      <c r="H4" s="232">
        <v>1</v>
      </c>
      <c r="I4" s="235">
        <f>H4*10.197</f>
        <v>10.196999999999999</v>
      </c>
      <c r="J4" s="236"/>
      <c r="K4" s="232"/>
      <c r="L4" s="225">
        <v>0.55000000000000004</v>
      </c>
      <c r="N4" s="226" t="s">
        <v>48</v>
      </c>
      <c r="O4" s="227" t="e">
        <f>Summary!H49</f>
        <v>#VALUE!</v>
      </c>
    </row>
    <row r="5" spans="2:15">
      <c r="H5" s="232"/>
      <c r="I5" s="232"/>
      <c r="K5" s="232"/>
      <c r="L5" s="225">
        <v>0.45</v>
      </c>
      <c r="N5" s="226" t="s">
        <v>74</v>
      </c>
      <c r="O5" s="227" t="e">
        <f>Summary!H53</f>
        <v>#DIV/0!</v>
      </c>
    </row>
    <row r="6" spans="2:15">
      <c r="B6" s="237" t="s">
        <v>10</v>
      </c>
      <c r="C6" s="237" t="s">
        <v>11</v>
      </c>
      <c r="H6" s="224" t="s">
        <v>15</v>
      </c>
      <c r="I6" s="224" t="s">
        <v>4</v>
      </c>
      <c r="J6" s="237"/>
      <c r="K6" s="232"/>
      <c r="L6" s="225">
        <v>0.35</v>
      </c>
    </row>
    <row r="7" spans="2:15">
      <c r="B7" s="222" t="s">
        <v>12</v>
      </c>
      <c r="C7" s="222">
        <v>9.81</v>
      </c>
      <c r="D7" s="222" t="s">
        <v>3</v>
      </c>
      <c r="H7" s="232">
        <v>1</v>
      </c>
      <c r="I7" s="232">
        <v>0.70324961490204896</v>
      </c>
      <c r="K7" s="232"/>
      <c r="L7" s="225">
        <v>0.25</v>
      </c>
    </row>
    <row r="8" spans="2:15">
      <c r="H8" s="232"/>
      <c r="I8" s="238"/>
      <c r="J8" s="239"/>
      <c r="K8" s="232"/>
      <c r="L8" s="225">
        <v>0.25</v>
      </c>
    </row>
    <row r="9" spans="2:15">
      <c r="B9" s="369" t="s">
        <v>28</v>
      </c>
      <c r="C9" s="370">
        <f>SQRT((('Inputs - Pumping (above ground)'!F54*'Inputs - Pumping (above ground)'!F107*'Inputs - Pumping (above ground)'!F50*g)/3600000)^2)</f>
        <v>0</v>
      </c>
      <c r="D9" s="369" t="s">
        <v>0</v>
      </c>
      <c r="H9" s="224" t="s">
        <v>65</v>
      </c>
      <c r="I9" s="224" t="s">
        <v>67</v>
      </c>
      <c r="J9" s="237"/>
      <c r="L9" s="241"/>
    </row>
    <row r="10" spans="2:15">
      <c r="B10" s="371" t="s">
        <v>29</v>
      </c>
      <c r="C10" s="372">
        <f>('Inputs - Pumping (above ground)'!F54*'Inputs - Pumping (above ground)'!F107*'Inputs - Pumping (above ground)'!F50*g*'Fixed Data'!I4)/3600000</f>
        <v>0</v>
      </c>
      <c r="D10" s="371" t="s">
        <v>0</v>
      </c>
      <c r="H10" s="232">
        <v>1</v>
      </c>
      <c r="I10" s="232">
        <v>4.5460919999999998E-3</v>
      </c>
      <c r="L10" s="241"/>
    </row>
    <row r="11" spans="2:15">
      <c r="B11" s="371" t="s">
        <v>30</v>
      </c>
      <c r="C11" s="372">
        <f>((('Inputs - Pumping (above ground)'!$F$54*'Fixed Data'!$I$7)*'Inputs - Pumping (above ground)'!$F$107*g*'Inputs - Pumping (above ground)'!$F$50))/3600000</f>
        <v>0</v>
      </c>
      <c r="D11" s="371" t="s">
        <v>0</v>
      </c>
      <c r="H11" s="237"/>
      <c r="I11" s="237"/>
      <c r="J11" s="237"/>
    </row>
    <row r="12" spans="2:15">
      <c r="B12" s="369"/>
      <c r="C12" s="369"/>
      <c r="D12" s="369"/>
    </row>
    <row r="13" spans="2:15">
      <c r="B13" s="369" t="s">
        <v>31</v>
      </c>
      <c r="C13" s="370">
        <f>SQRT((('Inputs - Pumping (above ground)'!$F$54*'Inputs - Pumping (above ground)'!$F$107*('Inputs - Pumping (above ground)'!$F$45-'Inputs - Pumping (above ground)'!$F$47)*g)/3600000)^2)</f>
        <v>0</v>
      </c>
      <c r="D13" s="369" t="s">
        <v>0</v>
      </c>
    </row>
    <row r="14" spans="2:15">
      <c r="B14" s="371" t="s">
        <v>32</v>
      </c>
      <c r="C14" s="372">
        <f>('Inputs - Pumping (above ground)'!$F$54*'Inputs - Pumping (above ground)'!$F$107*'Inputs - Pumping (above ground)'!$F$45*g*'Fixed Data'!I4)/3600000</f>
        <v>0</v>
      </c>
      <c r="D14" s="371" t="s">
        <v>0</v>
      </c>
    </row>
    <row r="15" spans="2:15">
      <c r="B15" s="371" t="s">
        <v>33</v>
      </c>
      <c r="C15" s="372">
        <f>('Inputs - Pumping (above ground)'!$F$54*'Inputs - Pumping (above ground)'!$F$107*'Inputs - Pumping (above ground)'!$F$45*g*'Fixed Data'!I7)/3600000</f>
        <v>0</v>
      </c>
      <c r="D15" s="371" t="s">
        <v>0</v>
      </c>
    </row>
    <row r="16" spans="2:15">
      <c r="B16" s="369"/>
      <c r="C16" s="370"/>
      <c r="D16" s="369"/>
    </row>
    <row r="17" spans="1:4">
      <c r="B17" s="329"/>
      <c r="C17" s="330"/>
      <c r="D17" s="329"/>
    </row>
    <row r="18" spans="1:4">
      <c r="B18" s="222" t="s">
        <v>182</v>
      </c>
      <c r="C18" s="240">
        <f>'Inputs - Pumping (above ground)'!F52*'Inputs - Pumping (above ground)'!F54*'Inputs - Pumping (above ground)'!F107*g/3600000</f>
        <v>0</v>
      </c>
      <c r="D18" s="222" t="s">
        <v>0</v>
      </c>
    </row>
    <row r="19" spans="1:4">
      <c r="B19" s="222" t="s">
        <v>183</v>
      </c>
      <c r="C19" s="240">
        <f>'Inputs - Pumping (above ground)'!$F$54*'Inputs - Pumping (above ground)'!$F$52*'Inputs - Pumping (above ground)'!$F$107*g*'Fixed Data'!$I$4/3600000</f>
        <v>0</v>
      </c>
      <c r="D19" s="222" t="s">
        <v>0</v>
      </c>
    </row>
    <row r="20" spans="1:4">
      <c r="B20" s="222" t="s">
        <v>184</v>
      </c>
      <c r="C20" s="240">
        <f>('Inputs - Pumping (above ground)'!$F$52*'Fixed Data'!$I$7)*'Inputs - Pumping (above ground)'!$F$54*'Inputs - Pumping (above ground)'!$F$107*g/3600000</f>
        <v>0</v>
      </c>
      <c r="D20" s="222" t="s">
        <v>0</v>
      </c>
    </row>
    <row r="22" spans="1:4">
      <c r="B22" s="222" t="s">
        <v>254</v>
      </c>
      <c r="C22" s="240">
        <f>C18+'Fixed Data'!C13</f>
        <v>0</v>
      </c>
      <c r="D22" s="222" t="s">
        <v>0</v>
      </c>
    </row>
    <row r="23" spans="1:4">
      <c r="B23" s="222" t="s">
        <v>255</v>
      </c>
      <c r="C23" s="240">
        <f>C19+'Fixed Data'!C13</f>
        <v>0</v>
      </c>
      <c r="D23" s="222" t="s">
        <v>0</v>
      </c>
    </row>
    <row r="24" spans="1:4">
      <c r="B24" s="222" t="s">
        <v>256</v>
      </c>
      <c r="C24" s="240">
        <f>C20+'Fixed Data'!C13</f>
        <v>0</v>
      </c>
      <c r="D24" s="222" t="s">
        <v>0</v>
      </c>
    </row>
    <row r="25" spans="1:4">
      <c r="C25" s="240"/>
    </row>
    <row r="26" spans="1:4">
      <c r="A26" s="470" t="s">
        <v>187</v>
      </c>
      <c r="B26" s="222" t="s">
        <v>257</v>
      </c>
      <c r="C26" s="240">
        <f>C22*'Fixed Data'!$I$10</f>
        <v>0</v>
      </c>
      <c r="D26" s="222" t="s">
        <v>0</v>
      </c>
    </row>
    <row r="27" spans="1:4">
      <c r="A27" s="470"/>
      <c r="B27" s="222" t="s">
        <v>258</v>
      </c>
      <c r="C27" s="240">
        <f>C23*'Fixed Data'!$I$10</f>
        <v>0</v>
      </c>
      <c r="D27" s="222" t="s">
        <v>0</v>
      </c>
    </row>
    <row r="28" spans="1:4" ht="17.25" customHeight="1">
      <c r="A28" s="470"/>
      <c r="B28" s="222" t="s">
        <v>259</v>
      </c>
      <c r="C28" s="240">
        <f>C24*'Fixed Data'!$I$10</f>
        <v>0</v>
      </c>
      <c r="D28" s="222" t="s">
        <v>0</v>
      </c>
    </row>
    <row r="29" spans="1:4">
      <c r="A29" s="368"/>
      <c r="C29" s="240"/>
    </row>
    <row r="30" spans="1:4">
      <c r="A30" s="368"/>
      <c r="C30" s="240"/>
    </row>
    <row r="31" spans="1:4">
      <c r="A31" s="368"/>
      <c r="B31" s="222" t="s">
        <v>16</v>
      </c>
      <c r="C31" s="240">
        <f>('Inputs - Pumping (above ground)'!$F$54*'Inputs - Pumping (above ground)'!$F$107*'Inputs - Pumping (above ground)'!$F$62*g)/3600000</f>
        <v>0</v>
      </c>
      <c r="D31" s="222" t="s">
        <v>0</v>
      </c>
    </row>
    <row r="32" spans="1:4">
      <c r="A32" s="368"/>
      <c r="B32" s="222" t="s">
        <v>17</v>
      </c>
      <c r="C32" s="240">
        <f>('Inputs - Pumping (above ground)'!$F$54*'Fixed Data'!$I$4*'Inputs - Pumping (above ground)'!$F$107*'Inputs - Pumping (above ground)'!$F$62*g)/3600000</f>
        <v>0</v>
      </c>
      <c r="D32" s="222" t="s">
        <v>0</v>
      </c>
    </row>
    <row r="33" spans="1:10">
      <c r="A33" s="368"/>
      <c r="B33" s="222" t="s">
        <v>18</v>
      </c>
      <c r="C33" s="240">
        <f>('Inputs - Pumping (above ground)'!$F$54*'Fixed Data'!$I$7*'Inputs - Pumping (above ground)'!$F$107*'Inputs - Pumping (above ground)'!$F$62*g)/3600000</f>
        <v>0</v>
      </c>
      <c r="D33" s="222" t="s">
        <v>0</v>
      </c>
    </row>
    <row r="34" spans="1:10">
      <c r="A34" s="368"/>
      <c r="C34" s="240"/>
    </row>
    <row r="35" spans="1:10" ht="22.5" customHeight="1">
      <c r="A35" s="470" t="s">
        <v>264</v>
      </c>
      <c r="B35" s="222" t="s">
        <v>61</v>
      </c>
      <c r="C35" s="240">
        <f>'Inputs - Pumping (above ground)'!F52</f>
        <v>0</v>
      </c>
      <c r="D35" s="222" t="s">
        <v>64</v>
      </c>
    </row>
    <row r="36" spans="1:10" ht="22.5" customHeight="1">
      <c r="A36" s="470"/>
      <c r="B36" s="222" t="s">
        <v>62</v>
      </c>
      <c r="C36" s="240">
        <f>'Inputs - Pumping (above ground)'!F52*'Fixed Data'!I4</f>
        <v>0</v>
      </c>
      <c r="D36" s="222" t="s">
        <v>64</v>
      </c>
    </row>
    <row r="37" spans="1:10">
      <c r="A37" s="470"/>
      <c r="B37" s="222" t="s">
        <v>63</v>
      </c>
      <c r="C37" s="240">
        <f>'Inputs - Pumping (above ground)'!F52*'Fixed Data'!I7</f>
        <v>0</v>
      </c>
      <c r="D37" s="222" t="s">
        <v>64</v>
      </c>
      <c r="J37" s="240"/>
    </row>
    <row r="38" spans="1:10">
      <c r="C38" s="240"/>
    </row>
    <row r="39" spans="1:10">
      <c r="B39" s="222" t="s">
        <v>69</v>
      </c>
      <c r="C39" s="240">
        <f>IF('Inputs - Pumping (above ground)'!G52="m of head",'Fixed Data'!C35,IF('Inputs - Pumping (above ground)'!G52="bar",'Fixed Data'!C36,IF('Inputs - Pumping (above ground)'!G52="psi",'Fixed Data'!C37)))</f>
        <v>0</v>
      </c>
      <c r="D39" s="222" t="s">
        <v>64</v>
      </c>
      <c r="J39" s="236"/>
    </row>
    <row r="40" spans="1:10">
      <c r="B40" s="103"/>
      <c r="C40" s="103"/>
      <c r="J40" s="236"/>
    </row>
    <row r="41" spans="1:10">
      <c r="B41" s="222" t="s">
        <v>277</v>
      </c>
      <c r="C41" s="240" t="e">
        <f>IF('Inputs - Pumping (above ground)'!G52="m of head",1-(('Fixed Data'!C35-'Inputs - Pumping (above ground)'!F50)/'Fixed Data'!C35),IF('Inputs - Pumping (above ground)'!G52="Bar",1-(('Fixed Data'!C36-'Inputs - Pumping (above ground)'!F50)/'Fixed Data'!C36),IF('Inputs - Pumping (above ground)'!G52="psi",1-('Fixed Data'!C37-'Inputs - Pumping (above ground)'!F50)/'Fixed Data'!C37)))</f>
        <v>#DIV/0!</v>
      </c>
    </row>
    <row r="42" spans="1:10">
      <c r="B42" s="222" t="s">
        <v>278</v>
      </c>
      <c r="C42" s="387" t="e">
        <f>IF('Inputs - Pumping (above ground)'!G122="m hd per km of pipe",1-(('Inputs - Pumping (above ground)'!$F$122*'Inputs - Pumping (above ground)'!$F$109)/'Fixed Data'!$C$39),IF('Inputs - Pumping (above ground)'!G122="bar per km of pipe",1-(('Inputs - Pumping (above ground)'!$F$122*'Inputs - Pumping (above ground)'!$F$109*'Fixed Data'!I4)/'Fixed Data'!$C$39)))</f>
        <v>#DIV/0!</v>
      </c>
    </row>
    <row r="43" spans="1:10">
      <c r="B43" s="222" t="s">
        <v>120</v>
      </c>
      <c r="C43" s="388">
        <f>IF('Inputs - Pumping (above ground)'!G54="m3/h",'Inputs - Pumping (above ground)'!F54*'Inputs - Pumping (above ground)'!F111,IF('Inputs - Pumping (above ground)'!G54="g/h",'Inputs - Pumping (above ground)'!F54*'Inputs - Pumping (above ground)'!F111*'Fixed Data'!I10))</f>
        <v>0</v>
      </c>
    </row>
    <row r="45" spans="1:10">
      <c r="B45" s="222" t="s">
        <v>51</v>
      </c>
      <c r="C45" s="390">
        <f>Summary!E43*Summary!E$29*'Inputs - Pumping (above ground)'!F103</f>
        <v>0</v>
      </c>
    </row>
    <row r="46" spans="1:10">
      <c r="C46" s="390"/>
    </row>
    <row r="47" spans="1:10">
      <c r="B47" s="222" t="s">
        <v>52</v>
      </c>
      <c r="C47" s="390" t="e">
        <f>Summary!E47*(Summary!E$29*Summary!E16)*'Inputs - Pumping (above ground)'!F103</f>
        <v>#VALUE!</v>
      </c>
    </row>
    <row r="48" spans="1:10">
      <c r="C48" s="390"/>
    </row>
    <row r="49" spans="2:4">
      <c r="B49" s="222" t="s">
        <v>53</v>
      </c>
      <c r="C49" s="390" t="e">
        <f>Summary!E49*(Summary!E$29*Summary!E16*Summary!E20*Summary!E18)*'Inputs - Pumping (above ground)'!F103</f>
        <v>#DIV/0!</v>
      </c>
    </row>
    <row r="50" spans="2:4">
      <c r="C50" s="390"/>
    </row>
    <row r="51" spans="2:4">
      <c r="B51" s="222" t="s">
        <v>54</v>
      </c>
      <c r="C51" s="390" t="e">
        <f>Summary!E51*Summary!E$29*'Inputs - Pumping (above ground)'!F103</f>
        <v>#DIV/0!</v>
      </c>
    </row>
    <row r="52" spans="2:4">
      <c r="C52" s="390"/>
    </row>
    <row r="53" spans="2:4">
      <c r="B53" s="222" t="s">
        <v>74</v>
      </c>
      <c r="C53" s="390" t="e">
        <f>Summary!E53*'Inputs - Pumping (above ground)'!F103*Summary!E$29</f>
        <v>#DIV/0!</v>
      </c>
    </row>
    <row r="54" spans="2:4">
      <c r="C54" s="394"/>
      <c r="D54" s="394"/>
    </row>
    <row r="55" spans="2:4" ht="15">
      <c r="B55" s="222" t="s">
        <v>85</v>
      </c>
      <c r="C55" s="393" t="e">
        <f>Summary!E29/'Fixed Data'!C43</f>
        <v>#DIV/0!</v>
      </c>
      <c r="D55" s="394"/>
    </row>
    <row r="56" spans="2:4">
      <c r="C56" s="393"/>
      <c r="D56" s="394"/>
    </row>
    <row r="57" spans="2:4" ht="15">
      <c r="B57" s="222" t="s">
        <v>110</v>
      </c>
      <c r="C57" s="393" t="e">
        <f>Summary!E31/'Fixed Data'!C43</f>
        <v>#DIV/0!</v>
      </c>
      <c r="D57" s="394"/>
    </row>
    <row r="58" spans="2:4">
      <c r="C58" s="393"/>
      <c r="D58" s="394"/>
    </row>
    <row r="59" spans="2:4" ht="15.5">
      <c r="B59" s="222" t="s">
        <v>112</v>
      </c>
      <c r="C59" s="393" t="e">
        <f>C55*Emission_Factor</f>
        <v>#DIV/0!</v>
      </c>
      <c r="D59" s="394"/>
    </row>
    <row r="60" spans="2:4">
      <c r="C60" s="394"/>
      <c r="D60" s="394"/>
    </row>
    <row r="61" spans="2:4" ht="15">
      <c r="B61" s="222" t="s">
        <v>109</v>
      </c>
      <c r="C61" s="395" t="e">
        <f>'Fixed Data'!C55*1000/('Inputs - Pumping (above ground)'!F$50-'Inputs - Pumping (above ground)'!F$45)</f>
        <v>#DIV/0!</v>
      </c>
      <c r="D61" s="394"/>
    </row>
    <row r="62" spans="2:4">
      <c r="C62" s="395"/>
      <c r="D62" s="394"/>
    </row>
    <row r="63" spans="2:4" ht="15">
      <c r="B63" s="222" t="s">
        <v>111</v>
      </c>
      <c r="C63" s="395" t="e">
        <f>'Fixed Data'!C57*1000/('Inputs - Pumping (above ground)'!F$50-'Inputs - Pumping (above ground)'!F$45)</f>
        <v>#DIV/0!</v>
      </c>
      <c r="D63" s="394"/>
    </row>
    <row r="64" spans="2:4">
      <c r="C64" s="395"/>
      <c r="D64" s="394"/>
    </row>
    <row r="65" spans="2:4" ht="15.5">
      <c r="B65" s="222" t="s">
        <v>280</v>
      </c>
      <c r="C65" s="395" t="e">
        <f>'Fixed Data'!C59*1000/('Inputs - Pumping (above ground)'!F$50-'Inputs - Pumping (above ground)'!F$45)</f>
        <v>#DIV/0!</v>
      </c>
      <c r="D65" s="394"/>
    </row>
    <row r="66" spans="2:4">
      <c r="C66" s="394"/>
      <c r="D66" s="394"/>
    </row>
    <row r="67" spans="2:4">
      <c r="C67" s="394"/>
      <c r="D67" s="394"/>
    </row>
    <row r="68" spans="2:4">
      <c r="C68" s="394"/>
      <c r="D68" s="394"/>
    </row>
    <row r="69" spans="2:4">
      <c r="C69" s="394"/>
      <c r="D69" s="394"/>
    </row>
    <row r="70" spans="2:4">
      <c r="C70" s="394"/>
      <c r="D70" s="394"/>
    </row>
    <row r="71" spans="2:4">
      <c r="C71" s="394"/>
      <c r="D71" s="394"/>
    </row>
  </sheetData>
  <mergeCells count="3">
    <mergeCell ref="H2:I2"/>
    <mergeCell ref="A26:A28"/>
    <mergeCell ref="A35:A37"/>
  </mergeCells>
  <phoneticPr fontId="4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10</vt:i4>
      </vt:variant>
      <vt:variant>
        <vt:lpstr>Intervalos com Nome</vt:lpstr>
      </vt:variant>
      <vt:variant>
        <vt:i4>20</vt:i4>
      </vt:variant>
    </vt:vector>
  </HeadingPairs>
  <TitlesOfParts>
    <vt:vector size="30" baseType="lpstr">
      <vt:lpstr>Introduction</vt:lpstr>
      <vt:lpstr>Help - Pumping (above ground)</vt:lpstr>
      <vt:lpstr>Inputs - Pumping (above ground)</vt:lpstr>
      <vt:lpstr>Help - Borehole Pumping</vt:lpstr>
      <vt:lpstr>Inputs - Borehole Pumping</vt:lpstr>
      <vt:lpstr>Summary</vt:lpstr>
      <vt:lpstr>Performance Certificate</vt:lpstr>
      <vt:lpstr>Version</vt:lpstr>
      <vt:lpstr>Fixed Data</vt:lpstr>
      <vt:lpstr>Fixed Data (2)</vt:lpstr>
      <vt:lpstr>'Help - Pumping (above ground)'!Área_de_Impressão</vt:lpstr>
      <vt:lpstr>'Inputs - Borehole Pumping'!Área_de_Impressão</vt:lpstr>
      <vt:lpstr>'Inputs - Pumping (above ground)'!Área_de_Impressão</vt:lpstr>
      <vt:lpstr>'Performance Certificate'!Área_de_Impressão</vt:lpstr>
      <vt:lpstr>Summary!Área_de_Impressão</vt:lpstr>
      <vt:lpstr>'Fixed Data (2)'!diameter</vt:lpstr>
      <vt:lpstr>diameter</vt:lpstr>
      <vt:lpstr>'Inputs - Borehole Pumping'!EF_bh</vt:lpstr>
      <vt:lpstr>Emission_Factor</vt:lpstr>
      <vt:lpstr>'Fixed Data (2)'!flow_rate</vt:lpstr>
      <vt:lpstr>flow_rate</vt:lpstr>
      <vt:lpstr>'Fixed Data (2)'!Friction</vt:lpstr>
      <vt:lpstr>Friction</vt:lpstr>
      <vt:lpstr>'Fixed Data (2)'!g</vt:lpstr>
      <vt:lpstr>g</vt:lpstr>
      <vt:lpstr>'Fixed Data (2)'!m_head_per_km_pipe</vt:lpstr>
      <vt:lpstr>m_head_per_km_pipe</vt:lpstr>
      <vt:lpstr>'Fixed Data (2)'!Pressure</vt:lpstr>
      <vt:lpstr>Pressure</vt:lpstr>
      <vt:lpstr>selection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Pump Efficiency Calculation Tool</dc:title>
  <dc:creator>Byrne Ó Cléirigh Consulting</dc:creator>
  <cp:lastModifiedBy>Maria Regina Casimiro</cp:lastModifiedBy>
  <cp:lastPrinted>2013-03-06T09:32:13Z</cp:lastPrinted>
  <dcterms:created xsi:type="dcterms:W3CDTF">2009-08-31T11:42:11Z</dcterms:created>
  <dcterms:modified xsi:type="dcterms:W3CDTF">2024-03-15T14:34:32Z</dcterms:modified>
</cp:coreProperties>
</file>