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-45" yWindow="390" windowWidth="9855" windowHeight="9720" tabRatio="561" activeTab="1"/>
  </bookViews>
  <sheets>
    <sheet name="Dados base" sheetId="15" r:id="rId1"/>
    <sheet name="Fornecido" sheetId="1" r:id="rId2"/>
    <sheet name="Mínimo" sheetId="8" r:id="rId3"/>
    <sheet name="Turbinado" sheetId="9" r:id="rId4"/>
    <sheet name="Output 1" sheetId="7" state="hidden" r:id="rId5"/>
    <sheet name="BE (kWh)" sheetId="13" r:id="rId6"/>
    <sheet name="Output 1 (3)" sheetId="14" state="hidden" r:id="rId7"/>
    <sheet name="BE (%)" sheetId="18" r:id="rId8"/>
    <sheet name="Indicadores sistema" sheetId="5" r:id="rId9"/>
    <sheet name="Output2" sheetId="11" state="hidden" r:id="rId10"/>
    <sheet name="Levantamento de valvulas" sheetId="12" state="hidden" r:id="rId11"/>
  </sheets>
  <calcPr calcId="162913"/>
</workbook>
</file>

<file path=xl/calcChain.xml><?xml version="1.0" encoding="utf-8"?>
<calcChain xmlns="http://schemas.openxmlformats.org/spreadsheetml/2006/main">
  <c r="G77" i="1" l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D77" i="1"/>
  <c r="E77" i="1"/>
  <c r="F77" i="1"/>
  <c r="C77" i="1"/>
  <c r="C13" i="8" l="1"/>
  <c r="F9" i="8"/>
  <c r="C75" i="1"/>
  <c r="C73" i="1"/>
  <c r="C67" i="1"/>
  <c r="F63" i="1"/>
  <c r="E63" i="1"/>
  <c r="D63" i="1"/>
  <c r="C63" i="1"/>
  <c r="C27" i="1"/>
  <c r="C26" i="1"/>
  <c r="C13" i="1"/>
  <c r="D65" i="1" l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C65" i="1"/>
  <c r="E5" i="5" l="1"/>
  <c r="E4" i="5"/>
  <c r="C2" i="5" l="1"/>
  <c r="D70" i="1" l="1"/>
  <c r="E70" i="1"/>
  <c r="F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D69" i="1"/>
  <c r="E69" i="1"/>
  <c r="F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C70" i="1"/>
  <c r="C69" i="1" l="1"/>
  <c r="C71" i="1" l="1"/>
  <c r="C3" i="8" l="1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C25" i="8" l="1"/>
  <c r="E63" i="8" l="1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D75" i="1" l="1"/>
  <c r="E75" i="1"/>
  <c r="F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C76" i="1" l="1"/>
  <c r="C38" i="8"/>
  <c r="C49" i="1"/>
  <c r="B32" i="5" s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C72" i="1"/>
  <c r="D71" i="1"/>
  <c r="D72" i="1" s="1"/>
  <c r="E71" i="1"/>
  <c r="E74" i="1" s="1"/>
  <c r="F71" i="1"/>
  <c r="F72" i="1" s="1"/>
  <c r="H71" i="1"/>
  <c r="H72" i="1" s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F74" i="1" l="1"/>
  <c r="H74" i="1"/>
  <c r="E72" i="1"/>
  <c r="D74" i="1"/>
  <c r="C74" i="1"/>
  <c r="C5" i="9"/>
  <c r="C22" i="5"/>
  <c r="B27" i="13" l="1"/>
  <c r="C33" i="5"/>
  <c r="C20" i="5" s="1"/>
  <c r="C30" i="5" l="1"/>
  <c r="F14" i="8" l="1"/>
  <c r="G14" i="8"/>
  <c r="AZ46" i="1" l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I45" i="1"/>
  <c r="I46" i="1" s="1"/>
  <c r="H45" i="1"/>
  <c r="H46" i="1" s="1"/>
  <c r="G45" i="1"/>
  <c r="G46" i="1" s="1"/>
  <c r="F45" i="1"/>
  <c r="F46" i="1" s="1"/>
  <c r="E45" i="1"/>
  <c r="E46" i="1" s="1"/>
  <c r="D45" i="1"/>
  <c r="D46" i="1" s="1"/>
  <c r="C45" i="1"/>
  <c r="C46" i="1" s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34" i="1"/>
  <c r="G69" i="1" l="1"/>
  <c r="C50" i="1" s="1"/>
  <c r="G70" i="1"/>
  <c r="G75" i="1"/>
  <c r="C55" i="1" s="1"/>
  <c r="G71" i="1"/>
  <c r="G74" i="1" s="1"/>
  <c r="C52" i="1" s="1"/>
  <c r="C58" i="8"/>
  <c r="C57" i="8"/>
  <c r="C33" i="1"/>
  <c r="G72" i="1" l="1"/>
  <c r="C51" i="1" s="1"/>
  <c r="C59" i="8"/>
  <c r="C60" i="8" s="1"/>
  <c r="C61" i="8" s="1"/>
  <c r="D59" i="8"/>
  <c r="D60" i="8" s="1"/>
  <c r="D57" i="8"/>
  <c r="D58" i="8"/>
  <c r="C40" i="8"/>
  <c r="C39" i="8"/>
  <c r="C41" i="8"/>
  <c r="C42" i="8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C29" i="1"/>
  <c r="C62" i="8" l="1"/>
  <c r="C63" i="8" s="1"/>
  <c r="C44" i="8"/>
  <c r="C45" i="8" s="1"/>
  <c r="D62" i="8"/>
  <c r="D63" i="8" s="1"/>
  <c r="D61" i="8"/>
  <c r="C43" i="8"/>
  <c r="C18" i="1"/>
  <c r="C28" i="1" l="1"/>
  <c r="D28" i="1"/>
  <c r="E28" i="1"/>
  <c r="F28" i="1"/>
  <c r="G28" i="1"/>
  <c r="H28" i="1"/>
  <c r="I28" i="1"/>
  <c r="J28" i="1"/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C14" i="1"/>
  <c r="C5" i="1" l="1"/>
  <c r="C14" i="8"/>
  <c r="D14" i="8"/>
  <c r="E14" i="8"/>
  <c r="H14" i="8" l="1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C1" i="8" l="1"/>
  <c r="C6" i="1"/>
  <c r="C54" i="1" l="1"/>
  <c r="C3" i="1" s="1"/>
  <c r="C26" i="5" s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E73" i="1" l="1"/>
  <c r="F73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C53" i="1" l="1"/>
  <c r="C3" i="5" s="1"/>
  <c r="H73" i="1"/>
  <c r="I73" i="1"/>
  <c r="G73" i="1"/>
  <c r="D76" i="1"/>
  <c r="S30" i="1" l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C30" i="1"/>
  <c r="K28" i="1" l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73" i="1"/>
  <c r="C17" i="1" l="1"/>
  <c r="B12" i="13" l="1"/>
  <c r="C1" i="1"/>
  <c r="B27" i="18"/>
  <c r="C27" i="5"/>
  <c r="B12" i="18" l="1"/>
  <c r="E2" i="18" s="1"/>
  <c r="E2" i="13"/>
  <c r="F15" i="13" s="1"/>
  <c r="F27" i="13" s="1"/>
  <c r="F27" i="18" s="1"/>
  <c r="C2" i="1"/>
  <c r="H11" i="13" l="1"/>
  <c r="H11" i="18" s="1"/>
  <c r="B27" i="5"/>
  <c r="H25" i="13"/>
  <c r="H25" i="18" s="1"/>
  <c r="F15" i="18"/>
  <c r="C12" i="9"/>
  <c r="C13" i="9" s="1"/>
  <c r="D12" i="9"/>
  <c r="D13" i="9" s="1"/>
  <c r="E12" i="9"/>
  <c r="F12" i="9"/>
  <c r="F13" i="9" s="1"/>
  <c r="G12" i="9"/>
  <c r="G13" i="9" s="1"/>
  <c r="H12" i="9"/>
  <c r="H13" i="9" s="1"/>
  <c r="I12" i="9"/>
  <c r="I13" i="9" s="1"/>
  <c r="J12" i="9"/>
  <c r="J13" i="9" s="1"/>
  <c r="E13" i="9"/>
  <c r="D14" i="9"/>
  <c r="D15" i="9" s="1"/>
  <c r="E14" i="9"/>
  <c r="F14" i="9"/>
  <c r="F15" i="9" s="1"/>
  <c r="G14" i="9"/>
  <c r="G15" i="9" s="1"/>
  <c r="H14" i="9"/>
  <c r="H15" i="9" s="1"/>
  <c r="I14" i="9"/>
  <c r="I15" i="9" s="1"/>
  <c r="J14" i="9"/>
  <c r="J15" i="9" s="1"/>
  <c r="E15" i="9"/>
  <c r="C14" i="9"/>
  <c r="C15" i="9" s="1"/>
  <c r="C1" i="9" l="1"/>
  <c r="G17" i="18" s="1"/>
  <c r="C29" i="5"/>
  <c r="H3" i="13" l="1"/>
  <c r="H3" i="18" s="1"/>
  <c r="C2" i="8" l="1"/>
  <c r="M4" i="11"/>
  <c r="M3" i="11"/>
  <c r="B26" i="5" l="1"/>
  <c r="C4" i="9"/>
  <c r="C3" i="9" l="1"/>
  <c r="H27" i="13" l="1"/>
  <c r="H27" i="18" s="1"/>
  <c r="H13" i="13"/>
  <c r="H13" i="18" s="1"/>
  <c r="H13" i="7"/>
  <c r="B21" i="7"/>
  <c r="B28" i="5" l="1"/>
  <c r="H11" i="7"/>
  <c r="G17" i="7" l="1"/>
  <c r="G17" i="13"/>
  <c r="C28" i="5"/>
  <c r="C31" i="5" s="1"/>
  <c r="H17" i="13" l="1"/>
  <c r="H17" i="18" s="1"/>
  <c r="H15" i="13"/>
  <c r="H15" i="18" s="1"/>
  <c r="B29" i="5"/>
  <c r="B31" i="5" l="1"/>
  <c r="C8" i="5" s="1"/>
  <c r="C10" i="5"/>
  <c r="H3" i="7"/>
  <c r="C12" i="5" l="1"/>
  <c r="C14" i="5"/>
  <c r="C6" i="5"/>
  <c r="C16" i="5"/>
  <c r="C18" i="5"/>
  <c r="B12" i="7"/>
  <c r="E2" i="7" s="1"/>
</calcChain>
</file>

<file path=xl/comments1.xml><?xml version="1.0" encoding="utf-8"?>
<comments xmlns="http://schemas.openxmlformats.org/spreadsheetml/2006/main">
  <authors>
    <author>Regina Casimiro</author>
    <author>Aisha Zulquifal Mamade</author>
    <author>admin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Regina Casimiro:</t>
        </r>
        <r>
          <rPr>
            <sz val="9"/>
            <color indexed="81"/>
            <rFont val="Tahoma"/>
            <family val="2"/>
          </rPr>
          <t xml:space="preserve">
Volume entrado via conduta do litora, i.e., sem incluir o volume fornecido via reservatório principal</t>
        </r>
      </text>
    </comment>
    <comment ref="A63" authorId="1">
      <text>
        <r>
          <rPr>
            <b/>
            <sz val="12"/>
            <color indexed="81"/>
            <rFont val="Tahoma"/>
            <family val="2"/>
          </rPr>
          <t xml:space="preserve">Introduzir dados do reservatório de montante na secção acima, caso reserv. de entrada
</t>
        </r>
      </text>
    </comment>
    <comment ref="A69" authorId="2">
      <text>
        <r>
          <rPr>
            <b/>
            <sz val="9"/>
            <color indexed="81"/>
            <rFont val="Tahoma"/>
            <family val="2"/>
          </rPr>
          <t>Valores negativos são esperados sempre que o nível dinâmico dos furos é inferior à cota de referência.</t>
        </r>
      </text>
    </comment>
  </commentList>
</comments>
</file>

<file path=xl/comments2.xml><?xml version="1.0" encoding="utf-8"?>
<comments xmlns="http://schemas.openxmlformats.org/spreadsheetml/2006/main">
  <authors>
    <author>Regina Casimiro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Regina Casimiro:</t>
        </r>
        <r>
          <rPr>
            <sz val="9"/>
            <color indexed="81"/>
            <rFont val="Tahoma"/>
            <family val="2"/>
          </rPr>
          <t xml:space="preserve">
cota média conjunta:
Quinta Verde: 25.95
Valverde:32.75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Regina Casimiro:
consumo autorizado abastecido pela central de bombagem QV</t>
        </r>
      </text>
    </comment>
  </commentList>
</comments>
</file>

<file path=xl/comments3.xml><?xml version="1.0" encoding="utf-8"?>
<comments xmlns="http://schemas.openxmlformats.org/spreadsheetml/2006/main">
  <authors>
    <author>admin</author>
    <author>Aisha Zulquifal Mamade</author>
  </authors>
  <commentList>
    <comment ref="C2" authorId="0">
      <text>
        <r>
          <rPr>
            <b/>
            <sz val="11"/>
            <color indexed="81"/>
            <rFont val="Tahoma"/>
            <family val="2"/>
          </rPr>
          <t>colocar ano inicial</t>
        </r>
      </text>
    </comment>
    <comment ref="E2" authorId="0">
      <text>
        <r>
          <rPr>
            <b/>
            <sz val="11"/>
            <color indexed="81"/>
            <rFont val="Tahoma"/>
            <family val="2"/>
          </rPr>
          <t>colocar ano de análise</t>
        </r>
      </text>
    </comment>
    <comment ref="E3" authorId="0">
      <text>
        <r>
          <rPr>
            <b/>
            <sz val="11"/>
            <color indexed="81"/>
            <rFont val="Tahoma"/>
            <family val="2"/>
          </rPr>
          <t>colocar metas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ex.: cota mínima abastecimento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ex.: nível dinâmico mínimo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permite avaliar a componente de E3 associada a captações</t>
        </r>
      </text>
    </comment>
    <comment ref="A33" authorId="1">
      <text>
        <r>
          <rPr>
            <b/>
            <sz val="9"/>
            <color indexed="81"/>
            <rFont val="Tahoma"/>
            <family val="2"/>
          </rPr>
          <t>http://www.edpsu.pt/pt/origemdaenergia/Pages/OrigensdaEnergia.aspx</t>
        </r>
      </text>
    </comment>
  </commentList>
</comments>
</file>

<file path=xl/sharedStrings.xml><?xml version="1.0" encoding="utf-8"?>
<sst xmlns="http://schemas.openxmlformats.org/spreadsheetml/2006/main" count="552" uniqueCount="305">
  <si>
    <t>Energia fornecida ao sistema</t>
  </si>
  <si>
    <t>kWh</t>
  </si>
  <si>
    <t>m</t>
  </si>
  <si>
    <t>%</t>
  </si>
  <si>
    <t>Energia entrada por gravidade</t>
  </si>
  <si>
    <t>h</t>
  </si>
  <si>
    <t>Energia mínima</t>
  </si>
  <si>
    <t>Rendimento da turbina</t>
  </si>
  <si>
    <t>Energia recuperada em microturbinas</t>
  </si>
  <si>
    <t>E1</t>
  </si>
  <si>
    <t>E2</t>
  </si>
  <si>
    <t>CÁLCULO DA ENERGIA FORNECIDA POR GRAVIDADE</t>
  </si>
  <si>
    <t>Valor recuperado</t>
  </si>
  <si>
    <t>Valor mínimo necessário</t>
  </si>
  <si>
    <t>Energia</t>
  </si>
  <si>
    <t>Caudal</t>
  </si>
  <si>
    <t>Volume</t>
  </si>
  <si>
    <t>Valor fornecido</t>
  </si>
  <si>
    <t>E3</t>
  </si>
  <si>
    <t>kW</t>
  </si>
  <si>
    <t>Energia turbinada</t>
  </si>
  <si>
    <t>Potencia turbinada</t>
  </si>
  <si>
    <t>Valor em excesso</t>
  </si>
  <si>
    <t>-</t>
  </si>
  <si>
    <t>Energia em excesso por volume de água entrada no sistema. Este índice traduz o potencial teórico de redução de energia por m3 de água entrada no sistema.</t>
  </si>
  <si>
    <r>
      <t>m</t>
    </r>
    <r>
      <rPr>
        <vertAlign val="superscript"/>
        <sz val="11"/>
        <color theme="1"/>
        <rFont val="Lucinda grande"/>
      </rPr>
      <t>3</t>
    </r>
  </si>
  <si>
    <t>Δt</t>
  </si>
  <si>
    <r>
      <t>kWh/m</t>
    </r>
    <r>
      <rPr>
        <b/>
        <vertAlign val="superscript"/>
        <sz val="11"/>
        <color theme="0"/>
        <rFont val="Lucinda grande"/>
      </rPr>
      <t>3</t>
    </r>
    <r>
      <rPr>
        <b/>
        <sz val="11"/>
        <color theme="0"/>
        <rFont val="Lucinda grande"/>
      </rPr>
      <t>/100 m</t>
    </r>
  </si>
  <si>
    <r>
      <t>kWh/m</t>
    </r>
    <r>
      <rPr>
        <b/>
        <vertAlign val="superscript"/>
        <sz val="11"/>
        <color theme="0"/>
        <rFont val="Lucinda grande"/>
      </rPr>
      <t>3</t>
    </r>
  </si>
  <si>
    <r>
      <t>m</t>
    </r>
    <r>
      <rPr>
        <b/>
        <vertAlign val="superscript"/>
        <sz val="11"/>
        <color theme="0"/>
        <rFont val="Lucinda grande"/>
      </rPr>
      <t>3</t>
    </r>
  </si>
  <si>
    <t>Potencia dissipada na turbina</t>
  </si>
  <si>
    <t>Energia dissipada em microturbinas</t>
  </si>
  <si>
    <t>Energia dissipada na turbina</t>
  </si>
  <si>
    <r>
      <t>m</t>
    </r>
    <r>
      <rPr>
        <vertAlign val="superscript"/>
        <sz val="11"/>
        <color theme="1"/>
        <rFont val="Lucinda grande"/>
      </rPr>
      <t>3</t>
    </r>
    <r>
      <rPr>
        <sz val="11"/>
        <color theme="1"/>
        <rFont val="Lucinda grande"/>
      </rPr>
      <t>/h</t>
    </r>
  </si>
  <si>
    <r>
      <t>m</t>
    </r>
    <r>
      <rPr>
        <b/>
        <vertAlign val="superscript"/>
        <sz val="11"/>
        <color theme="0"/>
        <rFont val="Lucinda grande"/>
      </rPr>
      <t>3</t>
    </r>
    <r>
      <rPr>
        <b/>
        <sz val="11"/>
        <color theme="0"/>
        <rFont val="Lucinda grande"/>
      </rPr>
      <t>/h</t>
    </r>
  </si>
  <si>
    <t>Queda útil</t>
  </si>
  <si>
    <t>Caudal turbinado</t>
  </si>
  <si>
    <t>Natural input energy</t>
  </si>
  <si>
    <t>Shaft input energy</t>
  </si>
  <si>
    <t>Total energy input</t>
  </si>
  <si>
    <t>Energy delivered to users</t>
  </si>
  <si>
    <t>Minimum energy required</t>
  </si>
  <si>
    <t>Superfluous energy</t>
  </si>
  <si>
    <t>… in conduits</t>
  </si>
  <si>
    <t>Energy dissipated</t>
  </si>
  <si>
    <t>Energy recovered</t>
  </si>
  <si>
    <t>… in valves</t>
  </si>
  <si>
    <t>… in pumps</t>
  </si>
  <si>
    <t>… in turbines</t>
  </si>
  <si>
    <t>Energy associated with water losses</t>
  </si>
  <si>
    <t>Energy in the nodes where losses occur</t>
  </si>
  <si>
    <t>Energy dissipated (conduits, pumps, valves, turbines)</t>
  </si>
  <si>
    <t>… from authorized consumption</t>
  </si>
  <si>
    <t>… from water losses</t>
  </si>
  <si>
    <t>Energy associated to authorized consumption</t>
  </si>
  <si>
    <t>Volume anual entrado no sistema</t>
  </si>
  <si>
    <t>Cota do ponto de entrega</t>
  </si>
  <si>
    <t>Pressão média</t>
  </si>
  <si>
    <t>m c.a.</t>
  </si>
  <si>
    <t>SS1</t>
  </si>
  <si>
    <t>Cota de soleira do reservatório</t>
  </si>
  <si>
    <t>Volume anual abastecido</t>
  </si>
  <si>
    <t>Volume anual bombeado</t>
  </si>
  <si>
    <t>Energia elétrica anual consumida (fatura energética)</t>
  </si>
  <si>
    <t>Energia mínima (ponto de cota média)</t>
  </si>
  <si>
    <t>SS2</t>
  </si>
  <si>
    <t>Outras</t>
  </si>
  <si>
    <t>Outra 2</t>
  </si>
  <si>
    <t>Globo</t>
  </si>
  <si>
    <t>Outra 1</t>
  </si>
  <si>
    <t>Esférica</t>
  </si>
  <si>
    <t>Válvula de controlo de caudal</t>
  </si>
  <si>
    <t>Cunha</t>
  </si>
  <si>
    <t>Válvula redutora de pressão</t>
  </si>
  <si>
    <t>Borboleta</t>
  </si>
  <si>
    <t>Pressão a jusante</t>
  </si>
  <si>
    <t>Pressão a montante</t>
  </si>
  <si>
    <t>Tipo</t>
  </si>
  <si>
    <t>DN</t>
  </si>
  <si>
    <t>Função</t>
  </si>
  <si>
    <t>Válvulas</t>
  </si>
  <si>
    <t>Nome da EG</t>
  </si>
  <si>
    <t>Subsistema</t>
  </si>
  <si>
    <t>Global</t>
  </si>
  <si>
    <t>Ponto de cota mínima</t>
  </si>
  <si>
    <t>grav</t>
  </si>
  <si>
    <t>elev</t>
  </si>
  <si>
    <t>Válvula de seccionamento a jusante de res. e ee</t>
  </si>
  <si>
    <t>os medidores de caudal provocam grandes perdas de carga</t>
  </si>
  <si>
    <t>esta dentro da gama de erros dos manómetros</t>
  </si>
  <si>
    <t>Variação da altura</t>
  </si>
  <si>
    <t>Volume fornecido ao sistema</t>
  </si>
  <si>
    <t>Energia potencial (gravítica)</t>
  </si>
  <si>
    <t>Energia de pressão (para bombeamento)</t>
  </si>
  <si>
    <t>Energia fornecidao sistema</t>
  </si>
  <si>
    <t>Energia associada ao consumo autorizado</t>
  </si>
  <si>
    <t xml:space="preserve">Energia associada às perdas de água </t>
  </si>
  <si>
    <t>Energa entregue aos consumidores</t>
  </si>
  <si>
    <t>Energia supérflua</t>
  </si>
  <si>
    <t>… nas condutas</t>
  </si>
  <si>
    <t>… nas válvulas /res. Intermédios</t>
  </si>
  <si>
    <t>… nas bombas</t>
  </si>
  <si>
    <t>… nas turbinas</t>
  </si>
  <si>
    <t>Energia dissipada</t>
  </si>
  <si>
    <t>Energia recuperada</t>
  </si>
  <si>
    <t>… a partir do consumo autorizado</t>
  </si>
  <si>
    <t>… a partir das perdas de água</t>
  </si>
  <si>
    <t>Energia nos pontos onde ocorrem as perdas</t>
  </si>
  <si>
    <t>Energia dissipada (nas condutas, bombas, válvulas, res. Intermédios, turbinas)</t>
  </si>
  <si>
    <t>Energia perdida associada às perdas de água</t>
  </si>
  <si>
    <t>Energia em excesso</t>
  </si>
  <si>
    <t>Definir procedimentos para o cálculo</t>
  </si>
  <si>
    <t>Legenda:</t>
  </si>
  <si>
    <t>Calculadas por diferença</t>
  </si>
  <si>
    <t>Calcular posteriormente</t>
  </si>
  <si>
    <t>Necessita de modelação</t>
  </si>
  <si>
    <t>Pontos de entrega no sistema</t>
  </si>
  <si>
    <t>Unidades</t>
  </si>
  <si>
    <t>Eficiência do bombeamento</t>
  </si>
  <si>
    <t>Nível médio relativo à cota mínima</t>
  </si>
  <si>
    <t>Energia dissipada no bombeamento</t>
  </si>
  <si>
    <t>Turbinas</t>
  </si>
  <si>
    <r>
      <t>m</t>
    </r>
    <r>
      <rPr>
        <b/>
        <vertAlign val="superscript"/>
        <sz val="12"/>
        <color theme="0"/>
        <rFont val="Lucinda grande"/>
      </rPr>
      <t>3</t>
    </r>
  </si>
  <si>
    <t>Altura mínima de exploração</t>
  </si>
  <si>
    <t>Altura máxima de exploração</t>
  </si>
  <si>
    <t>Altura média de exploração (opcional)</t>
  </si>
  <si>
    <t>Designação do ponto de entrega</t>
  </si>
  <si>
    <t>Designação do subsistema (opcional)</t>
  </si>
  <si>
    <r>
      <t xml:space="preserve">Reservatórios de entrada </t>
    </r>
    <r>
      <rPr>
        <i/>
        <sz val="11"/>
        <color theme="0"/>
        <rFont val="Lucinda grande"/>
      </rPr>
      <t>(não incluir reserv. intermédios)</t>
    </r>
  </si>
  <si>
    <t>Designação do reservatório</t>
  </si>
  <si>
    <t>Designação da EE*</t>
  </si>
  <si>
    <t>Designação do conjunto de grupos*</t>
  </si>
  <si>
    <t>Localização da EE no sistema</t>
  </si>
  <si>
    <t>Tipo de EE</t>
  </si>
  <si>
    <t>Cota do eixo das bombas</t>
  </si>
  <si>
    <t>EE à entrada</t>
  </si>
  <si>
    <t>EE intermédia</t>
  </si>
  <si>
    <t>Cota média</t>
  </si>
  <si>
    <t xml:space="preserve">* Podem não corresponder às "areas de análise" do balanço hídrico, uma vez que estas áreas deverão ter associada uma pressão mínima constante. </t>
  </si>
  <si>
    <t>Pressão mínima requerida</t>
  </si>
  <si>
    <r>
      <t>kWh/m</t>
    </r>
    <r>
      <rPr>
        <vertAlign val="superscript"/>
        <sz val="11"/>
        <rFont val="Lucinda grande"/>
      </rPr>
      <t>3</t>
    </r>
    <r>
      <rPr>
        <sz val="11"/>
        <rFont val="Lucinda grande"/>
      </rPr>
      <t>/100 m</t>
    </r>
  </si>
  <si>
    <t>CÁLCULO DA ENERGIA DISSIPADA NO BOMBEAMENTO</t>
  </si>
  <si>
    <t>Energia de pressão fornecida</t>
  </si>
  <si>
    <t>… nas válvulas</t>
  </si>
  <si>
    <t>Fator de uniformização</t>
  </si>
  <si>
    <r>
      <t>m</t>
    </r>
    <r>
      <rPr>
        <vertAlign val="superscript"/>
        <sz val="11"/>
        <rFont val="Lucinda grande"/>
      </rPr>
      <t>3</t>
    </r>
    <r>
      <rPr>
        <sz val="11"/>
        <rFont val="Lucinda grande"/>
      </rPr>
      <t>/ano</t>
    </r>
    <r>
      <rPr>
        <sz val="11"/>
        <rFont val="Calibri"/>
        <family val="2"/>
      </rPr>
      <t>∙</t>
    </r>
    <r>
      <rPr>
        <sz val="11"/>
        <rFont val="Lucinda grande"/>
      </rPr>
      <t>100m</t>
    </r>
  </si>
  <si>
    <t>** calculada em relação à cota mínima</t>
  </si>
  <si>
    <t>Volume fornecido por bombeamento</t>
  </si>
  <si>
    <t>Designação da zona de análise*</t>
  </si>
  <si>
    <t>VOLUME TOTAL FORNECIDO NOS RESERVATÓRIOS</t>
  </si>
  <si>
    <t>VOLUME TOTAL FORNECIDO POR BOMBEAMENTO</t>
  </si>
  <si>
    <t>Zonas de pressão "constante"</t>
  </si>
  <si>
    <t>Estações elevatórias</t>
  </si>
  <si>
    <t>Valor consumo autorizado</t>
  </si>
  <si>
    <t>Ponderação de volumes (quando necessário)</t>
  </si>
  <si>
    <t>Reservatórios de entrada DAS ÁREAS DE ANÁLISE 
(Res. Intermédios)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</si>
  <si>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</si>
  <si>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kWh/m</t>
    </r>
    <r>
      <rPr>
        <vertAlign val="superscript"/>
        <sz val="11"/>
        <color theme="1"/>
        <rFont val="Arial"/>
        <family val="2"/>
      </rPr>
      <t>3</t>
    </r>
  </si>
  <si>
    <t>E1= Energia em excesso /Vfornecido</t>
  </si>
  <si>
    <t>E3 = Efornecida/Eminima</t>
  </si>
  <si>
    <t>Volume anual fornecido (consumido+perdas, só componente de distribuição)</t>
  </si>
  <si>
    <t>Energia mínima (associada Vconsumido só da distribuição, exclui abastecimento aos reservatorios intermédios)</t>
  </si>
  <si>
    <r>
      <t>m</t>
    </r>
    <r>
      <rPr>
        <vertAlign val="superscript"/>
        <sz val="11"/>
        <rFont val="Lucinda grande"/>
      </rPr>
      <t>3</t>
    </r>
  </si>
  <si>
    <t>Layout do sistema</t>
  </si>
  <si>
    <t>Símbolos</t>
  </si>
  <si>
    <t>Captação superficial</t>
  </si>
  <si>
    <t>Captação subterrânea</t>
  </si>
  <si>
    <t>Reservatório elevado</t>
  </si>
  <si>
    <t>Grupo eletrobomba</t>
  </si>
  <si>
    <t>Conduta gravítica adutora-distribuidora</t>
  </si>
  <si>
    <t>Conduta elevatória adutora-distribuidora</t>
  </si>
  <si>
    <t>Conduta gravítica puramente adutora</t>
  </si>
  <si>
    <t>Conduta elevatória puramente adutora</t>
  </si>
  <si>
    <t>Rendimento da bomba (opcional)</t>
  </si>
  <si>
    <t>*Quando na EE existam grupos diferentes ou com condições de operação distintas, devem listar-se em colunas separadas as caracteristicas de cada conjunto de grupos. Caso energia elétrica anual consumida (fatura energética) não seja separável por conjunto de grupo, preencher apenas o valor na primeira coluna.</t>
  </si>
  <si>
    <t>Consumo autorizado total</t>
  </si>
  <si>
    <t>Perdas de água totais</t>
  </si>
  <si>
    <t>Custos de energia</t>
  </si>
  <si>
    <t>Energia associada a consumo autorizado</t>
  </si>
  <si>
    <t xml:space="preserve">Energia associada a perdas de água </t>
  </si>
  <si>
    <t>… associada a consumo</t>
  </si>
  <si>
    <t>… associada a perdas</t>
  </si>
  <si>
    <t>Pressão a jusante do grupo</t>
  </si>
  <si>
    <t>Consumo faturado</t>
  </si>
  <si>
    <t>Água entrada</t>
  </si>
  <si>
    <t>Valor faturado (BH)</t>
  </si>
  <si>
    <t>em %</t>
  </si>
  <si>
    <t>Eficiência energética das estações elevatórias</t>
  </si>
  <si>
    <r>
      <t xml:space="preserve">Energia total consumida nas estações elevatórias durante o período de referência / </t>
    </r>
    <r>
      <rPr>
        <sz val="11"/>
        <color theme="1"/>
        <rFont val="Calibri"/>
        <family val="2"/>
      </rPr>
      <t>∑</t>
    </r>
    <r>
      <rPr>
        <sz val="11"/>
        <color theme="1"/>
        <rFont val="Lucinda grande"/>
      </rPr>
      <t xml:space="preserve"> (volume bombeado durante o período de referência x altura manométrica / 100)</t>
    </r>
  </si>
  <si>
    <t>EFICIÊNCIA ENERGÉTICA DAS ESTAÇÕES ELEVATÓRIAS</t>
  </si>
  <si>
    <t>Rácio energia fornecida/energia mínima. Traduz de forma muito direta o número de vezes que a energia fornecida ao sistema é superior à energia mínima teoricamente necessária</t>
  </si>
  <si>
    <t>E3CA associado a consumo autorizado</t>
  </si>
  <si>
    <t>E3PA associado a perdas de água</t>
  </si>
  <si>
    <t>E3GRAV energia potencial gravítica</t>
  </si>
  <si>
    <t>E3BOMB energia de pressão (bombeamento)</t>
  </si>
  <si>
    <t>Ano de referência</t>
  </si>
  <si>
    <t>Energy mix</t>
  </si>
  <si>
    <t>(g/kWh)</t>
  </si>
  <si>
    <r>
      <t>ton CO2</t>
    </r>
    <r>
      <rPr>
        <b/>
        <vertAlign val="subscript"/>
        <sz val="11"/>
        <color theme="0"/>
        <rFont val="Lucinda grande"/>
      </rPr>
      <t>equiv</t>
    </r>
  </si>
  <si>
    <t>Indicadores de eficiência energética</t>
  </si>
  <si>
    <t>Emissões devido às estações elevatórias</t>
  </si>
  <si>
    <t>€/ano</t>
  </si>
  <si>
    <r>
      <t>m</t>
    </r>
    <r>
      <rPr>
        <vertAlign val="superscript"/>
        <sz val="11"/>
        <color theme="0"/>
        <rFont val="Lucinda grande"/>
      </rPr>
      <t>3</t>
    </r>
    <r>
      <rPr>
        <sz val="11"/>
        <color theme="0"/>
        <rFont val="Lucinda grande"/>
      </rPr>
      <t>/ano</t>
    </r>
  </si>
  <si>
    <t>E2= Energia em excesso /Vfaturado</t>
  </si>
  <si>
    <t>em kWh/ano</t>
  </si>
  <si>
    <t>Pressão a montante do grupo ou altura piezométrica de montante (caso sobrepressora)</t>
  </si>
  <si>
    <t>Volume consumo autorizado</t>
  </si>
  <si>
    <t>Volume anual consumido (c. autorizado)</t>
  </si>
  <si>
    <t>CÁLCULO DA ENERGIA FORNECIDA POR BOMBEAMENTO (FATURAS)</t>
  </si>
  <si>
    <t>Energia dissipada associada a perdas de água</t>
  </si>
  <si>
    <t>Energia dissipada associada a consumo autorizado</t>
  </si>
  <si>
    <t>Descrição</t>
  </si>
  <si>
    <t>Observação</t>
  </si>
  <si>
    <t>Reservatório apoiado/Câmara de aspiração</t>
  </si>
  <si>
    <t>Válvula de controlo de caudal ou de pressão</t>
  </si>
  <si>
    <t>Rede de distribuição</t>
  </si>
  <si>
    <t>Limite do subsistema</t>
  </si>
  <si>
    <t>Subsistema*</t>
  </si>
  <si>
    <t>Tipos de ineficiência*</t>
  </si>
  <si>
    <t>Perdas de água - Outro</t>
  </si>
  <si>
    <t>Perdas de água - Perdas reais</t>
  </si>
  <si>
    <t>Perdas de água - Perdas aparentes</t>
  </si>
  <si>
    <t>Estações elevatórias - Outro</t>
  </si>
  <si>
    <t>Estações elevatórias - Grupos ineficientes por dimensionamento inadequado</t>
  </si>
  <si>
    <t>Estações elevatórias - Grupos ineficientes por operação ineficiente</t>
  </si>
  <si>
    <t>Estações elevatórias - Grupos ineficientes equipamento degradado</t>
  </si>
  <si>
    <t>Ineficiências irrelevantes</t>
  </si>
  <si>
    <t>Não sabe</t>
  </si>
  <si>
    <t>Estações elevatórias - Configuração da EE por ineficiência de aspiração/compressão</t>
  </si>
  <si>
    <t>Estações elevatórias - Configuração da EE por perdas de carga excessivas em válvulas de controlo</t>
  </si>
  <si>
    <t>Válvulas - Outro</t>
  </si>
  <si>
    <t xml:space="preserve">Válvulas - Perdas de carga excessivas em válvulas de regulação de pressão </t>
  </si>
  <si>
    <t>Válvulas - Perdas de carga excessivas em válvulas de regulação de caudal</t>
  </si>
  <si>
    <t>Condutas - Outro</t>
  </si>
  <si>
    <t>Condutas - Elevadas perdas por fricção</t>
  </si>
  <si>
    <t>Operação do sistema - Outro</t>
  </si>
  <si>
    <t>Configuração do sistema - Outro</t>
  </si>
  <si>
    <t>Operação do sistema - Modo de operação da EE</t>
  </si>
  <si>
    <t>Operação do sistema - Modo de operação dos reservatórios</t>
  </si>
  <si>
    <t>Configuração do sistema - Planeamento inexistente/inadequado</t>
  </si>
  <si>
    <t>Configuração do sistema - Uuso inadequado de válvulas</t>
  </si>
  <si>
    <t>Perdas de água - Gestão de pressões</t>
  </si>
  <si>
    <t>Perdas de água - Reparação de roturas</t>
  </si>
  <si>
    <t>Estações elevatórias - Realização de auditorias energéticas</t>
  </si>
  <si>
    <t>Estações elevatórias - Reabilitação ou substituição de componentes</t>
  </si>
  <si>
    <t>Válvulas - Alteração da regulação das válvulas</t>
  </si>
  <si>
    <t>Condutas -  Reabilitação  de condutas</t>
  </si>
  <si>
    <t>*Preenchimento obrigatório</t>
  </si>
  <si>
    <t>Perdas de água - Controlo ativo</t>
  </si>
  <si>
    <t>Perdas de água - Reabilitação</t>
  </si>
  <si>
    <t>Designação</t>
  </si>
  <si>
    <r>
      <t xml:space="preserve">Tipos de soluções </t>
    </r>
    <r>
      <rPr>
        <b/>
        <sz val="12"/>
        <color theme="1"/>
        <rFont val="Calibri"/>
        <family val="2"/>
        <scheme val="minor"/>
      </rPr>
      <t>em implementação</t>
    </r>
  </si>
  <si>
    <r>
      <t xml:space="preserve">Tipos de ações </t>
    </r>
    <r>
      <rPr>
        <b/>
        <sz val="12"/>
        <color theme="1"/>
        <rFont val="Calibri"/>
        <family val="2"/>
        <scheme val="minor"/>
      </rPr>
      <t>já implementadas</t>
    </r>
    <r>
      <rPr>
        <sz val="12"/>
        <color theme="1"/>
        <rFont val="Calibri"/>
        <family val="2"/>
        <scheme val="minor"/>
      </rPr>
      <t>*</t>
    </r>
  </si>
  <si>
    <t>Cota mínima do sistema</t>
  </si>
  <si>
    <t>… nos pontos onde ocorrem as perdas</t>
  </si>
  <si>
    <t>Cota máxima (ponto de consumo)</t>
  </si>
  <si>
    <t>Cota mínima (ponto de consumo)</t>
  </si>
  <si>
    <t>Energia em excesso por volume de consumo autorizado. Traduz o potencial teórico de redução de energia por m3 de água facturada.</t>
  </si>
  <si>
    <t>Altura de elevação</t>
  </si>
  <si>
    <t>Energia útil fornecida relativa à cota de referência</t>
  </si>
  <si>
    <t>CÁLCULO DA ENERGIA ÚTIL NO BOMBEAMENTO</t>
  </si>
  <si>
    <t>VOLUME TOTAL FORNECIDO NOS PONTOS DE ENTREGA</t>
  </si>
  <si>
    <t>Sobrepressora</t>
  </si>
  <si>
    <t>Reservatório</t>
  </si>
  <si>
    <t>Furo de captação</t>
  </si>
  <si>
    <t>Cota mínima do eixo da bomba submersível (caso aplicável)</t>
  </si>
  <si>
    <t>Energia Fornecida (bombeamento)</t>
  </si>
  <si>
    <t>Percurso da gota de água (análise da eficiência do abastecimento)</t>
  </si>
  <si>
    <t>Área de análise (hierarquização de áreas de análise)</t>
  </si>
  <si>
    <r>
      <t>€/m</t>
    </r>
    <r>
      <rPr>
        <vertAlign val="superscript"/>
        <sz val="12"/>
        <color theme="0"/>
        <rFont val="Lucinda grande"/>
      </rPr>
      <t>3</t>
    </r>
  </si>
  <si>
    <t>Custo unitário de energia</t>
  </si>
  <si>
    <t>ANO 0</t>
  </si>
  <si>
    <t>ANO ____</t>
  </si>
  <si>
    <t>Análise de sensibilidade à cota mínima usada</t>
  </si>
  <si>
    <t xml:space="preserve">CÁLCULO DA ENERGIA POTENCIAL </t>
  </si>
  <si>
    <t>Energia Mínima (percurso, entrega nos reservatorios intermédios)</t>
  </si>
  <si>
    <t>Poupança anual [kWh/ano]</t>
  </si>
  <si>
    <t>Poupança anual [Eur/ano]</t>
  </si>
  <si>
    <t>Valor fornecido Energia elétrica</t>
  </si>
  <si>
    <t>cota mínima [m]</t>
  </si>
  <si>
    <t>E3 [-]</t>
  </si>
  <si>
    <t>Energia Fornecida (potencial gravítica)</t>
  </si>
  <si>
    <t>Volume C. Autorizado</t>
  </si>
  <si>
    <t>Volume Fornecido</t>
  </si>
  <si>
    <t>FATOR DE UNIFORMIZAÇÃO</t>
  </si>
  <si>
    <r>
      <t>m</t>
    </r>
    <r>
      <rPr>
        <b/>
        <vertAlign val="superscript"/>
        <sz val="11"/>
        <color theme="0"/>
        <rFont val="Lucinda grande"/>
      </rPr>
      <t>3</t>
    </r>
    <r>
      <rPr>
        <b/>
        <sz val="11"/>
        <color theme="0"/>
        <rFont val="Lucinda grande"/>
      </rPr>
      <t>/ano∙100m</t>
    </r>
  </si>
  <si>
    <r>
      <t>E1 [kWh/m</t>
    </r>
    <r>
      <rPr>
        <b/>
        <vertAlign val="superscript"/>
        <sz val="14"/>
        <color theme="0"/>
        <rFont val="Lucinda grande"/>
      </rPr>
      <t>3</t>
    </r>
    <r>
      <rPr>
        <b/>
        <sz val="14"/>
        <color theme="0"/>
        <rFont val="Lucinda grande"/>
      </rPr>
      <t>]</t>
    </r>
  </si>
  <si>
    <r>
      <t>E2 [kWh/m</t>
    </r>
    <r>
      <rPr>
        <b/>
        <vertAlign val="superscript"/>
        <sz val="14"/>
        <color theme="0"/>
        <rFont val="Lucinda grande"/>
      </rPr>
      <t>3</t>
    </r>
    <r>
      <rPr>
        <b/>
        <sz val="14"/>
        <color theme="0"/>
        <rFont val="Lucinda grande"/>
      </rPr>
      <t>]</t>
    </r>
  </si>
  <si>
    <t>E3, captação [-]</t>
  </si>
  <si>
    <t>Observações:</t>
  </si>
  <si>
    <t>Energia potencial associada à localização da EE (apenas EE de entrada)**</t>
  </si>
  <si>
    <t>Energia potencial associada à localização da EE (areas de analise)</t>
  </si>
  <si>
    <t>Custos correntes</t>
  </si>
  <si>
    <t>Custos energia/Custos correntes</t>
  </si>
  <si>
    <t>Sistema I</t>
  </si>
  <si>
    <t>Varandas Lago</t>
  </si>
  <si>
    <t>Quinta de Salinas</t>
  </si>
  <si>
    <t>Varandas do Lago</t>
  </si>
  <si>
    <t>Principal</t>
  </si>
  <si>
    <t>Infraquinta</t>
  </si>
  <si>
    <t>Simplificado</t>
  </si>
  <si>
    <t>Pressurizada</t>
  </si>
  <si>
    <t>Pinheiros Altos</t>
  </si>
  <si>
    <t>Conrad</t>
  </si>
  <si>
    <t>Quinta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</si>
</sst>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5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Lucinda grande"/>
    </font>
    <font>
      <b/>
      <sz val="12"/>
      <color theme="0"/>
      <name val="Lucinda grande"/>
    </font>
    <font>
      <sz val="11"/>
      <color theme="0"/>
      <name val="Lucinda grande"/>
    </font>
    <font>
      <b/>
      <sz val="12"/>
      <name val="Lucinda grande"/>
    </font>
    <font>
      <sz val="11"/>
      <color theme="1"/>
      <name val="Lucinda grande"/>
    </font>
    <font>
      <vertAlign val="superscript"/>
      <sz val="11"/>
      <color theme="1"/>
      <name val="Lucinda grande"/>
    </font>
    <font>
      <sz val="11"/>
      <name val="Lucinda grande"/>
    </font>
    <font>
      <b/>
      <sz val="11"/>
      <name val="Lucinda grande"/>
    </font>
    <font>
      <b/>
      <vertAlign val="superscript"/>
      <sz val="11"/>
      <color theme="0"/>
      <name val="Lucinda grande"/>
    </font>
    <font>
      <b/>
      <sz val="16"/>
      <color rgb="FFFFFFFF"/>
      <name val="Lucida Grande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6"/>
      <name val="Lucida Grande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2"/>
      <color theme="0"/>
      <name val="Lucinda grande"/>
    </font>
    <font>
      <i/>
      <sz val="11"/>
      <color theme="0"/>
      <name val="Lucinda grande"/>
    </font>
    <font>
      <i/>
      <sz val="8"/>
      <color theme="1"/>
      <name val="Lucinda grande"/>
    </font>
    <font>
      <vertAlign val="superscript"/>
      <sz val="11"/>
      <name val="Lucinda grande"/>
    </font>
    <font>
      <sz val="11"/>
      <name val="Calibri"/>
      <family val="2"/>
    </font>
    <font>
      <sz val="11"/>
      <color rgb="FFFF0000"/>
      <name val="Lucinda grande"/>
    </font>
    <font>
      <b/>
      <sz val="11"/>
      <color theme="1"/>
      <name val="Lucinda grande"/>
    </font>
    <font>
      <sz val="10"/>
      <color theme="1"/>
      <name val="Lucinda grande"/>
    </font>
    <font>
      <sz val="10"/>
      <color rgb="FFFF0000"/>
      <name val="Lucinda grande"/>
    </font>
    <font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0"/>
      <name val="Lucinda grande"/>
    </font>
    <font>
      <sz val="12"/>
      <color theme="0"/>
      <name val="Lucinda grande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vertAlign val="subscript"/>
      <sz val="11"/>
      <color theme="0"/>
      <name val="Lucinda grande"/>
    </font>
    <font>
      <b/>
      <sz val="14"/>
      <name val="Lucinda grande"/>
    </font>
    <font>
      <b/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0"/>
      <name val="Lucinda grande"/>
    </font>
    <font>
      <b/>
      <sz val="10"/>
      <color theme="1"/>
      <name val="Lucinda grande"/>
    </font>
    <font>
      <sz val="11"/>
      <color rgb="FFFF0000"/>
      <name val="Calibri"/>
      <family val="2"/>
      <scheme val="minor"/>
    </font>
    <font>
      <sz val="14"/>
      <color theme="1"/>
      <name val="Lucinda grande"/>
    </font>
    <font>
      <b/>
      <sz val="14"/>
      <color theme="0"/>
      <name val="Lucinda grande"/>
    </font>
    <font>
      <b/>
      <vertAlign val="superscript"/>
      <sz val="14"/>
      <color theme="0"/>
      <name val="Lucinda grande"/>
    </font>
    <font>
      <b/>
      <sz val="11"/>
      <color indexed="81"/>
      <name val="Tahoma"/>
      <family val="2"/>
    </font>
    <font>
      <sz val="11"/>
      <name val="Calibri"/>
      <family val="2"/>
      <scheme val="minor"/>
    </font>
    <font>
      <sz val="9"/>
      <color rgb="FF0070C0"/>
      <name val="Lucinda grande"/>
    </font>
    <font>
      <sz val="11"/>
      <color theme="3"/>
      <name val="Lucinda grande"/>
    </font>
    <font>
      <sz val="11"/>
      <color rgb="FF0070C0"/>
      <name val="Lucinda grande"/>
    </font>
    <font>
      <b/>
      <sz val="9"/>
      <color rgb="FF0070C0"/>
      <name val="Lucinda grande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1D45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A30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thick">
        <color theme="0"/>
      </top>
      <bottom/>
      <diagonal/>
    </border>
    <border>
      <left/>
      <right style="medium">
        <color theme="0"/>
      </right>
      <top style="thick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418">
    <xf numFmtId="0" fontId="0" fillId="0" borderId="0" xfId="0"/>
    <xf numFmtId="0" fontId="0" fillId="0" borderId="0" xfId="0"/>
    <xf numFmtId="0" fontId="12" fillId="7" borderId="2" xfId="0" applyFont="1" applyFill="1" applyBorder="1" applyAlignment="1">
      <alignment vertical="center" wrapText="1" readingOrder="1"/>
    </xf>
    <xf numFmtId="0" fontId="12" fillId="7" borderId="4" xfId="0" applyFont="1" applyFill="1" applyBorder="1" applyAlignment="1">
      <alignment vertical="center" wrapText="1" readingOrder="1"/>
    </xf>
    <xf numFmtId="164" fontId="12" fillId="2" borderId="12" xfId="0" applyNumberFormat="1" applyFont="1" applyFill="1" applyBorder="1" applyAlignment="1">
      <alignment vertical="center" wrapText="1" readingOrder="1"/>
    </xf>
    <xf numFmtId="164" fontId="12" fillId="7" borderId="4" xfId="0" applyNumberFormat="1" applyFont="1" applyFill="1" applyBorder="1" applyAlignment="1">
      <alignment horizontal="right" vertical="center" wrapText="1" readingOrder="1"/>
    </xf>
    <xf numFmtId="0" fontId="12" fillId="7" borderId="4" xfId="0" applyFont="1" applyFill="1" applyBorder="1" applyAlignment="1">
      <alignment horizontal="right" vertical="center" wrapText="1" readingOrder="1"/>
    </xf>
    <xf numFmtId="0" fontId="12" fillId="7" borderId="3" xfId="0" applyFont="1" applyFill="1" applyBorder="1" applyAlignment="1">
      <alignment horizontal="right" vertical="center" wrapText="1" readingOrder="1"/>
    </xf>
    <xf numFmtId="0" fontId="12" fillId="7" borderId="5" xfId="0" applyFont="1" applyFill="1" applyBorder="1" applyAlignment="1">
      <alignment vertical="center" wrapText="1" readingOrder="1"/>
    </xf>
    <xf numFmtId="0" fontId="12" fillId="7" borderId="3" xfId="0" applyFont="1" applyFill="1" applyBorder="1" applyAlignment="1">
      <alignment horizontal="center" vertical="center" wrapText="1" readingOrder="1"/>
    </xf>
    <xf numFmtId="0" fontId="0" fillId="7" borderId="3" xfId="0" applyFill="1" applyBorder="1"/>
    <xf numFmtId="0" fontId="12" fillId="7" borderId="7" xfId="0" applyFont="1" applyFill="1" applyBorder="1" applyAlignment="1">
      <alignment vertical="center" wrapText="1" readingOrder="1"/>
    </xf>
    <xf numFmtId="0" fontId="0" fillId="0" borderId="1" xfId="0" applyBorder="1"/>
    <xf numFmtId="0" fontId="15" fillId="8" borderId="23" xfId="0" applyFont="1" applyFill="1" applyBorder="1" applyAlignment="1">
      <alignment vertical="center" wrapText="1" readingOrder="1"/>
    </xf>
    <xf numFmtId="0" fontId="15" fillId="8" borderId="25" xfId="0" applyFont="1" applyFill="1" applyBorder="1" applyAlignment="1">
      <alignment horizontal="right" vertical="center" wrapText="1" readingOrder="1"/>
    </xf>
    <xf numFmtId="0" fontId="12" fillId="7" borderId="23" xfId="0" applyFont="1" applyFill="1" applyBorder="1" applyAlignment="1">
      <alignment vertical="center" wrapText="1" readingOrder="1"/>
    </xf>
    <xf numFmtId="164" fontId="12" fillId="7" borderId="25" xfId="0" applyNumberFormat="1" applyFont="1" applyFill="1" applyBorder="1" applyAlignment="1">
      <alignment horizontal="right" vertical="center" wrapText="1" readingOrder="1"/>
    </xf>
    <xf numFmtId="0" fontId="15" fillId="3" borderId="23" xfId="0" applyFont="1" applyFill="1" applyBorder="1" applyAlignment="1">
      <alignment vertical="center" wrapText="1" readingOrder="1"/>
    </xf>
    <xf numFmtId="0" fontId="15" fillId="3" borderId="25" xfId="0" applyFont="1" applyFill="1" applyBorder="1" applyAlignment="1">
      <alignment horizontal="right" vertical="center" wrapText="1" readingOrder="1"/>
    </xf>
    <xf numFmtId="164" fontId="15" fillId="3" borderId="25" xfId="0" applyNumberFormat="1" applyFont="1" applyFill="1" applyBorder="1" applyAlignment="1">
      <alignment horizontal="right" vertical="center" wrapText="1" readingOrder="1"/>
    </xf>
    <xf numFmtId="0" fontId="12" fillId="3" borderId="25" xfId="0" applyFont="1" applyFill="1" applyBorder="1" applyAlignment="1">
      <alignment horizontal="right" vertical="center" wrapText="1" readingOrder="1"/>
    </xf>
    <xf numFmtId="0" fontId="15" fillId="3" borderId="25" xfId="0" applyFont="1" applyFill="1" applyBorder="1" applyAlignment="1">
      <alignment vertical="center" wrapText="1" readingOrder="1"/>
    </xf>
    <xf numFmtId="0" fontId="0" fillId="5" borderId="0" xfId="0" applyFill="1"/>
    <xf numFmtId="0" fontId="0" fillId="7" borderId="1" xfId="0" applyFill="1" applyBorder="1"/>
    <xf numFmtId="0" fontId="0" fillId="3" borderId="1" xfId="0" applyFill="1" applyBorder="1"/>
    <xf numFmtId="0" fontId="16" fillId="5" borderId="0" xfId="0" applyFont="1" applyFill="1" applyAlignment="1">
      <alignment textRotation="90"/>
    </xf>
    <xf numFmtId="0" fontId="14" fillId="5" borderId="0" xfId="0" applyFont="1" applyFill="1"/>
    <xf numFmtId="0" fontId="0" fillId="5" borderId="1" xfId="0" applyFill="1" applyBorder="1"/>
    <xf numFmtId="0" fontId="0" fillId="8" borderId="1" xfId="0" applyFill="1" applyBorder="1"/>
    <xf numFmtId="0" fontId="15" fillId="7" borderId="23" xfId="0" applyFont="1" applyFill="1" applyBorder="1" applyAlignment="1">
      <alignment vertical="center" wrapText="1" readingOrder="1"/>
    </xf>
    <xf numFmtId="0" fontId="15" fillId="7" borderId="24" xfId="0" applyFont="1" applyFill="1" applyBorder="1" applyAlignment="1">
      <alignment vertical="center" wrapText="1" readingOrder="1"/>
    </xf>
    <xf numFmtId="0" fontId="15" fillId="7" borderId="25" xfId="0" applyFont="1" applyFill="1" applyBorder="1" applyAlignment="1">
      <alignment vertical="center" wrapText="1" readingOrder="1"/>
    </xf>
    <xf numFmtId="3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" xfId="0" applyNumberFormat="1" applyFont="1" applyFill="1" applyBorder="1" applyAlignment="1" applyProtection="1">
      <alignment horizontal="center" vertical="center"/>
      <protection locked="0"/>
    </xf>
    <xf numFmtId="3" fontId="7" fillId="5" borderId="29" xfId="0" applyNumberFormat="1" applyFont="1" applyFill="1" applyBorder="1" applyAlignment="1" applyProtection="1">
      <alignment horizontal="center" vertical="center"/>
      <protection locked="0"/>
    </xf>
    <xf numFmtId="3" fontId="9" fillId="4" borderId="1" xfId="0" applyNumberFormat="1" applyFont="1" applyFill="1" applyBorder="1" applyAlignment="1">
      <alignment horizontal="center" vertical="center"/>
    </xf>
    <xf numFmtId="3" fontId="2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2" borderId="0" xfId="1" applyNumberFormat="1" applyFont="1" applyFill="1"/>
    <xf numFmtId="3" fontId="3" fillId="2" borderId="0" xfId="0" applyNumberFormat="1" applyFont="1" applyFill="1" applyBorder="1" applyAlignment="1">
      <alignment horizontal="center" vertical="center"/>
    </xf>
    <xf numFmtId="3" fontId="7" fillId="0" borderId="0" xfId="0" applyNumberFormat="1" applyFont="1"/>
    <xf numFmtId="3" fontId="0" fillId="0" borderId="0" xfId="0" applyNumberFormat="1"/>
    <xf numFmtId="3" fontId="3" fillId="2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3" fillId="7" borderId="26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Fill="1"/>
    <xf numFmtId="3" fontId="7" fillId="0" borderId="1" xfId="0" applyNumberFormat="1" applyFont="1" applyFill="1" applyBorder="1" applyAlignment="1" applyProtection="1">
      <alignment horizontal="center"/>
      <protection locked="0"/>
    </xf>
    <xf numFmtId="3" fontId="7" fillId="0" borderId="16" xfId="0" applyNumberFormat="1" applyFont="1" applyFill="1" applyBorder="1" applyAlignment="1" applyProtection="1">
      <alignment horizontal="center" wrapText="1"/>
      <protection locked="0"/>
    </xf>
    <xf numFmtId="3" fontId="7" fillId="0" borderId="1" xfId="0" applyNumberFormat="1" applyFont="1" applyBorder="1" applyProtection="1">
      <protection locked="0"/>
    </xf>
    <xf numFmtId="3" fontId="7" fillId="0" borderId="1" xfId="0" applyNumberFormat="1" applyFont="1" applyFill="1" applyBorder="1" applyProtection="1">
      <protection locked="0"/>
    </xf>
    <xf numFmtId="3" fontId="7" fillId="0" borderId="0" xfId="0" applyNumberFormat="1" applyFont="1" applyBorder="1"/>
    <xf numFmtId="3" fontId="4" fillId="5" borderId="0" xfId="1" applyNumberFormat="1" applyFont="1" applyFill="1"/>
    <xf numFmtId="3" fontId="3" fillId="5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/>
    <xf numFmtId="3" fontId="29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1" xfId="0" applyNumberFormat="1" applyFont="1" applyBorder="1" applyAlignment="1" applyProtection="1">
      <alignment horizontal="right"/>
      <protection locked="0"/>
    </xf>
    <xf numFmtId="3" fontId="29" fillId="0" borderId="1" xfId="0" applyNumberFormat="1" applyFont="1" applyBorder="1" applyAlignment="1" applyProtection="1">
      <alignment horizontal="right"/>
      <protection locked="0"/>
    </xf>
    <xf numFmtId="3" fontId="9" fillId="0" borderId="16" xfId="0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0" applyNumberFormat="1" applyFont="1" applyFill="1" applyBorder="1" applyAlignment="1" applyProtection="1">
      <alignment horizontal="center" vertical="center"/>
      <protection locked="0"/>
    </xf>
    <xf numFmtId="4" fontId="9" fillId="0" borderId="29" xfId="0" applyNumberFormat="1" applyFont="1" applyFill="1" applyBorder="1" applyAlignment="1" applyProtection="1">
      <alignment horizontal="center" vertical="center"/>
      <protection locked="0"/>
    </xf>
    <xf numFmtId="3" fontId="29" fillId="5" borderId="1" xfId="0" applyNumberFormat="1" applyFont="1" applyFill="1" applyBorder="1" applyAlignment="1" applyProtection="1">
      <alignment horizontal="right"/>
      <protection locked="0"/>
    </xf>
    <xf numFmtId="3" fontId="7" fillId="5" borderId="1" xfId="0" applyNumberFormat="1" applyFont="1" applyFill="1" applyBorder="1" applyProtection="1">
      <protection locked="0"/>
    </xf>
    <xf numFmtId="3" fontId="12" fillId="2" borderId="40" xfId="0" applyNumberFormat="1" applyFont="1" applyFill="1" applyBorder="1" applyAlignment="1">
      <alignment vertical="center" wrapText="1" readingOrder="1"/>
    </xf>
    <xf numFmtId="3" fontId="12" fillId="7" borderId="40" xfId="0" applyNumberFormat="1" applyFont="1" applyFill="1" applyBorder="1" applyAlignment="1">
      <alignment vertical="center" wrapText="1" readingOrder="1"/>
    </xf>
    <xf numFmtId="3" fontId="12" fillId="7" borderId="43" xfId="0" applyNumberFormat="1" applyFont="1" applyFill="1" applyBorder="1" applyAlignment="1">
      <alignment vertical="center" wrapText="1" readingOrder="1"/>
    </xf>
    <xf numFmtId="3" fontId="12" fillId="7" borderId="36" xfId="0" applyNumberFormat="1" applyFont="1" applyFill="1" applyBorder="1" applyAlignment="1">
      <alignment vertical="center" wrapText="1" readingOrder="1"/>
    </xf>
    <xf numFmtId="3" fontId="12" fillId="7" borderId="40" xfId="0" applyNumberFormat="1" applyFont="1" applyFill="1" applyBorder="1" applyAlignment="1">
      <alignment horizontal="right" vertical="center" wrapText="1" readingOrder="1"/>
    </xf>
    <xf numFmtId="3" fontId="12" fillId="7" borderId="37" xfId="0" applyNumberFormat="1" applyFont="1" applyFill="1" applyBorder="1" applyAlignment="1">
      <alignment vertical="center" wrapText="1" readingOrder="1"/>
    </xf>
    <xf numFmtId="3" fontId="17" fillId="0" borderId="0" xfId="0" applyNumberFormat="1" applyFont="1" applyFill="1"/>
    <xf numFmtId="9" fontId="12" fillId="2" borderId="38" xfId="4" applyFont="1" applyFill="1" applyBorder="1" applyAlignment="1">
      <alignment vertical="center" wrapText="1" readingOrder="1"/>
    </xf>
    <xf numFmtId="9" fontId="12" fillId="2" borderId="40" xfId="4" applyFont="1" applyFill="1" applyBorder="1" applyAlignment="1">
      <alignment vertical="center" wrapText="1" readingOrder="1"/>
    </xf>
    <xf numFmtId="9" fontId="12" fillId="7" borderId="40" xfId="4" applyFont="1" applyFill="1" applyBorder="1" applyAlignment="1">
      <alignment vertical="center" wrapText="1" readingOrder="1"/>
    </xf>
    <xf numFmtId="9" fontId="12" fillId="7" borderId="40" xfId="4" applyFont="1" applyFill="1" applyBorder="1" applyAlignment="1">
      <alignment horizontal="right" vertical="center" wrapText="1" readingOrder="1"/>
    </xf>
    <xf numFmtId="3" fontId="7" fillId="5" borderId="0" xfId="0" applyNumberFormat="1" applyFont="1" applyFill="1" applyBorder="1" applyAlignment="1" applyProtection="1">
      <alignment horizontal="center" vertical="center" wrapText="1"/>
      <protection locked="0"/>
    </xf>
    <xf numFmtId="9" fontId="12" fillId="7" borderId="37" xfId="4" applyFont="1" applyFill="1" applyBorder="1" applyAlignment="1">
      <alignment vertical="center" wrapText="1" readingOrder="1"/>
    </xf>
    <xf numFmtId="9" fontId="12" fillId="7" borderId="37" xfId="4" applyFont="1" applyFill="1" applyBorder="1" applyAlignment="1">
      <alignment horizontal="right" vertical="center" wrapText="1" readingOrder="1"/>
    </xf>
    <xf numFmtId="3" fontId="0" fillId="0" borderId="0" xfId="0" applyNumberFormat="1" applyFill="1" applyBorder="1"/>
    <xf numFmtId="3" fontId="7" fillId="5" borderId="30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6" xfId="0" applyNumberFormat="1" applyFont="1" applyFill="1" applyBorder="1" applyProtection="1">
      <protection locked="0"/>
    </xf>
    <xf numFmtId="3" fontId="7" fillId="0" borderId="16" xfId="0" applyNumberFormat="1" applyFont="1" applyFill="1" applyBorder="1" applyAlignment="1" applyProtection="1">
      <alignment horizontal="center"/>
      <protection locked="0"/>
    </xf>
    <xf numFmtId="3" fontId="25" fillId="0" borderId="16" xfId="0" applyNumberFormat="1" applyFont="1" applyFill="1" applyBorder="1" applyAlignment="1" applyProtection="1">
      <alignment horizontal="center"/>
      <protection locked="0"/>
    </xf>
    <xf numFmtId="3" fontId="7" fillId="0" borderId="1" xfId="0" applyNumberFormat="1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wrapText="1"/>
    </xf>
    <xf numFmtId="3" fontId="29" fillId="0" borderId="1" xfId="0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3" fontId="7" fillId="0" borderId="0" xfId="0" applyNumberFormat="1" applyFont="1" applyFill="1" applyProtection="1">
      <protection locked="0"/>
    </xf>
    <xf numFmtId="3" fontId="4" fillId="2" borderId="0" xfId="1" applyNumberFormat="1" applyFont="1" applyFill="1" applyProtection="1"/>
    <xf numFmtId="3" fontId="3" fillId="2" borderId="0" xfId="0" applyNumberFormat="1" applyFont="1" applyFill="1" applyBorder="1" applyAlignment="1" applyProtection="1">
      <alignment horizontal="center" vertical="center"/>
    </xf>
    <xf numFmtId="3" fontId="3" fillId="2" borderId="0" xfId="0" applyNumberFormat="1" applyFont="1" applyFill="1" applyAlignment="1" applyProtection="1">
      <alignment horizontal="right" vertical="center"/>
    </xf>
    <xf numFmtId="3" fontId="7" fillId="0" borderId="0" xfId="0" applyNumberFormat="1" applyFont="1" applyProtection="1"/>
    <xf numFmtId="3" fontId="4" fillId="2" borderId="0" xfId="1" applyNumberFormat="1" applyFont="1" applyFill="1" applyAlignment="1" applyProtection="1">
      <alignment horizontal="center"/>
    </xf>
    <xf numFmtId="3" fontId="3" fillId="2" borderId="0" xfId="1" applyNumberFormat="1" applyFont="1" applyFill="1" applyAlignment="1" applyProtection="1">
      <alignment horizontal="right"/>
    </xf>
    <xf numFmtId="3" fontId="4" fillId="0" borderId="0" xfId="1" applyNumberFormat="1" applyFont="1" applyFill="1" applyProtection="1"/>
    <xf numFmtId="3" fontId="4" fillId="0" borderId="0" xfId="1" applyNumberFormat="1" applyFont="1" applyFill="1" applyAlignment="1" applyProtection="1">
      <alignment horizontal="center"/>
    </xf>
    <xf numFmtId="3" fontId="3" fillId="0" borderId="0" xfId="1" applyNumberFormat="1" applyFont="1" applyFill="1" applyAlignment="1" applyProtection="1">
      <alignment horizontal="right"/>
    </xf>
    <xf numFmtId="3" fontId="7" fillId="0" borderId="0" xfId="0" applyNumberFormat="1" applyFont="1" applyFill="1" applyProtection="1"/>
    <xf numFmtId="3" fontId="3" fillId="2" borderId="0" xfId="0" applyNumberFormat="1" applyFont="1" applyFill="1" applyAlignment="1" applyProtection="1">
      <alignment horizontal="center" vertical="center"/>
    </xf>
    <xf numFmtId="3" fontId="3" fillId="2" borderId="0" xfId="0" applyNumberFormat="1" applyFont="1" applyFill="1" applyProtection="1"/>
    <xf numFmtId="3" fontId="7" fillId="0" borderId="0" xfId="0" applyNumberFormat="1" applyFont="1" applyAlignment="1" applyProtection="1">
      <alignment horizontal="center" vertical="center"/>
    </xf>
    <xf numFmtId="0" fontId="0" fillId="0" borderId="0" xfId="0" applyProtection="1"/>
    <xf numFmtId="3" fontId="3" fillId="7" borderId="26" xfId="0" applyNumberFormat="1" applyFont="1" applyFill="1" applyBorder="1" applyAlignment="1" applyProtection="1">
      <alignment vertical="center"/>
    </xf>
    <xf numFmtId="3" fontId="7" fillId="3" borderId="1" xfId="0" applyNumberFormat="1" applyFont="1" applyFill="1" applyBorder="1" applyAlignment="1" applyProtection="1">
      <alignment horizontal="center" vertical="center" wrapText="1"/>
    </xf>
    <xf numFmtId="3" fontId="7" fillId="0" borderId="1" xfId="0" applyNumberFormat="1" applyFont="1" applyFill="1" applyBorder="1" applyAlignment="1" applyProtection="1">
      <alignment horizontal="left" vertical="center" wrapText="1"/>
    </xf>
    <xf numFmtId="3" fontId="7" fillId="0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 wrapText="1"/>
    </xf>
    <xf numFmtId="3" fontId="7" fillId="5" borderId="1" xfId="0" applyNumberFormat="1" applyFont="1" applyFill="1" applyBorder="1" applyAlignment="1" applyProtection="1">
      <alignment horizontal="center" vertical="center" wrapText="1"/>
    </xf>
    <xf numFmtId="3" fontId="9" fillId="0" borderId="1" xfId="0" applyNumberFormat="1" applyFont="1" applyFill="1" applyBorder="1" applyAlignment="1" applyProtection="1">
      <alignment horizontal="center" vertical="center" wrapText="1"/>
    </xf>
    <xf numFmtId="3" fontId="7" fillId="0" borderId="1" xfId="0" applyNumberFormat="1" applyFont="1" applyFill="1" applyBorder="1" applyAlignment="1" applyProtection="1">
      <alignment horizontal="center"/>
    </xf>
    <xf numFmtId="3" fontId="7" fillId="0" borderId="1" xfId="0" applyNumberFormat="1" applyFont="1" applyFill="1" applyBorder="1" applyAlignment="1" applyProtection="1">
      <alignment horizontal="left" vertical="center"/>
    </xf>
    <xf numFmtId="3" fontId="10" fillId="4" borderId="1" xfId="0" applyNumberFormat="1" applyFont="1" applyFill="1" applyBorder="1" applyAlignment="1" applyProtection="1">
      <alignment horizontal="left" vertical="center"/>
    </xf>
    <xf numFmtId="3" fontId="9" fillId="4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Protection="1"/>
    <xf numFmtId="3" fontId="7" fillId="0" borderId="16" xfId="0" applyNumberFormat="1" applyFont="1" applyFill="1" applyBorder="1" applyAlignment="1" applyProtection="1">
      <alignment horizontal="center" vertical="center"/>
    </xf>
    <xf numFmtId="3" fontId="29" fillId="5" borderId="1" xfId="0" applyNumberFormat="1" applyFont="1" applyFill="1" applyBorder="1" applyAlignment="1" applyProtection="1">
      <alignment horizontal="center" vertical="center" wrapText="1"/>
    </xf>
    <xf numFmtId="3" fontId="9" fillId="4" borderId="16" xfId="0" applyNumberFormat="1" applyFont="1" applyFill="1" applyBorder="1" applyAlignment="1" applyProtection="1">
      <alignment horizontal="center" vertical="center"/>
    </xf>
    <xf numFmtId="3" fontId="0" fillId="0" borderId="0" xfId="0" applyNumberFormat="1" applyProtection="1"/>
    <xf numFmtId="3" fontId="10" fillId="7" borderId="1" xfId="0" applyNumberFormat="1" applyFont="1" applyFill="1" applyBorder="1" applyAlignment="1" applyProtection="1">
      <alignment horizontal="center" vertical="center" wrapText="1"/>
    </xf>
    <xf numFmtId="3" fontId="9" fillId="3" borderId="1" xfId="0" applyNumberFormat="1" applyFont="1" applyFill="1" applyBorder="1" applyAlignment="1" applyProtection="1">
      <alignment horizontal="center" vertical="center" wrapText="1"/>
    </xf>
    <xf numFmtId="3" fontId="9" fillId="0" borderId="1" xfId="0" applyNumberFormat="1" applyFont="1" applyFill="1" applyBorder="1" applyAlignment="1" applyProtection="1">
      <alignment horizontal="left" vertical="center" wrapText="1"/>
    </xf>
    <xf numFmtId="3" fontId="9" fillId="0" borderId="1" xfId="0" applyNumberFormat="1" applyFont="1" applyFill="1" applyBorder="1" applyAlignment="1" applyProtection="1">
      <alignment horizontal="center" vertical="center"/>
    </xf>
    <xf numFmtId="3" fontId="9" fillId="0" borderId="1" xfId="0" applyNumberFormat="1" applyFont="1" applyFill="1" applyBorder="1" applyProtection="1"/>
    <xf numFmtId="3" fontId="9" fillId="0" borderId="0" xfId="0" applyNumberFormat="1" applyFont="1" applyFill="1" applyProtection="1"/>
    <xf numFmtId="3" fontId="9" fillId="0" borderId="16" xfId="0" applyNumberFormat="1" applyFont="1" applyFill="1" applyBorder="1" applyAlignment="1" applyProtection="1">
      <alignment horizontal="center" vertical="center"/>
    </xf>
    <xf numFmtId="3" fontId="9" fillId="0" borderId="1" xfId="0" applyNumberFormat="1" applyFont="1" applyFill="1" applyBorder="1" applyAlignment="1" applyProtection="1">
      <alignment horizontal="left" vertical="center"/>
    </xf>
    <xf numFmtId="165" fontId="3" fillId="2" borderId="0" xfId="0" applyNumberFormat="1" applyFont="1" applyFill="1" applyProtection="1"/>
    <xf numFmtId="3" fontId="7" fillId="3" borderId="1" xfId="0" applyNumberFormat="1" applyFont="1" applyFill="1" applyBorder="1" applyAlignment="1" applyProtection="1">
      <alignment horizontal="left" vertical="center" wrapText="1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left" vertical="center"/>
    </xf>
    <xf numFmtId="3" fontId="7" fillId="3" borderId="27" xfId="0" applyNumberFormat="1" applyFont="1" applyFill="1" applyBorder="1" applyAlignment="1" applyProtection="1">
      <alignment horizontal="center" vertical="center"/>
    </xf>
    <xf numFmtId="3" fontId="10" fillId="4" borderId="1" xfId="0" applyNumberFormat="1" applyFont="1" applyFill="1" applyBorder="1" applyAlignment="1" applyProtection="1">
      <alignment horizontal="left" vertical="center" wrapText="1"/>
    </xf>
    <xf numFmtId="166" fontId="9" fillId="4" borderId="1" xfId="0" applyNumberFormat="1" applyFont="1" applyFill="1" applyBorder="1" applyAlignment="1" applyProtection="1">
      <alignment horizontal="center" vertical="center"/>
    </xf>
    <xf numFmtId="4" fontId="9" fillId="4" borderId="1" xfId="0" applyNumberFormat="1" applyFont="1" applyFill="1" applyBorder="1" applyAlignment="1" applyProtection="1">
      <alignment horizontal="center" vertical="center"/>
    </xf>
    <xf numFmtId="3" fontId="10" fillId="4" borderId="28" xfId="0" applyNumberFormat="1" applyFont="1" applyFill="1" applyBorder="1" applyAlignment="1" applyProtection="1">
      <alignment horizontal="left" vertical="center"/>
    </xf>
    <xf numFmtId="3" fontId="22" fillId="5" borderId="1" xfId="0" applyNumberFormat="1" applyFont="1" applyFill="1" applyBorder="1" applyAlignment="1" applyProtection="1">
      <alignment horizontal="left" vertical="center" wrapText="1"/>
    </xf>
    <xf numFmtId="3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protection locked="0"/>
    </xf>
    <xf numFmtId="0" fontId="0" fillId="0" borderId="0" xfId="0" applyProtection="1">
      <protection locked="0"/>
    </xf>
    <xf numFmtId="165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0" xfId="0" applyNumberFormat="1" applyFont="1" applyProtection="1">
      <protection locked="0"/>
    </xf>
    <xf numFmtId="3" fontId="3" fillId="0" borderId="26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3" fontId="29" fillId="0" borderId="0" xfId="0" applyNumberFormat="1" applyFont="1" applyProtection="1">
      <protection locked="0"/>
    </xf>
    <xf numFmtId="3" fontId="29" fillId="0" borderId="0" xfId="0" applyNumberFormat="1" applyFont="1" applyAlignment="1" applyProtection="1">
      <alignment horizontal="right"/>
      <protection locked="0"/>
    </xf>
    <xf numFmtId="3" fontId="0" fillId="0" borderId="1" xfId="0" applyNumberFormat="1" applyBorder="1" applyProtection="1">
      <protection locked="0"/>
    </xf>
    <xf numFmtId="9" fontId="29" fillId="0" borderId="1" xfId="4" applyFont="1" applyBorder="1" applyAlignment="1" applyProtection="1">
      <alignment horizontal="right"/>
      <protection locked="0"/>
    </xf>
    <xf numFmtId="4" fontId="33" fillId="0" borderId="0" xfId="0" applyNumberFormat="1" applyFont="1" applyBorder="1" applyAlignment="1" applyProtection="1">
      <alignment horizontal="right"/>
      <protection locked="0"/>
    </xf>
    <xf numFmtId="3" fontId="0" fillId="0" borderId="0" xfId="0" applyNumberFormat="1" applyBorder="1" applyProtection="1">
      <protection locked="0"/>
    </xf>
    <xf numFmtId="166" fontId="0" fillId="0" borderId="0" xfId="0" applyNumberFormat="1" applyProtection="1">
      <protection locked="0"/>
    </xf>
    <xf numFmtId="3" fontId="7" fillId="0" borderId="1" xfId="0" applyNumberFormat="1" applyFont="1" applyBorder="1" applyAlignment="1" applyProtection="1">
      <alignment horizontal="center"/>
    </xf>
    <xf numFmtId="3" fontId="7" fillId="3" borderId="16" xfId="0" applyNumberFormat="1" applyFont="1" applyFill="1" applyBorder="1" applyAlignment="1" applyProtection="1">
      <alignment horizontal="left" vertical="center" wrapText="1"/>
    </xf>
    <xf numFmtId="3" fontId="7" fillId="4" borderId="1" xfId="0" applyNumberFormat="1" applyFont="1" applyFill="1" applyBorder="1" applyAlignment="1" applyProtection="1">
      <alignment horizontal="left" vertical="center" wrapText="1"/>
    </xf>
    <xf numFmtId="3" fontId="7" fillId="4" borderId="1" xfId="0" applyNumberFormat="1" applyFont="1" applyFill="1" applyBorder="1" applyAlignment="1" applyProtection="1">
      <alignment horizontal="center" vertical="center"/>
    </xf>
    <xf numFmtId="3" fontId="32" fillId="7" borderId="26" xfId="0" applyNumberFormat="1" applyFont="1" applyFill="1" applyBorder="1" applyAlignment="1" applyProtection="1">
      <alignment vertical="center"/>
    </xf>
    <xf numFmtId="3" fontId="29" fillId="0" borderId="1" xfId="0" applyNumberFormat="1" applyFont="1" applyBorder="1" applyAlignment="1" applyProtection="1">
      <alignment horizontal="center"/>
    </xf>
    <xf numFmtId="3" fontId="29" fillId="3" borderId="16" xfId="0" applyNumberFormat="1" applyFont="1" applyFill="1" applyBorder="1" applyAlignment="1" applyProtection="1">
      <alignment horizontal="left" vertical="center" wrapText="1"/>
    </xf>
    <xf numFmtId="3" fontId="29" fillId="5" borderId="27" xfId="0" applyNumberFormat="1" applyFont="1" applyFill="1" applyBorder="1" applyAlignment="1" applyProtection="1">
      <alignment horizontal="center" vertical="center" wrapText="1"/>
    </xf>
    <xf numFmtId="3" fontId="29" fillId="3" borderId="1" xfId="0" applyNumberFormat="1" applyFont="1" applyFill="1" applyBorder="1" applyAlignment="1" applyProtection="1">
      <alignment horizontal="left" vertical="center" wrapText="1"/>
    </xf>
    <xf numFmtId="3" fontId="31" fillId="4" borderId="1" xfId="0" applyNumberFormat="1" applyFont="1" applyFill="1" applyBorder="1" applyAlignment="1" applyProtection="1">
      <alignment horizontal="left" vertical="center" wrapText="1"/>
    </xf>
    <xf numFmtId="3" fontId="29" fillId="4" borderId="1" xfId="0" applyNumberFormat="1" applyFont="1" applyFill="1" applyBorder="1" applyAlignment="1" applyProtection="1">
      <alignment horizontal="center" vertical="center"/>
    </xf>
    <xf numFmtId="3" fontId="29" fillId="4" borderId="1" xfId="0" applyNumberFormat="1" applyFont="1" applyFill="1" applyBorder="1" applyAlignment="1" applyProtection="1">
      <alignment horizontal="center"/>
    </xf>
    <xf numFmtId="3" fontId="33" fillId="4" borderId="1" xfId="0" applyNumberFormat="1" applyFont="1" applyFill="1" applyBorder="1" applyProtection="1"/>
    <xf numFmtId="3" fontId="33" fillId="4" borderId="1" xfId="0" applyNumberFormat="1" applyFont="1" applyFill="1" applyBorder="1" applyAlignment="1" applyProtection="1">
      <alignment horizontal="center"/>
    </xf>
    <xf numFmtId="0" fontId="0" fillId="5" borderId="17" xfId="0" applyFill="1" applyBorder="1" applyAlignment="1" applyProtection="1">
      <protection locked="0"/>
    </xf>
    <xf numFmtId="0" fontId="0" fillId="5" borderId="31" xfId="0" applyFill="1" applyBorder="1" applyAlignment="1" applyProtection="1">
      <protection locked="0"/>
    </xf>
    <xf numFmtId="0" fontId="0" fillId="5" borderId="19" xfId="0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5" borderId="20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5" borderId="21" xfId="0" applyFill="1" applyBorder="1" applyProtection="1">
      <protection locked="0"/>
    </xf>
    <xf numFmtId="0" fontId="0" fillId="5" borderId="32" xfId="0" applyFill="1" applyBorder="1" applyProtection="1">
      <protection locked="0"/>
    </xf>
    <xf numFmtId="0" fontId="0" fillId="5" borderId="22" xfId="0" applyFill="1" applyBorder="1" applyProtection="1">
      <protection locked="0"/>
    </xf>
    <xf numFmtId="3" fontId="5" fillId="2" borderId="1" xfId="0" applyNumberFormat="1" applyFont="1" applyFill="1" applyBorder="1" applyAlignment="1" applyProtection="1">
      <alignment horizontal="left" vertical="center"/>
      <protection locked="0"/>
    </xf>
    <xf numFmtId="3" fontId="5" fillId="2" borderId="1" xfId="0" applyNumberFormat="1" applyFont="1" applyFill="1" applyBorder="1" applyAlignment="1" applyProtection="1">
      <alignment horizontal="center" vertical="center"/>
      <protection locked="0"/>
    </xf>
    <xf numFmtId="3" fontId="36" fillId="2" borderId="1" xfId="0" applyNumberFormat="1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Protection="1">
      <protection locked="0"/>
    </xf>
    <xf numFmtId="0" fontId="0" fillId="5" borderId="31" xfId="0" applyFill="1" applyBorder="1" applyProtection="1">
      <protection locked="0"/>
    </xf>
    <xf numFmtId="0" fontId="0" fillId="5" borderId="18" xfId="0" applyFill="1" applyBorder="1" applyProtection="1">
      <protection locked="0"/>
    </xf>
    <xf numFmtId="3" fontId="7" fillId="0" borderId="0" xfId="0" applyNumberFormat="1" applyFont="1" applyAlignment="1" applyProtection="1">
      <alignment horizontal="center" vertical="center"/>
      <protection locked="0"/>
    </xf>
    <xf numFmtId="3" fontId="10" fillId="0" borderId="0" xfId="0" applyNumberFormat="1" applyFont="1" applyFill="1" applyBorder="1" applyAlignment="1" applyProtection="1">
      <alignment horizontal="left" vertical="center"/>
      <protection locked="0"/>
    </xf>
    <xf numFmtId="3" fontId="9" fillId="0" borderId="0" xfId="0" applyNumberFormat="1" applyFont="1" applyFill="1" applyBorder="1" applyAlignment="1" applyProtection="1">
      <alignment horizontal="center" vertical="center"/>
      <protection locked="0"/>
    </xf>
    <xf numFmtId="3" fontId="7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 applyProtection="1">
      <alignment horizontal="center"/>
      <protection locked="0"/>
    </xf>
    <xf numFmtId="3" fontId="0" fillId="3" borderId="0" xfId="0" applyNumberFormat="1" applyFill="1" applyProtection="1">
      <protection locked="0"/>
    </xf>
    <xf numFmtId="3" fontId="7" fillId="0" borderId="0" xfId="0" applyNumberFormat="1" applyFont="1" applyFill="1" applyAlignment="1" applyProtection="1">
      <alignment horizontal="left" vertical="center"/>
      <protection locked="0"/>
    </xf>
    <xf numFmtId="3" fontId="9" fillId="0" borderId="0" xfId="0" applyNumberFormat="1" applyFont="1" applyFill="1" applyBorder="1" applyProtection="1">
      <protection locked="0"/>
    </xf>
    <xf numFmtId="3" fontId="7" fillId="0" borderId="0" xfId="0" applyNumberFormat="1" applyFont="1" applyAlignment="1" applyProtection="1">
      <alignment horizontal="center"/>
      <protection locked="0"/>
    </xf>
    <xf numFmtId="3" fontId="31" fillId="9" borderId="0" xfId="0" applyNumberFormat="1" applyFont="1" applyFill="1" applyBorder="1" applyAlignment="1" applyProtection="1">
      <alignment horizontal="left" vertical="center" wrapText="1"/>
    </xf>
    <xf numFmtId="3" fontId="29" fillId="0" borderId="0" xfId="0" applyNumberFormat="1" applyFont="1" applyProtection="1"/>
    <xf numFmtId="3" fontId="32" fillId="7" borderId="0" xfId="0" applyNumberFormat="1" applyFont="1" applyFill="1" applyBorder="1" applyAlignment="1" applyProtection="1">
      <alignment vertical="center" wrapText="1"/>
    </xf>
    <xf numFmtId="3" fontId="29" fillId="0" borderId="1" xfId="0" applyNumberFormat="1" applyFont="1" applyBorder="1" applyProtection="1"/>
    <xf numFmtId="3" fontId="29" fillId="0" borderId="1" xfId="0" applyNumberFormat="1" applyFont="1" applyFill="1" applyBorder="1" applyAlignment="1" applyProtection="1">
      <alignment horizontal="center" vertical="center"/>
    </xf>
    <xf numFmtId="3" fontId="29" fillId="5" borderId="1" xfId="0" applyNumberFormat="1" applyFont="1" applyFill="1" applyBorder="1" applyProtection="1"/>
    <xf numFmtId="3" fontId="33" fillId="0" borderId="0" xfId="0" applyNumberFormat="1" applyFont="1" applyBorder="1" applyProtection="1"/>
    <xf numFmtId="3" fontId="33" fillId="0" borderId="0" xfId="0" applyNumberFormat="1" applyFont="1" applyBorder="1" applyAlignment="1" applyProtection="1">
      <alignment horizontal="center"/>
    </xf>
    <xf numFmtId="3" fontId="32" fillId="7" borderId="0" xfId="0" applyNumberFormat="1" applyFont="1" applyFill="1" applyBorder="1" applyAlignment="1" applyProtection="1">
      <alignment vertical="center"/>
    </xf>
    <xf numFmtId="3" fontId="40" fillId="7" borderId="0" xfId="1" applyNumberFormat="1" applyFont="1" applyFill="1" applyAlignment="1" applyProtection="1">
      <alignment vertical="center"/>
    </xf>
    <xf numFmtId="3" fontId="5" fillId="7" borderId="0" xfId="0" applyNumberFormat="1" applyFont="1" applyFill="1" applyProtection="1"/>
    <xf numFmtId="3" fontId="6" fillId="0" borderId="0" xfId="1" applyNumberFormat="1" applyFont="1" applyProtection="1"/>
    <xf numFmtId="3" fontId="5" fillId="0" borderId="0" xfId="0" applyNumberFormat="1" applyFont="1" applyFill="1" applyProtection="1"/>
    <xf numFmtId="3" fontId="7" fillId="0" borderId="0" xfId="0" applyNumberFormat="1" applyFont="1" applyAlignment="1" applyProtection="1">
      <alignment wrapText="1"/>
    </xf>
    <xf numFmtId="3" fontId="7" fillId="0" borderId="0" xfId="0" applyNumberFormat="1" applyFont="1" applyBorder="1" applyProtection="1"/>
    <xf numFmtId="3" fontId="4" fillId="2" borderId="0" xfId="1" applyNumberFormat="1" applyFont="1" applyFill="1" applyBorder="1" applyProtection="1"/>
    <xf numFmtId="3" fontId="7" fillId="0" borderId="0" xfId="0" applyNumberFormat="1" applyFont="1" applyAlignment="1" applyProtection="1">
      <alignment horizontal="left" vertical="center" wrapText="1"/>
    </xf>
    <xf numFmtId="3" fontId="7" fillId="0" borderId="0" xfId="0" applyNumberFormat="1" applyFont="1" applyBorder="1" applyAlignment="1" applyProtection="1">
      <alignment horizontal="center" vertical="center"/>
    </xf>
    <xf numFmtId="3" fontId="4" fillId="7" borderId="0" xfId="1" applyNumberFormat="1" applyFont="1" applyFill="1" applyBorder="1" applyProtection="1"/>
    <xf numFmtId="3" fontId="3" fillId="7" borderId="0" xfId="0" applyNumberFormat="1" applyFont="1" applyFill="1" applyBorder="1" applyAlignment="1" applyProtection="1">
      <alignment horizontal="center" vertical="center"/>
    </xf>
    <xf numFmtId="3" fontId="4" fillId="10" borderId="0" xfId="1" applyNumberFormat="1" applyFont="1" applyFill="1" applyProtection="1"/>
    <xf numFmtId="3" fontId="3" fillId="10" borderId="0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Border="1" applyProtection="1"/>
    <xf numFmtId="3" fontId="5" fillId="2" borderId="1" xfId="0" applyNumberFormat="1" applyFont="1" applyFill="1" applyBorder="1" applyAlignment="1" applyProtection="1">
      <alignment horizontal="center" vertical="center"/>
    </xf>
    <xf numFmtId="3" fontId="36" fillId="2" borderId="1" xfId="0" applyNumberFormat="1" applyFont="1" applyFill="1" applyBorder="1" applyAlignment="1" applyProtection="1">
      <alignment horizontal="center" vertical="center"/>
    </xf>
    <xf numFmtId="4" fontId="3" fillId="2" borderId="0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Alignment="1" applyProtection="1">
      <alignment horizontal="center" vertical="center"/>
    </xf>
    <xf numFmtId="4" fontId="7" fillId="0" borderId="0" xfId="0" applyNumberFormat="1" applyFont="1" applyBorder="1" applyAlignment="1" applyProtection="1">
      <alignment horizontal="center" vertical="center"/>
    </xf>
    <xf numFmtId="4" fontId="3" fillId="7" borderId="0" xfId="0" applyNumberFormat="1" applyFont="1" applyFill="1" applyBorder="1" applyAlignment="1" applyProtection="1">
      <alignment horizontal="center" vertical="center"/>
    </xf>
    <xf numFmtId="4" fontId="3" fillId="10" borderId="0" xfId="0" applyNumberFormat="1" applyFont="1" applyFill="1" applyBorder="1" applyAlignment="1" applyProtection="1">
      <alignment horizontal="center" vertical="center"/>
    </xf>
    <xf numFmtId="9" fontId="3" fillId="10" borderId="0" xfId="4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3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5" borderId="18" xfId="0" applyFill="1" applyBorder="1" applyAlignment="1" applyProtection="1">
      <alignment horizontal="right"/>
      <protection locked="0"/>
    </xf>
    <xf numFmtId="0" fontId="0" fillId="5" borderId="20" xfId="0" applyFill="1" applyBorder="1" applyAlignment="1" applyProtection="1">
      <alignment horizontal="right"/>
      <protection locked="0"/>
    </xf>
    <xf numFmtId="0" fontId="0" fillId="5" borderId="20" xfId="0" applyFill="1" applyBorder="1" applyAlignment="1" applyProtection="1">
      <alignment horizontal="right" wrapText="1"/>
      <protection locked="0"/>
    </xf>
    <xf numFmtId="0" fontId="0" fillId="0" borderId="20" xfId="0" applyBorder="1" applyAlignment="1" applyProtection="1">
      <alignment horizontal="right"/>
      <protection locked="0"/>
    </xf>
    <xf numFmtId="0" fontId="0" fillId="5" borderId="22" xfId="0" applyFill="1" applyBorder="1" applyAlignment="1" applyProtection="1">
      <alignment horizontal="right"/>
      <protection locked="0"/>
    </xf>
    <xf numFmtId="0" fontId="0" fillId="0" borderId="52" xfId="0" applyBorder="1" applyAlignment="1" applyProtection="1">
      <alignment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0" fillId="0" borderId="53" xfId="0" applyBorder="1" applyAlignment="1" applyProtection="1">
      <alignment vertical="center"/>
      <protection locked="0"/>
    </xf>
    <xf numFmtId="0" fontId="0" fillId="0" borderId="54" xfId="0" applyFill="1" applyBorder="1" applyAlignment="1" applyProtection="1">
      <alignment vertical="center"/>
      <protection locked="0"/>
    </xf>
    <xf numFmtId="0" fontId="0" fillId="0" borderId="54" xfId="0" applyBorder="1" applyAlignment="1" applyProtection="1">
      <alignment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42" fillId="0" borderId="49" xfId="0" applyFont="1" applyBorder="1" applyAlignment="1" applyProtection="1">
      <alignment vertical="center"/>
      <protection locked="0"/>
    </xf>
    <xf numFmtId="0" fontId="42" fillId="0" borderId="50" xfId="0" applyFont="1" applyFill="1" applyBorder="1" applyAlignment="1" applyProtection="1">
      <alignment vertical="center"/>
      <protection locked="0"/>
    </xf>
    <xf numFmtId="0" fontId="42" fillId="0" borderId="50" xfId="0" applyFont="1" applyBorder="1" applyAlignment="1" applyProtection="1">
      <alignment vertical="center"/>
      <protection locked="0"/>
    </xf>
    <xf numFmtId="0" fontId="42" fillId="0" borderId="50" xfId="0" applyFont="1" applyBorder="1" applyAlignment="1" applyProtection="1">
      <alignment vertical="center" wrapText="1"/>
      <protection locked="0"/>
    </xf>
    <xf numFmtId="0" fontId="42" fillId="0" borderId="51" xfId="0" applyFont="1" applyBorder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2" fillId="0" borderId="50" xfId="0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54" xfId="0" applyFill="1" applyBorder="1" applyAlignment="1" applyProtection="1">
      <alignment vertical="center" wrapText="1"/>
      <protection locked="0"/>
    </xf>
    <xf numFmtId="0" fontId="42" fillId="0" borderId="56" xfId="0" applyFont="1" applyBorder="1" applyAlignment="1" applyProtection="1">
      <alignment vertical="center"/>
      <protection locked="0"/>
    </xf>
    <xf numFmtId="0" fontId="0" fillId="0" borderId="57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58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54" xfId="0" applyBorder="1" applyAlignment="1" applyProtection="1">
      <alignment vertical="center" wrapText="1"/>
      <protection locked="0"/>
    </xf>
    <xf numFmtId="3" fontId="12" fillId="7" borderId="59" xfId="0" applyNumberFormat="1" applyFont="1" applyFill="1" applyBorder="1" applyAlignment="1">
      <alignment vertical="center" wrapText="1" readingOrder="1"/>
    </xf>
    <xf numFmtId="3" fontId="12" fillId="7" borderId="60" xfId="0" applyNumberFormat="1" applyFont="1" applyFill="1" applyBorder="1" applyAlignment="1">
      <alignment horizontal="right" vertical="center" wrapText="1" readingOrder="1"/>
    </xf>
    <xf numFmtId="3" fontId="12" fillId="7" borderId="37" xfId="0" applyNumberFormat="1" applyFont="1" applyFill="1" applyBorder="1" applyAlignment="1">
      <alignment horizontal="right" vertical="center" wrapText="1" readingOrder="1"/>
    </xf>
    <xf numFmtId="3" fontId="0" fillId="0" borderId="61" xfId="0" applyNumberFormat="1" applyBorder="1"/>
    <xf numFmtId="3" fontId="0" fillId="7" borderId="40" xfId="0" applyNumberFormat="1" applyFill="1" applyBorder="1"/>
    <xf numFmtId="3" fontId="12" fillId="2" borderId="37" xfId="0" applyNumberFormat="1" applyFont="1" applyFill="1" applyBorder="1" applyAlignment="1">
      <alignment vertical="center" wrapText="1" readingOrder="1"/>
    </xf>
    <xf numFmtId="3" fontId="31" fillId="4" borderId="1" xfId="0" applyNumberFormat="1" applyFont="1" applyFill="1" applyBorder="1" applyAlignment="1" applyProtection="1">
      <alignment horizontal="center"/>
    </xf>
    <xf numFmtId="3" fontId="5" fillId="7" borderId="1" xfId="0" applyNumberFormat="1" applyFont="1" applyFill="1" applyBorder="1" applyAlignment="1" applyProtection="1">
      <alignment horizontal="left" vertical="center"/>
      <protection locked="0"/>
    </xf>
    <xf numFmtId="3" fontId="36" fillId="7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3" fontId="5" fillId="13" borderId="16" xfId="0" applyNumberFormat="1" applyFont="1" applyFill="1" applyBorder="1" applyAlignment="1" applyProtection="1">
      <alignment horizontal="right" vertical="center" wrapText="1"/>
    </xf>
    <xf numFmtId="3" fontId="7" fillId="3" borderId="16" xfId="0" applyNumberFormat="1" applyFont="1" applyFill="1" applyBorder="1" applyAlignment="1" applyProtection="1">
      <alignment horizontal="center" vertical="center" wrapText="1"/>
      <protection locked="0"/>
    </xf>
    <xf numFmtId="4" fontId="3" fillId="11" borderId="0" xfId="0" applyNumberFormat="1" applyFont="1" applyFill="1" applyAlignment="1" applyProtection="1">
      <alignment horizontal="center"/>
      <protection locked="0"/>
    </xf>
    <xf numFmtId="3" fontId="29" fillId="5" borderId="1" xfId="0" applyNumberFormat="1" applyFont="1" applyFill="1" applyBorder="1"/>
    <xf numFmtId="3" fontId="26" fillId="5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3" fontId="5" fillId="12" borderId="16" xfId="0" applyNumberFormat="1" applyFont="1" applyFill="1" applyBorder="1" applyAlignment="1" applyProtection="1">
      <alignment horizontal="right" vertical="center" wrapText="1"/>
    </xf>
    <xf numFmtId="3" fontId="10" fillId="14" borderId="1" xfId="0" applyNumberFormat="1" applyFont="1" applyFill="1" applyBorder="1" applyAlignment="1">
      <alignment horizontal="left" vertical="center"/>
    </xf>
    <xf numFmtId="3" fontId="9" fillId="14" borderId="1" xfId="0" applyNumberFormat="1" applyFont="1" applyFill="1" applyBorder="1" applyAlignment="1">
      <alignment horizontal="center" vertical="center"/>
    </xf>
    <xf numFmtId="3" fontId="29" fillId="14" borderId="16" xfId="0" applyNumberFormat="1" applyFont="1" applyFill="1" applyBorder="1" applyAlignment="1">
      <alignment horizontal="center" vertical="center" wrapText="1"/>
    </xf>
    <xf numFmtId="3" fontId="0" fillId="5" borderId="0" xfId="0" applyNumberFormat="1" applyFill="1" applyProtection="1"/>
    <xf numFmtId="0" fontId="0" fillId="5" borderId="0" xfId="0" applyFill="1" applyProtection="1"/>
    <xf numFmtId="3" fontId="19" fillId="5" borderId="0" xfId="0" applyNumberFormat="1" applyFont="1" applyFill="1" applyProtection="1"/>
    <xf numFmtId="0" fontId="0" fillId="5" borderId="0" xfId="0" applyFill="1" applyProtection="1">
      <protection locked="0"/>
    </xf>
    <xf numFmtId="3" fontId="26" fillId="0" borderId="1" xfId="0" applyNumberFormat="1" applyFont="1" applyFill="1" applyBorder="1" applyAlignment="1" applyProtection="1">
      <alignment horizontal="center"/>
      <protection locked="0"/>
    </xf>
    <xf numFmtId="2" fontId="9" fillId="4" borderId="1" xfId="4" applyNumberFormat="1" applyFont="1" applyFill="1" applyBorder="1" applyAlignment="1" applyProtection="1">
      <alignment horizontal="center" vertical="center"/>
    </xf>
    <xf numFmtId="3" fontId="27" fillId="0" borderId="1" xfId="0" applyNumberFormat="1" applyFont="1" applyFill="1" applyBorder="1" applyAlignment="1" applyProtection="1">
      <alignment horizontal="center"/>
      <protection locked="0"/>
    </xf>
    <xf numFmtId="3" fontId="28" fillId="0" borderId="1" xfId="0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27" fillId="5" borderId="1" xfId="0" applyNumberFormat="1" applyFont="1" applyFill="1" applyBorder="1" applyAlignment="1" applyProtection="1">
      <alignment horizontal="center"/>
      <protection locked="0"/>
    </xf>
    <xf numFmtId="3" fontId="27" fillId="5" borderId="29" xfId="0" applyNumberFormat="1" applyFont="1" applyFill="1" applyBorder="1" applyAlignment="1" applyProtection="1">
      <alignment horizontal="center"/>
      <protection locked="0"/>
    </xf>
    <xf numFmtId="3" fontId="27" fillId="0" borderId="30" xfId="0" applyNumberFormat="1" applyFont="1" applyFill="1" applyBorder="1" applyAlignment="1" applyProtection="1">
      <alignment horizontal="center"/>
      <protection locked="0"/>
    </xf>
    <xf numFmtId="3" fontId="31" fillId="4" borderId="1" xfId="0" applyNumberFormat="1" applyFont="1" applyFill="1" applyBorder="1" applyAlignment="1" applyProtection="1">
      <alignment horizontal="center" vertical="center"/>
    </xf>
    <xf numFmtId="4" fontId="29" fillId="4" borderId="1" xfId="0" applyNumberFormat="1" applyFont="1" applyFill="1" applyBorder="1" applyAlignment="1" applyProtection="1">
      <alignment horizontal="center" vertical="center"/>
    </xf>
    <xf numFmtId="3" fontId="45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47" fillId="3" borderId="27" xfId="0" applyNumberFormat="1" applyFont="1" applyFill="1" applyBorder="1" applyAlignment="1" applyProtection="1">
      <alignment horizontal="left" vertical="center"/>
      <protection locked="0"/>
    </xf>
    <xf numFmtId="3" fontId="47" fillId="3" borderId="62" xfId="0" applyNumberFormat="1" applyFont="1" applyFill="1" applyBorder="1" applyAlignment="1" applyProtection="1">
      <alignment horizontal="left" vertical="center"/>
      <protection locked="0"/>
    </xf>
    <xf numFmtId="3" fontId="47" fillId="3" borderId="30" xfId="0" applyNumberFormat="1" applyFont="1" applyFill="1" applyBorder="1" applyAlignment="1" applyProtection="1">
      <alignment horizontal="left" vertical="center"/>
      <protection locked="0"/>
    </xf>
    <xf numFmtId="3" fontId="48" fillId="13" borderId="16" xfId="0" applyNumberFormat="1" applyFont="1" applyFill="1" applyBorder="1" applyAlignment="1" applyProtection="1">
      <alignment horizontal="center" vertical="center"/>
      <protection locked="0"/>
    </xf>
    <xf numFmtId="3" fontId="4" fillId="15" borderId="65" xfId="0" applyNumberFormat="1" applyFont="1" applyFill="1" applyBorder="1" applyAlignment="1" applyProtection="1">
      <alignment horizontal="center" vertical="center"/>
      <protection locked="0"/>
    </xf>
    <xf numFmtId="0" fontId="0" fillId="5" borderId="66" xfId="0" applyFill="1" applyBorder="1" applyProtection="1">
      <protection locked="0"/>
    </xf>
    <xf numFmtId="0" fontId="46" fillId="5" borderId="64" xfId="0" applyFont="1" applyFill="1" applyBorder="1" applyProtection="1">
      <protection locked="0"/>
    </xf>
    <xf numFmtId="0" fontId="46" fillId="5" borderId="0" xfId="0" applyFont="1" applyFill="1" applyBorder="1" applyProtection="1">
      <protection locked="0"/>
    </xf>
    <xf numFmtId="0" fontId="46" fillId="5" borderId="66" xfId="0" applyFont="1" applyFill="1" applyBorder="1" applyProtection="1">
      <protection locked="0"/>
    </xf>
    <xf numFmtId="3" fontId="25" fillId="5" borderId="64" xfId="0" applyNumberFormat="1" applyFont="1" applyFill="1" applyBorder="1" applyProtection="1">
      <protection locked="0"/>
    </xf>
    <xf numFmtId="3" fontId="7" fillId="0" borderId="67" xfId="0" applyNumberFormat="1" applyFont="1" applyBorder="1" applyProtection="1">
      <protection locked="0"/>
    </xf>
    <xf numFmtId="0" fontId="0" fillId="5" borderId="26" xfId="0" applyFill="1" applyBorder="1" applyProtection="1">
      <protection locked="0"/>
    </xf>
    <xf numFmtId="0" fontId="0" fillId="5" borderId="57" xfId="0" applyFill="1" applyBorder="1" applyProtection="1">
      <protection locked="0"/>
    </xf>
    <xf numFmtId="0" fontId="26" fillId="0" borderId="63" xfId="0" applyNumberFormat="1" applyFont="1" applyBorder="1" applyAlignment="1" applyProtection="1">
      <alignment horizontal="center" vertical="center"/>
      <protection locked="0"/>
    </xf>
    <xf numFmtId="4" fontId="51" fillId="0" borderId="1" xfId="0" applyNumberFormat="1" applyFont="1" applyFill="1" applyBorder="1" applyProtection="1">
      <protection locked="0"/>
    </xf>
    <xf numFmtId="3" fontId="52" fillId="0" borderId="0" xfId="0" applyNumberFormat="1" applyFont="1" applyAlignment="1" applyProtection="1">
      <alignment horizontal="center" vertical="center" wrapText="1"/>
      <protection locked="0"/>
    </xf>
    <xf numFmtId="4" fontId="53" fillId="0" borderId="16" xfId="0" applyNumberFormat="1" applyFont="1" applyFill="1" applyBorder="1" applyAlignment="1" applyProtection="1">
      <alignment horizontal="center" vertical="center" wrapText="1"/>
      <protection locked="0"/>
    </xf>
    <xf numFmtId="3" fontId="53" fillId="0" borderId="16" xfId="0" applyNumberFormat="1" applyFont="1" applyFill="1" applyBorder="1" applyAlignment="1" applyProtection="1">
      <alignment horizontal="center" vertical="center" wrapText="1"/>
      <protection locked="0"/>
    </xf>
    <xf numFmtId="3" fontId="29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54" fillId="0" borderId="1" xfId="0" applyNumberFormat="1" applyFont="1" applyFill="1" applyBorder="1" applyAlignment="1" applyProtection="1">
      <alignment horizontal="center" vertical="center"/>
      <protection locked="0"/>
    </xf>
    <xf numFmtId="3" fontId="55" fillId="0" borderId="0" xfId="0" applyNumberFormat="1" applyFont="1" applyAlignment="1" applyProtection="1">
      <alignment horizontal="center" vertical="center" wrapText="1"/>
      <protection locked="0"/>
    </xf>
    <xf numFmtId="3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4" fontId="54" fillId="0" borderId="16" xfId="0" applyNumberFormat="1" applyFont="1" applyFill="1" applyBorder="1" applyAlignment="1" applyProtection="1">
      <alignment horizontal="center" vertical="center" wrapText="1"/>
      <protection locked="0"/>
    </xf>
    <xf numFmtId="4" fontId="54" fillId="0" borderId="29" xfId="0" applyNumberFormat="1" applyFont="1" applyFill="1" applyBorder="1" applyAlignment="1" applyProtection="1">
      <alignment horizontal="center" vertical="center"/>
      <protection locked="0"/>
    </xf>
    <xf numFmtId="3" fontId="56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57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 applyProtection="1">
      <alignment horizontal="center" vertical="center"/>
      <protection locked="0"/>
    </xf>
    <xf numFmtId="4" fontId="7" fillId="0" borderId="29" xfId="0" applyNumberFormat="1" applyFont="1" applyFill="1" applyBorder="1" applyAlignment="1" applyProtection="1">
      <alignment horizontal="center" vertical="center"/>
      <protection locked="0"/>
    </xf>
    <xf numFmtId="3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54" fillId="0" borderId="1" xfId="0" applyNumberFormat="1" applyFont="1" applyFill="1" applyBorder="1" applyAlignment="1" applyProtection="1">
      <alignment horizontal="right"/>
      <protection locked="0"/>
    </xf>
    <xf numFmtId="3" fontId="54" fillId="0" borderId="1" xfId="0" applyNumberFormat="1" applyFont="1" applyFill="1" applyBorder="1" applyAlignment="1" applyProtection="1">
      <alignment horizontal="right"/>
      <protection locked="0"/>
    </xf>
    <xf numFmtId="4" fontId="9" fillId="0" borderId="1" xfId="0" applyNumberFormat="1" applyFont="1" applyFill="1" applyBorder="1" applyAlignment="1" applyProtection="1">
      <alignment horizontal="right"/>
      <protection locked="0"/>
    </xf>
    <xf numFmtId="9" fontId="0" fillId="0" borderId="0" xfId="4" applyFont="1" applyProtection="1">
      <protection locked="0"/>
    </xf>
    <xf numFmtId="0" fontId="0" fillId="0" borderId="57" xfId="0" applyBorder="1" applyAlignment="1" applyProtection="1">
      <alignment vertical="center" wrapText="1"/>
      <protection locked="0"/>
    </xf>
    <xf numFmtId="0" fontId="0" fillId="0" borderId="30" xfId="0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 applyProtection="1">
      <alignment horizontal="right"/>
      <protection locked="0"/>
    </xf>
    <xf numFmtId="3" fontId="7" fillId="0" borderId="30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3" fontId="26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ill="1"/>
    <xf numFmtId="3" fontId="7" fillId="0" borderId="1" xfId="0" applyNumberFormat="1" applyFont="1" applyFill="1" applyBorder="1" applyAlignment="1" applyProtection="1">
      <alignment horizontal="right"/>
      <protection locked="0"/>
    </xf>
    <xf numFmtId="0" fontId="0" fillId="5" borderId="0" xfId="0" applyFill="1" applyBorder="1" applyAlignment="1" applyProtection="1">
      <alignment horizontal="right"/>
      <protection locked="0"/>
    </xf>
    <xf numFmtId="3" fontId="7" fillId="0" borderId="30" xfId="0" applyNumberFormat="1" applyFont="1" applyBorder="1" applyProtection="1">
      <protection locked="0"/>
    </xf>
    <xf numFmtId="4" fontId="7" fillId="0" borderId="30" xfId="0" applyNumberFormat="1" applyFont="1" applyBorder="1" applyProtection="1">
      <protection locked="0"/>
    </xf>
    <xf numFmtId="3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29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16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Protection="1">
      <protection locked="0"/>
    </xf>
    <xf numFmtId="3" fontId="7" fillId="5" borderId="1" xfId="0" applyNumberFormat="1" applyFont="1" applyFill="1" applyBorder="1" applyAlignment="1" applyProtection="1">
      <alignment horizontal="right"/>
      <protection locked="0"/>
    </xf>
    <xf numFmtId="3" fontId="9" fillId="5" borderId="1" xfId="0" applyNumberFormat="1" applyFont="1" applyFill="1" applyBorder="1" applyAlignment="1" applyProtection="1">
      <alignment horizontal="right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5" borderId="18" xfId="0" applyFill="1" applyBorder="1" applyAlignment="1" applyProtection="1">
      <alignment horizontal="center" vertical="center"/>
      <protection locked="0"/>
    </xf>
    <xf numFmtId="3" fontId="14" fillId="0" borderId="1" xfId="0" applyNumberFormat="1" applyFont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 vertical="center"/>
      <protection locked="0"/>
    </xf>
    <xf numFmtId="0" fontId="0" fillId="5" borderId="35" xfId="0" applyFill="1" applyBorder="1" applyAlignment="1" applyProtection="1">
      <alignment horizontal="center" vertical="center"/>
      <protection locked="0"/>
    </xf>
    <xf numFmtId="0" fontId="0" fillId="5" borderId="34" xfId="0" applyFill="1" applyBorder="1" applyAlignment="1" applyProtection="1">
      <alignment horizontal="center" vertical="center"/>
      <protection locked="0"/>
    </xf>
    <xf numFmtId="0" fontId="12" fillId="7" borderId="15" xfId="0" applyFont="1" applyFill="1" applyBorder="1" applyAlignment="1">
      <alignment horizontal="right" vertical="center" wrapText="1" readingOrder="1"/>
    </xf>
    <xf numFmtId="0" fontId="12" fillId="7" borderId="8" xfId="0" applyFont="1" applyFill="1" applyBorder="1" applyAlignment="1">
      <alignment horizontal="right" vertical="center" wrapText="1" readingOrder="1"/>
    </xf>
    <xf numFmtId="0" fontId="12" fillId="7" borderId="2" xfId="0" applyFont="1" applyFill="1" applyBorder="1" applyAlignment="1">
      <alignment horizontal="left" vertical="center" wrapText="1" readingOrder="1"/>
    </xf>
    <xf numFmtId="0" fontId="12" fillId="7" borderId="3" xfId="0" applyFont="1" applyFill="1" applyBorder="1" applyAlignment="1">
      <alignment horizontal="left" vertical="center" wrapText="1" readingOrder="1"/>
    </xf>
    <xf numFmtId="0" fontId="12" fillId="2" borderId="9" xfId="0" applyFont="1" applyFill="1" applyBorder="1" applyAlignment="1">
      <alignment horizontal="left" vertical="center" wrapText="1" readingOrder="1"/>
    </xf>
    <xf numFmtId="0" fontId="12" fillId="2" borderId="11" xfId="0" applyFont="1" applyFill="1" applyBorder="1" applyAlignment="1">
      <alignment horizontal="left" vertical="center" wrapText="1" readingOrder="1"/>
    </xf>
    <xf numFmtId="0" fontId="13" fillId="6" borderId="10" xfId="0" applyFont="1" applyFill="1" applyBorder="1" applyAlignment="1">
      <alignment vertical="center" textRotation="90" wrapText="1"/>
    </xf>
    <xf numFmtId="0" fontId="13" fillId="6" borderId="0" xfId="0" applyFont="1" applyFill="1" applyBorder="1" applyAlignment="1">
      <alignment vertical="center" textRotation="90" wrapText="1"/>
    </xf>
    <xf numFmtId="0" fontId="13" fillId="6" borderId="15" xfId="0" applyFont="1" applyFill="1" applyBorder="1" applyAlignment="1">
      <alignment vertical="center" textRotation="90" wrapText="1"/>
    </xf>
    <xf numFmtId="0" fontId="12" fillId="7" borderId="0" xfId="0" applyFont="1" applyFill="1" applyBorder="1" applyAlignment="1">
      <alignment vertical="center" wrapText="1" readingOrder="1"/>
    </xf>
    <xf numFmtId="0" fontId="12" fillId="7" borderId="14" xfId="0" applyFont="1" applyFill="1" applyBorder="1" applyAlignment="1">
      <alignment vertical="center" wrapText="1" readingOrder="1"/>
    </xf>
    <xf numFmtId="0" fontId="12" fillId="7" borderId="10" xfId="0" applyFont="1" applyFill="1" applyBorder="1" applyAlignment="1">
      <alignment vertical="center" wrapText="1" readingOrder="1"/>
    </xf>
    <xf numFmtId="0" fontId="12" fillId="7" borderId="6" xfId="0" applyFont="1" applyFill="1" applyBorder="1" applyAlignment="1">
      <alignment vertical="center" wrapText="1" readingOrder="1"/>
    </xf>
    <xf numFmtId="164" fontId="12" fillId="2" borderId="10" xfId="0" applyNumberFormat="1" applyFont="1" applyFill="1" applyBorder="1" applyAlignment="1">
      <alignment vertical="center" textRotation="90" wrapText="1" readingOrder="1"/>
    </xf>
    <xf numFmtId="0" fontId="12" fillId="2" borderId="0" xfId="0" applyFont="1" applyFill="1" applyBorder="1" applyAlignment="1">
      <alignment vertical="center" textRotation="90" wrapText="1" readingOrder="1"/>
    </xf>
    <xf numFmtId="0" fontId="12" fillId="2" borderId="15" xfId="0" applyFont="1" applyFill="1" applyBorder="1" applyAlignment="1">
      <alignment vertical="center" textRotation="90" wrapText="1" readingOrder="1"/>
    </xf>
    <xf numFmtId="0" fontId="12" fillId="2" borderId="10" xfId="0" applyFont="1" applyFill="1" applyBorder="1" applyAlignment="1">
      <alignment vertical="center" textRotation="90" wrapText="1" readingOrder="1"/>
    </xf>
    <xf numFmtId="0" fontId="12" fillId="7" borderId="2" xfId="0" applyFont="1" applyFill="1" applyBorder="1" applyAlignment="1">
      <alignment horizontal="center" vertical="center" wrapText="1" readingOrder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left" vertical="center" wrapText="1" readingOrder="1"/>
    </xf>
    <xf numFmtId="0" fontId="12" fillId="2" borderId="13" xfId="0" applyFont="1" applyFill="1" applyBorder="1" applyAlignment="1">
      <alignment horizontal="left" vertical="center" wrapText="1" readingOrder="1"/>
    </xf>
    <xf numFmtId="3" fontId="12" fillId="7" borderId="41" xfId="0" applyNumberFormat="1" applyFont="1" applyFill="1" applyBorder="1" applyAlignment="1">
      <alignment horizontal="left" vertical="center" wrapText="1" readingOrder="1"/>
    </xf>
    <xf numFmtId="3" fontId="12" fillId="7" borderId="42" xfId="0" applyNumberFormat="1" applyFont="1" applyFill="1" applyBorder="1" applyAlignment="1">
      <alignment horizontal="left" vertical="center" wrapText="1" readingOrder="1"/>
    </xf>
    <xf numFmtId="3" fontId="12" fillId="7" borderId="36" xfId="0" applyNumberFormat="1" applyFont="1" applyFill="1" applyBorder="1" applyAlignment="1">
      <alignment horizontal="left" vertical="center" wrapText="1" readingOrder="1"/>
    </xf>
    <xf numFmtId="3" fontId="12" fillId="7" borderId="37" xfId="0" applyNumberFormat="1" applyFont="1" applyFill="1" applyBorder="1" applyAlignment="1">
      <alignment horizontal="left" vertical="center" wrapText="1" readingOrder="1"/>
    </xf>
    <xf numFmtId="3" fontId="13" fillId="6" borderId="44" xfId="0" applyNumberFormat="1" applyFont="1" applyFill="1" applyBorder="1" applyAlignment="1">
      <alignment horizontal="center" vertical="center" textRotation="90" wrapText="1"/>
    </xf>
    <xf numFmtId="3" fontId="13" fillId="6" borderId="42" xfId="0" applyNumberFormat="1" applyFont="1" applyFill="1" applyBorder="1" applyAlignment="1">
      <alignment horizontal="center" vertical="center" textRotation="90" wrapText="1"/>
    </xf>
    <xf numFmtId="3" fontId="13" fillId="6" borderId="0" xfId="0" applyNumberFormat="1" applyFont="1" applyFill="1" applyBorder="1" applyAlignment="1">
      <alignment horizontal="center" vertical="center" textRotation="90" wrapText="1"/>
    </xf>
    <xf numFmtId="3" fontId="12" fillId="2" borderId="36" xfId="0" applyNumberFormat="1" applyFont="1" applyFill="1" applyBorder="1" applyAlignment="1">
      <alignment horizontal="left" vertical="center" wrapText="1" readingOrder="1"/>
    </xf>
    <xf numFmtId="3" fontId="12" fillId="2" borderId="37" xfId="0" applyNumberFormat="1" applyFont="1" applyFill="1" applyBorder="1" applyAlignment="1">
      <alignment horizontal="left" vertical="center" wrapText="1" readingOrder="1"/>
    </xf>
    <xf numFmtId="3" fontId="12" fillId="2" borderId="10" xfId="0" applyNumberFormat="1" applyFont="1" applyFill="1" applyBorder="1" applyAlignment="1">
      <alignment horizontal="center" vertical="center" textRotation="90" wrapText="1" readingOrder="1"/>
    </xf>
    <xf numFmtId="3" fontId="12" fillId="2" borderId="0" xfId="0" applyNumberFormat="1" applyFont="1" applyFill="1" applyBorder="1" applyAlignment="1">
      <alignment horizontal="center" vertical="center" textRotation="90" wrapText="1" readingOrder="1"/>
    </xf>
    <xf numFmtId="3" fontId="12" fillId="2" borderId="45" xfId="0" applyNumberFormat="1" applyFont="1" applyFill="1" applyBorder="1" applyAlignment="1">
      <alignment horizontal="center" vertical="center" textRotation="90" wrapText="1" readingOrder="1"/>
    </xf>
    <xf numFmtId="3" fontId="12" fillId="2" borderId="46" xfId="0" applyNumberFormat="1" applyFont="1" applyFill="1" applyBorder="1" applyAlignment="1">
      <alignment horizontal="center" vertical="center" textRotation="90" wrapText="1" readingOrder="1"/>
    </xf>
    <xf numFmtId="0" fontId="17" fillId="5" borderId="1" xfId="0" applyFont="1" applyFill="1" applyBorder="1" applyAlignment="1">
      <alignment horizontal="center" vertical="center" textRotation="90" wrapText="1"/>
    </xf>
    <xf numFmtId="0" fontId="17" fillId="5" borderId="1" xfId="0" applyFont="1" applyFill="1" applyBorder="1" applyAlignment="1">
      <alignment horizontal="center" vertical="center" textRotation="90"/>
    </xf>
    <xf numFmtId="0" fontId="15" fillId="5" borderId="23" xfId="0" applyFont="1" applyFill="1" applyBorder="1" applyAlignment="1">
      <alignment horizontal="left" vertical="center" wrapText="1" readingOrder="1"/>
    </xf>
    <xf numFmtId="0" fontId="15" fillId="5" borderId="24" xfId="0" applyFont="1" applyFill="1" applyBorder="1" applyAlignment="1">
      <alignment horizontal="left" vertical="center" wrapText="1" readingOrder="1"/>
    </xf>
    <xf numFmtId="0" fontId="15" fillId="5" borderId="25" xfId="0" applyFont="1" applyFill="1" applyBorder="1" applyAlignment="1">
      <alignment horizontal="left" vertical="center" wrapText="1" readingOrder="1"/>
    </xf>
    <xf numFmtId="0" fontId="15" fillId="8" borderId="19" xfId="0" applyFont="1" applyFill="1" applyBorder="1" applyAlignment="1">
      <alignment horizontal="left" vertical="center" wrapText="1" readingOrder="1"/>
    </xf>
    <xf numFmtId="0" fontId="15" fillId="8" borderId="21" xfId="0" applyFont="1" applyFill="1" applyBorder="1" applyAlignment="1">
      <alignment horizontal="left" vertical="center" wrapText="1" readingOrder="1"/>
    </xf>
    <xf numFmtId="0" fontId="15" fillId="3" borderId="23" xfId="0" applyFont="1" applyFill="1" applyBorder="1" applyAlignment="1">
      <alignment horizontal="left" vertical="center" wrapText="1" readingOrder="1"/>
    </xf>
    <xf numFmtId="0" fontId="15" fillId="3" borderId="24" xfId="0" applyFont="1" applyFill="1" applyBorder="1" applyAlignment="1">
      <alignment horizontal="left" vertical="center" wrapText="1" readingOrder="1"/>
    </xf>
    <xf numFmtId="0" fontId="15" fillId="3" borderId="25" xfId="0" applyFont="1" applyFill="1" applyBorder="1" applyAlignment="1">
      <alignment horizontal="left" vertical="center" wrapText="1" readingOrder="1"/>
    </xf>
    <xf numFmtId="0" fontId="15" fillId="8" borderId="23" xfId="0" applyFont="1" applyFill="1" applyBorder="1" applyAlignment="1">
      <alignment horizontal="left" vertical="center" wrapText="1" readingOrder="1"/>
    </xf>
    <xf numFmtId="0" fontId="15" fillId="8" borderId="25" xfId="0" applyFont="1" applyFill="1" applyBorder="1" applyAlignment="1">
      <alignment horizontal="left" vertical="center" wrapText="1" readingOrder="1"/>
    </xf>
    <xf numFmtId="0" fontId="15" fillId="8" borderId="24" xfId="0" applyFont="1" applyFill="1" applyBorder="1" applyAlignment="1">
      <alignment vertical="center" wrapText="1" readingOrder="1"/>
    </xf>
    <xf numFmtId="0" fontId="15" fillId="8" borderId="25" xfId="0" applyFont="1" applyFill="1" applyBorder="1" applyAlignment="1">
      <alignment vertical="center" wrapText="1" readingOrder="1"/>
    </xf>
    <xf numFmtId="0" fontId="12" fillId="7" borderId="23" xfId="0" applyFont="1" applyFill="1" applyBorder="1" applyAlignment="1">
      <alignment horizontal="left" vertical="center" wrapText="1" readingOrder="1"/>
    </xf>
    <xf numFmtId="0" fontId="12" fillId="7" borderId="24" xfId="0" applyFont="1" applyFill="1" applyBorder="1" applyAlignment="1">
      <alignment horizontal="left" vertical="center" wrapText="1" readingOrder="1"/>
    </xf>
    <xf numFmtId="0" fontId="12" fillId="7" borderId="25" xfId="0" applyFont="1" applyFill="1" applyBorder="1" applyAlignment="1">
      <alignment horizontal="left" vertical="center" wrapText="1" readingOrder="1"/>
    </xf>
    <xf numFmtId="0" fontId="15" fillId="5" borderId="17" xfId="0" applyFont="1" applyFill="1" applyBorder="1" applyAlignment="1">
      <alignment horizontal="center" vertical="center" textRotation="90" wrapText="1" readingOrder="1"/>
    </xf>
    <xf numFmtId="0" fontId="15" fillId="5" borderId="18" xfId="0" applyFont="1" applyFill="1" applyBorder="1" applyAlignment="1">
      <alignment horizontal="center" vertical="center" textRotation="90" wrapText="1" readingOrder="1"/>
    </xf>
    <xf numFmtId="0" fontId="15" fillId="5" borderId="19" xfId="0" applyFont="1" applyFill="1" applyBorder="1" applyAlignment="1">
      <alignment horizontal="center" vertical="center" textRotation="90" wrapText="1" readingOrder="1"/>
    </xf>
    <xf numFmtId="0" fontId="15" fillId="5" borderId="20" xfId="0" applyFont="1" applyFill="1" applyBorder="1" applyAlignment="1">
      <alignment horizontal="center" vertical="center" textRotation="90" wrapText="1" readingOrder="1"/>
    </xf>
    <xf numFmtId="0" fontId="15" fillId="5" borderId="21" xfId="0" applyFont="1" applyFill="1" applyBorder="1" applyAlignment="1">
      <alignment horizontal="center" vertical="center" textRotation="90" wrapText="1" readingOrder="1"/>
    </xf>
    <xf numFmtId="0" fontId="15" fillId="5" borderId="22" xfId="0" applyFont="1" applyFill="1" applyBorder="1" applyAlignment="1">
      <alignment horizontal="center" vertical="center" textRotation="90" wrapText="1" readingOrder="1"/>
    </xf>
    <xf numFmtId="0" fontId="15" fillId="8" borderId="24" xfId="0" applyFont="1" applyFill="1" applyBorder="1" applyAlignment="1">
      <alignment horizontal="left" vertical="center" wrapText="1" readingOrder="1"/>
    </xf>
    <xf numFmtId="0" fontId="13" fillId="6" borderId="24" xfId="0" applyFont="1" applyFill="1" applyBorder="1" applyAlignment="1">
      <alignment vertical="center" textRotation="90" wrapText="1"/>
    </xf>
    <xf numFmtId="3" fontId="12" fillId="2" borderId="39" xfId="0" applyNumberFormat="1" applyFont="1" applyFill="1" applyBorder="1" applyAlignment="1">
      <alignment horizontal="left" vertical="center" wrapText="1" readingOrder="1"/>
    </xf>
    <xf numFmtId="9" fontId="12" fillId="2" borderId="10" xfId="4" applyFont="1" applyFill="1" applyBorder="1" applyAlignment="1">
      <alignment horizontal="center" vertical="center" textRotation="90" wrapText="1" readingOrder="1"/>
    </xf>
    <xf numFmtId="9" fontId="12" fillId="2" borderId="0" xfId="4" applyFont="1" applyFill="1" applyBorder="1" applyAlignment="1">
      <alignment horizontal="center" vertical="center" textRotation="90" wrapText="1" readingOrder="1"/>
    </xf>
  </cellXfs>
  <cellStyles count="5">
    <cellStyle name="Normal" xfId="0" builtinId="0"/>
    <cellStyle name="Normal 2" xfId="1"/>
    <cellStyle name="Normal 2 2" xfId="2"/>
    <cellStyle name="Percent 2" xfId="3"/>
    <cellStyle name="Percentagem" xfId="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1A303"/>
      <color rgb="FF669900"/>
      <color rgb="FF1D4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104775</xdr:rowOff>
        </xdr:from>
        <xdr:to>
          <xdr:col>1</xdr:col>
          <xdr:colOff>533400</xdr:colOff>
          <xdr:row>31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133350</xdr:rowOff>
        </xdr:from>
        <xdr:to>
          <xdr:col>1</xdr:col>
          <xdr:colOff>371475</xdr:colOff>
          <xdr:row>37</xdr:row>
          <xdr:rowOff>114300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21</xdr:row>
          <xdr:rowOff>152400</xdr:rowOff>
        </xdr:from>
        <xdr:to>
          <xdr:col>1</xdr:col>
          <xdr:colOff>438150</xdr:colOff>
          <xdr:row>26</xdr:row>
          <xdr:rowOff>142875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95250</xdr:rowOff>
        </xdr:from>
        <xdr:to>
          <xdr:col>1</xdr:col>
          <xdr:colOff>514350</xdr:colOff>
          <xdr:row>34</xdr:row>
          <xdr:rowOff>85725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133350</xdr:rowOff>
        </xdr:from>
        <xdr:to>
          <xdr:col>2</xdr:col>
          <xdr:colOff>9525</xdr:colOff>
          <xdr:row>21</xdr:row>
          <xdr:rowOff>38100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205704</xdr:colOff>
      <xdr:row>43</xdr:row>
      <xdr:rowOff>117152</xdr:rowOff>
    </xdr:from>
    <xdr:to>
      <xdr:col>2</xdr:col>
      <xdr:colOff>70704</xdr:colOff>
      <xdr:row>43</xdr:row>
      <xdr:rowOff>117153</xdr:rowOff>
    </xdr:to>
    <xdr:cxnSp macro="">
      <xdr:nvCxnSpPr>
        <xdr:cNvPr id="10" name="Straight Arrow Connector 9"/>
        <xdr:cNvCxnSpPr/>
      </xdr:nvCxnSpPr>
      <xdr:spPr>
        <a:xfrm flipV="1">
          <a:off x="205704" y="8812917"/>
          <a:ext cx="1008000" cy="1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45</xdr:row>
      <xdr:rowOff>105895</xdr:rowOff>
    </xdr:from>
    <xdr:to>
      <xdr:col>2</xdr:col>
      <xdr:colOff>70704</xdr:colOff>
      <xdr:row>45</xdr:row>
      <xdr:rowOff>113689</xdr:rowOff>
    </xdr:to>
    <xdr:cxnSp macro="">
      <xdr:nvCxnSpPr>
        <xdr:cNvPr id="805" name="Straight Arrow Connector 804"/>
        <xdr:cNvCxnSpPr/>
      </xdr:nvCxnSpPr>
      <xdr:spPr>
        <a:xfrm>
          <a:off x="205704" y="9182660"/>
          <a:ext cx="1008000" cy="779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47</xdr:row>
      <xdr:rowOff>113689</xdr:rowOff>
    </xdr:from>
    <xdr:to>
      <xdr:col>2</xdr:col>
      <xdr:colOff>70704</xdr:colOff>
      <xdr:row>47</xdr:row>
      <xdr:rowOff>124945</xdr:rowOff>
    </xdr:to>
    <xdr:cxnSp macro="">
      <xdr:nvCxnSpPr>
        <xdr:cNvPr id="806" name="Straight Arrow Connector 805"/>
        <xdr:cNvCxnSpPr/>
      </xdr:nvCxnSpPr>
      <xdr:spPr>
        <a:xfrm flipV="1">
          <a:off x="205704" y="9571454"/>
          <a:ext cx="1008000" cy="1125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49</xdr:row>
      <xdr:rowOff>83010</xdr:rowOff>
    </xdr:from>
    <xdr:to>
      <xdr:col>2</xdr:col>
      <xdr:colOff>70704</xdr:colOff>
      <xdr:row>49</xdr:row>
      <xdr:rowOff>88205</xdr:rowOff>
    </xdr:to>
    <xdr:cxnSp macro="">
      <xdr:nvCxnSpPr>
        <xdr:cNvPr id="807" name="Straight Arrow Connector 806"/>
        <xdr:cNvCxnSpPr/>
      </xdr:nvCxnSpPr>
      <xdr:spPr>
        <a:xfrm flipV="1">
          <a:off x="205704" y="9921775"/>
          <a:ext cx="1008000" cy="5195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1541318</xdr:colOff>
      <xdr:row>39</xdr:row>
      <xdr:rowOff>142875</xdr:rowOff>
    </xdr:from>
    <xdr:to>
      <xdr:col>1</xdr:col>
      <xdr:colOff>304800</xdr:colOff>
      <xdr:row>42</xdr:row>
      <xdr:rowOff>4330</xdr:rowOff>
    </xdr:to>
    <xdr:grpSp>
      <xdr:nvGrpSpPr>
        <xdr:cNvPr id="288" name="Group 287"/>
        <xdr:cNvGrpSpPr/>
      </xdr:nvGrpSpPr>
      <xdr:grpSpPr>
        <a:xfrm>
          <a:off x="569768" y="8074602"/>
          <a:ext cx="306532" cy="432955"/>
          <a:chOff x="12347862" y="4710544"/>
          <a:chExt cx="1237855" cy="1080654"/>
        </a:xfrm>
      </xdr:grpSpPr>
      <xdr:cxnSp macro="">
        <xdr:nvCxnSpPr>
          <xdr:cNvPr id="26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08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1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2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28575</xdr:rowOff>
        </xdr:from>
        <xdr:to>
          <xdr:col>1</xdr:col>
          <xdr:colOff>342900</xdr:colOff>
          <xdr:row>39</xdr:row>
          <xdr:rowOff>114300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325211</xdr:colOff>
      <xdr:row>51</xdr:row>
      <xdr:rowOff>40821</xdr:rowOff>
    </xdr:from>
    <xdr:to>
      <xdr:col>2</xdr:col>
      <xdr:colOff>315686</xdr:colOff>
      <xdr:row>54</xdr:row>
      <xdr:rowOff>63953</xdr:rowOff>
    </xdr:to>
    <xdr:sp macro="" textlink="">
      <xdr:nvSpPr>
        <xdr:cNvPr id="46" name="Oval 45"/>
        <xdr:cNvSpPr/>
      </xdr:nvSpPr>
      <xdr:spPr>
        <a:xfrm>
          <a:off x="2094140" y="11144250"/>
          <a:ext cx="561975" cy="59463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81643</xdr:colOff>
      <xdr:row>51</xdr:row>
      <xdr:rowOff>13607</xdr:rowOff>
    </xdr:from>
    <xdr:to>
      <xdr:col>1</xdr:col>
      <xdr:colOff>299357</xdr:colOff>
      <xdr:row>54</xdr:row>
      <xdr:rowOff>81008</xdr:rowOff>
    </xdr:to>
    <xdr:sp macro="" textlink="">
      <xdr:nvSpPr>
        <xdr:cNvPr id="54" name="Freeform 53"/>
        <xdr:cNvSpPr/>
      </xdr:nvSpPr>
      <xdr:spPr>
        <a:xfrm>
          <a:off x="81643" y="11117036"/>
          <a:ext cx="653143" cy="638901"/>
        </a:xfrm>
        <a:custGeom>
          <a:avLst/>
          <a:gdLst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10" fmla="*/ 870857 w 4327071"/>
            <a:gd name="connsiteY10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842604 w 4327071"/>
            <a:gd name="connsiteY1" fmla="*/ 152390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846947 w 4327071"/>
            <a:gd name="connsiteY2" fmla="*/ 1515246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54771 w 4327071"/>
            <a:gd name="connsiteY2" fmla="*/ 1370728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754771 w 4327071"/>
            <a:gd name="connsiteY1" fmla="*/ 1370728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327071" h="2381250">
              <a:moveTo>
                <a:pt x="4242845" y="1458962"/>
              </a:moveTo>
              <a:cubicBezTo>
                <a:pt x="4234160" y="1451746"/>
                <a:pt x="987311" y="1588151"/>
                <a:pt x="978626" y="1580935"/>
              </a:cubicBezTo>
              <a:cubicBezTo>
                <a:pt x="902028" y="1117457"/>
                <a:pt x="845182" y="450340"/>
                <a:pt x="762000" y="0"/>
              </a:cubicBezTo>
              <a:lnTo>
                <a:pt x="0" y="312965"/>
              </a:lnTo>
              <a:lnTo>
                <a:pt x="95250" y="911679"/>
              </a:lnTo>
              <a:lnTo>
                <a:pt x="734786" y="2367643"/>
              </a:lnTo>
              <a:lnTo>
                <a:pt x="4327071" y="2381250"/>
              </a:lnTo>
              <a:lnTo>
                <a:pt x="4245429" y="1469572"/>
              </a:lnTo>
            </a:path>
          </a:pathLst>
        </a:custGeom>
        <a:noFill/>
        <a:ln>
          <a:solidFill>
            <a:srgbClr val="51A30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71437</xdr:colOff>
      <xdr:row>0</xdr:row>
      <xdr:rowOff>74839</xdr:rowOff>
    </xdr:from>
    <xdr:to>
      <xdr:col>6</xdr:col>
      <xdr:colOff>1180782</xdr:colOff>
      <xdr:row>4</xdr:row>
      <xdr:rowOff>145595</xdr:rowOff>
    </xdr:to>
    <xdr:pic>
      <xdr:nvPicPr>
        <xdr:cNvPr id="1229" name="Picture 122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7"/>
        <a:stretch/>
      </xdr:blipFill>
      <xdr:spPr>
        <a:xfrm>
          <a:off x="7786687" y="74839"/>
          <a:ext cx="6576324" cy="928006"/>
        </a:xfrm>
        <a:prstGeom prst="rect">
          <a:avLst/>
        </a:prstGeom>
      </xdr:spPr>
    </xdr:pic>
    <xdr:clientData/>
  </xdr:twoCellAnchor>
  <xdr:twoCellAnchor>
    <xdr:from>
      <xdr:col>5</xdr:col>
      <xdr:colOff>609600</xdr:colOff>
      <xdr:row>45</xdr:row>
      <xdr:rowOff>221673</xdr:rowOff>
    </xdr:from>
    <xdr:to>
      <xdr:col>9</xdr:col>
      <xdr:colOff>83128</xdr:colOff>
      <xdr:row>45</xdr:row>
      <xdr:rowOff>226869</xdr:rowOff>
    </xdr:to>
    <xdr:cxnSp macro="">
      <xdr:nvCxnSpPr>
        <xdr:cNvPr id="20" name="Straight Arrow Connector 806"/>
        <xdr:cNvCxnSpPr/>
      </xdr:nvCxnSpPr>
      <xdr:spPr>
        <a:xfrm flipV="1">
          <a:off x="6105525" y="9441873"/>
          <a:ext cx="4359853" cy="5196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235527</xdr:colOff>
      <xdr:row>43</xdr:row>
      <xdr:rowOff>83127</xdr:rowOff>
    </xdr:from>
    <xdr:to>
      <xdr:col>10</xdr:col>
      <xdr:colOff>540327</xdr:colOff>
      <xdr:row>47</xdr:row>
      <xdr:rowOff>166255</xdr:rowOff>
    </xdr:to>
    <xdr:grpSp>
      <xdr:nvGrpSpPr>
        <xdr:cNvPr id="21" name="Group 287"/>
        <xdr:cNvGrpSpPr/>
      </xdr:nvGrpSpPr>
      <xdr:grpSpPr>
        <a:xfrm>
          <a:off x="12410209" y="8776854"/>
          <a:ext cx="910936" cy="1208810"/>
          <a:chOff x="12347862" y="4710544"/>
          <a:chExt cx="1237855" cy="1080654"/>
        </a:xfrm>
      </xdr:grpSpPr>
      <xdr:cxnSp macro="">
        <xdr:nvCxnSpPr>
          <xdr:cNvPr id="22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651164</xdr:colOff>
      <xdr:row>46</xdr:row>
      <xdr:rowOff>180110</xdr:rowOff>
    </xdr:from>
    <xdr:to>
      <xdr:col>9</xdr:col>
      <xdr:colOff>55419</xdr:colOff>
      <xdr:row>47</xdr:row>
      <xdr:rowOff>0</xdr:rowOff>
    </xdr:to>
    <xdr:cxnSp macro="">
      <xdr:nvCxnSpPr>
        <xdr:cNvPr id="27" name="Straight Arrow Connector 805"/>
        <xdr:cNvCxnSpPr/>
      </xdr:nvCxnSpPr>
      <xdr:spPr>
        <a:xfrm>
          <a:off x="6147089" y="9781310"/>
          <a:ext cx="4290580" cy="1039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1814944</xdr:colOff>
      <xdr:row>41</xdr:row>
      <xdr:rowOff>83127</xdr:rowOff>
    </xdr:from>
    <xdr:to>
      <xdr:col>5</xdr:col>
      <xdr:colOff>692727</xdr:colOff>
      <xdr:row>43</xdr:row>
      <xdr:rowOff>96982</xdr:rowOff>
    </xdr:to>
    <xdr:sp macro="" textlink="">
      <xdr:nvSpPr>
        <xdr:cNvPr id="28" name="CaixaDeTexto 5"/>
        <xdr:cNvSpPr txBox="1"/>
      </xdr:nvSpPr>
      <xdr:spPr>
        <a:xfrm>
          <a:off x="5158219" y="8369877"/>
          <a:ext cx="1030433" cy="394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Reservatório IQ</a:t>
          </a:r>
        </a:p>
      </xdr:txBody>
    </xdr:sp>
    <xdr:clientData/>
  </xdr:twoCellAnchor>
  <xdr:twoCellAnchor>
    <xdr:from>
      <xdr:col>4</xdr:col>
      <xdr:colOff>2202872</xdr:colOff>
      <xdr:row>47</xdr:row>
      <xdr:rowOff>221673</xdr:rowOff>
    </xdr:from>
    <xdr:to>
      <xdr:col>7</xdr:col>
      <xdr:colOff>55418</xdr:colOff>
      <xdr:row>50</xdr:row>
      <xdr:rowOff>22514</xdr:rowOff>
    </xdr:to>
    <xdr:cxnSp macro="">
      <xdr:nvCxnSpPr>
        <xdr:cNvPr id="29" name="Straight Arrow Connector 806"/>
        <xdr:cNvCxnSpPr/>
      </xdr:nvCxnSpPr>
      <xdr:spPr>
        <a:xfrm>
          <a:off x="5498522" y="10013373"/>
          <a:ext cx="3719946" cy="715241"/>
        </a:xfrm>
        <a:prstGeom prst="curvedConnector3">
          <a:avLst>
            <a:gd name="adj1" fmla="val -1624"/>
          </a:avLst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207818</xdr:colOff>
      <xdr:row>49</xdr:row>
      <xdr:rowOff>110838</xdr:rowOff>
    </xdr:from>
    <xdr:to>
      <xdr:col>7</xdr:col>
      <xdr:colOff>505691</xdr:colOff>
      <xdr:row>51</xdr:row>
      <xdr:rowOff>2</xdr:rowOff>
    </xdr:to>
    <xdr:grpSp>
      <xdr:nvGrpSpPr>
        <xdr:cNvPr id="30" name="Group 287"/>
        <xdr:cNvGrpSpPr/>
      </xdr:nvGrpSpPr>
      <xdr:grpSpPr>
        <a:xfrm>
          <a:off x="11170227" y="10484429"/>
          <a:ext cx="297873" cy="443346"/>
          <a:chOff x="12347862" y="4710544"/>
          <a:chExt cx="1237855" cy="1080654"/>
        </a:xfrm>
      </xdr:grpSpPr>
      <xdr:cxnSp macro="">
        <xdr:nvCxnSpPr>
          <xdr:cNvPr id="31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1967345</xdr:colOff>
      <xdr:row>51</xdr:row>
      <xdr:rowOff>27709</xdr:rowOff>
    </xdr:from>
    <xdr:to>
      <xdr:col>8</xdr:col>
      <xdr:colOff>249381</xdr:colOff>
      <xdr:row>52</xdr:row>
      <xdr:rowOff>152401</xdr:rowOff>
    </xdr:to>
    <xdr:sp macro="" textlink="">
      <xdr:nvSpPr>
        <xdr:cNvPr id="35" name="CaixaDeTexto 74"/>
        <xdr:cNvSpPr txBox="1"/>
      </xdr:nvSpPr>
      <xdr:spPr>
        <a:xfrm>
          <a:off x="8977745" y="10924309"/>
          <a:ext cx="1044286" cy="3151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Pinheiros Altos</a:t>
          </a:r>
        </a:p>
      </xdr:txBody>
    </xdr:sp>
    <xdr:clientData/>
  </xdr:twoCellAnchor>
  <xdr:twoCellAnchor>
    <xdr:from>
      <xdr:col>4</xdr:col>
      <xdr:colOff>734290</xdr:colOff>
      <xdr:row>48</xdr:row>
      <xdr:rowOff>27708</xdr:rowOff>
    </xdr:from>
    <xdr:to>
      <xdr:col>4</xdr:col>
      <xdr:colOff>1925782</xdr:colOff>
      <xdr:row>50</xdr:row>
      <xdr:rowOff>55418</xdr:rowOff>
    </xdr:to>
    <xdr:sp macro="" textlink="">
      <xdr:nvSpPr>
        <xdr:cNvPr id="36" name="CaixaDeTexto 76"/>
        <xdr:cNvSpPr txBox="1"/>
      </xdr:nvSpPr>
      <xdr:spPr>
        <a:xfrm>
          <a:off x="4077565" y="10181358"/>
          <a:ext cx="1191492" cy="580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100"/>
            <a:t>EE Pinheiros Altos</a:t>
          </a:r>
        </a:p>
      </xdr:txBody>
    </xdr:sp>
    <xdr:clientData/>
  </xdr:twoCellAnchor>
  <xdr:twoCellAnchor>
    <xdr:from>
      <xdr:col>5</xdr:col>
      <xdr:colOff>706583</xdr:colOff>
      <xdr:row>43</xdr:row>
      <xdr:rowOff>318653</xdr:rowOff>
    </xdr:from>
    <xdr:to>
      <xdr:col>5</xdr:col>
      <xdr:colOff>1385455</xdr:colOff>
      <xdr:row>45</xdr:row>
      <xdr:rowOff>41563</xdr:rowOff>
    </xdr:to>
    <xdr:sp macro="" textlink="">
      <xdr:nvSpPr>
        <xdr:cNvPr id="37" name="CaixaDeTexto 77"/>
        <xdr:cNvSpPr txBox="1"/>
      </xdr:nvSpPr>
      <xdr:spPr>
        <a:xfrm>
          <a:off x="6202508" y="8986403"/>
          <a:ext cx="678872" cy="275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100"/>
            <a:t>EE Princ</a:t>
          </a:r>
        </a:p>
      </xdr:txBody>
    </xdr:sp>
    <xdr:clientData/>
  </xdr:twoCellAnchor>
  <xdr:twoCellAnchor>
    <xdr:from>
      <xdr:col>8</xdr:col>
      <xdr:colOff>540326</xdr:colOff>
      <xdr:row>47</xdr:row>
      <xdr:rowOff>263235</xdr:rowOff>
    </xdr:from>
    <xdr:to>
      <xdr:col>10</xdr:col>
      <xdr:colOff>415635</xdr:colOff>
      <xdr:row>49</xdr:row>
      <xdr:rowOff>27708</xdr:rowOff>
    </xdr:to>
    <xdr:sp macro="" textlink="">
      <xdr:nvSpPr>
        <xdr:cNvPr id="38" name="CaixaDeTexto 78"/>
        <xdr:cNvSpPr txBox="1"/>
      </xdr:nvSpPr>
      <xdr:spPr>
        <a:xfrm>
          <a:off x="10312976" y="10054935"/>
          <a:ext cx="1094509" cy="316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Quinta do Lago</a:t>
          </a:r>
        </a:p>
      </xdr:txBody>
    </xdr:sp>
    <xdr:clientData/>
  </xdr:twoCellAnchor>
  <xdr:twoCellAnchor>
    <xdr:from>
      <xdr:col>5</xdr:col>
      <xdr:colOff>96982</xdr:colOff>
      <xdr:row>24</xdr:row>
      <xdr:rowOff>41563</xdr:rowOff>
    </xdr:from>
    <xdr:to>
      <xdr:col>6</xdr:col>
      <xdr:colOff>845127</xdr:colOff>
      <xdr:row>24</xdr:row>
      <xdr:rowOff>55421</xdr:rowOff>
    </xdr:to>
    <xdr:cxnSp macro="">
      <xdr:nvCxnSpPr>
        <xdr:cNvPr id="39" name="Straight Arrow Connector 9"/>
        <xdr:cNvCxnSpPr/>
      </xdr:nvCxnSpPr>
      <xdr:spPr>
        <a:xfrm flipV="1">
          <a:off x="5592907" y="4899313"/>
          <a:ext cx="2262620" cy="13858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1149927</xdr:colOff>
      <xdr:row>27</xdr:row>
      <xdr:rowOff>55416</xdr:rowOff>
    </xdr:from>
    <xdr:to>
      <xdr:col>4</xdr:col>
      <xdr:colOff>2189018</xdr:colOff>
      <xdr:row>29</xdr:row>
      <xdr:rowOff>180108</xdr:rowOff>
    </xdr:to>
    <xdr:sp macro="" textlink="">
      <xdr:nvSpPr>
        <xdr:cNvPr id="40" name="CaixaDeTexto 82"/>
        <xdr:cNvSpPr txBox="1"/>
      </xdr:nvSpPr>
      <xdr:spPr>
        <a:xfrm>
          <a:off x="4493202" y="5484666"/>
          <a:ext cx="1000991" cy="5056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Reservatório Cerro do Galo</a:t>
          </a:r>
        </a:p>
      </xdr:txBody>
    </xdr:sp>
    <xdr:clientData/>
  </xdr:twoCellAnchor>
  <xdr:twoCellAnchor>
    <xdr:from>
      <xdr:col>6</xdr:col>
      <xdr:colOff>845127</xdr:colOff>
      <xdr:row>23</xdr:row>
      <xdr:rowOff>110836</xdr:rowOff>
    </xdr:from>
    <xdr:to>
      <xdr:col>6</xdr:col>
      <xdr:colOff>1136073</xdr:colOff>
      <xdr:row>25</xdr:row>
      <xdr:rowOff>13855</xdr:rowOff>
    </xdr:to>
    <xdr:sp macro="" textlink="">
      <xdr:nvSpPr>
        <xdr:cNvPr id="41" name="Cruzada 16"/>
        <xdr:cNvSpPr/>
      </xdr:nvSpPr>
      <xdr:spPr>
        <a:xfrm>
          <a:off x="7855527" y="4778086"/>
          <a:ext cx="290946" cy="284019"/>
        </a:xfrm>
        <a:prstGeom prst="plus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1136073</xdr:colOff>
      <xdr:row>24</xdr:row>
      <xdr:rowOff>41563</xdr:rowOff>
    </xdr:from>
    <xdr:to>
      <xdr:col>7</xdr:col>
      <xdr:colOff>31255</xdr:colOff>
      <xdr:row>24</xdr:row>
      <xdr:rowOff>62345</xdr:rowOff>
    </xdr:to>
    <xdr:cxnSp macro="">
      <xdr:nvCxnSpPr>
        <xdr:cNvPr id="42" name="Straight Arrow Connector 805"/>
        <xdr:cNvCxnSpPr>
          <a:stCxn id="41" idx="3"/>
        </xdr:cNvCxnSpPr>
      </xdr:nvCxnSpPr>
      <xdr:spPr>
        <a:xfrm flipV="1">
          <a:off x="8146473" y="4899313"/>
          <a:ext cx="1047832" cy="20782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969818</xdr:colOff>
      <xdr:row>25</xdr:row>
      <xdr:rowOff>38965</xdr:rowOff>
    </xdr:from>
    <xdr:to>
      <xdr:col>6</xdr:col>
      <xdr:colOff>997527</xdr:colOff>
      <xdr:row>31</xdr:row>
      <xdr:rowOff>41564</xdr:rowOff>
    </xdr:to>
    <xdr:cxnSp macro="">
      <xdr:nvCxnSpPr>
        <xdr:cNvPr id="43" name="Straight Arrow Connector 805"/>
        <xdr:cNvCxnSpPr/>
      </xdr:nvCxnSpPr>
      <xdr:spPr>
        <a:xfrm>
          <a:off x="7980218" y="5087215"/>
          <a:ext cx="27709" cy="1145599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374074</xdr:colOff>
      <xdr:row>24</xdr:row>
      <xdr:rowOff>13854</xdr:rowOff>
    </xdr:from>
    <xdr:to>
      <xdr:col>9</xdr:col>
      <xdr:colOff>155947</xdr:colOff>
      <xdr:row>24</xdr:row>
      <xdr:rowOff>25110</xdr:rowOff>
    </xdr:to>
    <xdr:cxnSp macro="">
      <xdr:nvCxnSpPr>
        <xdr:cNvPr id="44" name="Straight Arrow Connector 805"/>
        <xdr:cNvCxnSpPr/>
      </xdr:nvCxnSpPr>
      <xdr:spPr>
        <a:xfrm flipV="1">
          <a:off x="9537124" y="4871604"/>
          <a:ext cx="1001073" cy="1125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1005054</xdr:colOff>
      <xdr:row>31</xdr:row>
      <xdr:rowOff>69272</xdr:rowOff>
    </xdr:from>
    <xdr:to>
      <xdr:col>6</xdr:col>
      <xdr:colOff>2050473</xdr:colOff>
      <xdr:row>33</xdr:row>
      <xdr:rowOff>166254</xdr:rowOff>
    </xdr:to>
    <xdr:cxnSp macro="">
      <xdr:nvCxnSpPr>
        <xdr:cNvPr id="45" name="Straight Arrow Connector 805"/>
        <xdr:cNvCxnSpPr/>
      </xdr:nvCxnSpPr>
      <xdr:spPr>
        <a:xfrm rot="16200000" flipH="1">
          <a:off x="8299173" y="5976803"/>
          <a:ext cx="477982" cy="1045419"/>
        </a:xfrm>
        <a:prstGeom prst="curvedConnector2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221673</xdr:colOff>
      <xdr:row>33</xdr:row>
      <xdr:rowOff>152400</xdr:rowOff>
    </xdr:from>
    <xdr:to>
      <xdr:col>9</xdr:col>
      <xdr:colOff>3546</xdr:colOff>
      <xdr:row>33</xdr:row>
      <xdr:rowOff>163656</xdr:rowOff>
    </xdr:to>
    <xdr:cxnSp macro="">
      <xdr:nvCxnSpPr>
        <xdr:cNvPr id="47" name="Straight Arrow Connector 805"/>
        <xdr:cNvCxnSpPr/>
      </xdr:nvCxnSpPr>
      <xdr:spPr>
        <a:xfrm flipV="1">
          <a:off x="9384723" y="6724650"/>
          <a:ext cx="1001073" cy="1125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235528</xdr:colOff>
      <xdr:row>22</xdr:row>
      <xdr:rowOff>152401</xdr:rowOff>
    </xdr:from>
    <xdr:to>
      <xdr:col>9</xdr:col>
      <xdr:colOff>533401</xdr:colOff>
      <xdr:row>25</xdr:row>
      <xdr:rowOff>13856</xdr:rowOff>
    </xdr:to>
    <xdr:grpSp>
      <xdr:nvGrpSpPr>
        <xdr:cNvPr id="48" name="Group 287"/>
        <xdr:cNvGrpSpPr/>
      </xdr:nvGrpSpPr>
      <xdr:grpSpPr>
        <a:xfrm>
          <a:off x="12410210" y="4655128"/>
          <a:ext cx="297873" cy="432955"/>
          <a:chOff x="12347862" y="4710544"/>
          <a:chExt cx="1237855" cy="1080654"/>
        </a:xfrm>
      </xdr:grpSpPr>
      <xdr:cxnSp macro="">
        <xdr:nvCxnSpPr>
          <xdr:cNvPr id="49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55419</xdr:colOff>
      <xdr:row>32</xdr:row>
      <xdr:rowOff>96982</xdr:rowOff>
    </xdr:from>
    <xdr:to>
      <xdr:col>9</xdr:col>
      <xdr:colOff>353292</xdr:colOff>
      <xdr:row>33</xdr:row>
      <xdr:rowOff>346365</xdr:rowOff>
    </xdr:to>
    <xdr:grpSp>
      <xdr:nvGrpSpPr>
        <xdr:cNvPr id="53" name="Group 287"/>
        <xdr:cNvGrpSpPr/>
      </xdr:nvGrpSpPr>
      <xdr:grpSpPr>
        <a:xfrm>
          <a:off x="12230101" y="6504709"/>
          <a:ext cx="297873" cy="439883"/>
          <a:chOff x="12347862" y="4710544"/>
          <a:chExt cx="1237855" cy="1080654"/>
        </a:xfrm>
      </xdr:grpSpPr>
      <xdr:cxnSp macro="">
        <xdr:nvCxnSpPr>
          <xdr:cNvPr id="55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6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429490</xdr:colOff>
      <xdr:row>25</xdr:row>
      <xdr:rowOff>83128</xdr:rowOff>
    </xdr:from>
    <xdr:to>
      <xdr:col>10</xdr:col>
      <xdr:colOff>374072</xdr:colOff>
      <xdr:row>27</xdr:row>
      <xdr:rowOff>138545</xdr:rowOff>
    </xdr:to>
    <xdr:sp macro="" textlink="">
      <xdr:nvSpPr>
        <xdr:cNvPr id="59" name="CaixaDeTexto 111"/>
        <xdr:cNvSpPr txBox="1"/>
      </xdr:nvSpPr>
      <xdr:spPr>
        <a:xfrm>
          <a:off x="10202140" y="5131378"/>
          <a:ext cx="1163782" cy="4364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Varandas do lago</a:t>
          </a:r>
        </a:p>
      </xdr:txBody>
    </xdr:sp>
    <xdr:clientData/>
  </xdr:twoCellAnchor>
  <xdr:twoCellAnchor>
    <xdr:from>
      <xdr:col>8</xdr:col>
      <xdr:colOff>249381</xdr:colOff>
      <xdr:row>34</xdr:row>
      <xdr:rowOff>27709</xdr:rowOff>
    </xdr:from>
    <xdr:to>
      <xdr:col>10</xdr:col>
      <xdr:colOff>277091</xdr:colOff>
      <xdr:row>35</xdr:row>
      <xdr:rowOff>166255</xdr:rowOff>
    </xdr:to>
    <xdr:sp macro="" textlink="">
      <xdr:nvSpPr>
        <xdr:cNvPr id="60" name="CaixaDeTexto 112"/>
        <xdr:cNvSpPr txBox="1"/>
      </xdr:nvSpPr>
      <xdr:spPr>
        <a:xfrm>
          <a:off x="10022031" y="6980959"/>
          <a:ext cx="1246910" cy="3290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Quinta das Salinas</a:t>
          </a:r>
        </a:p>
      </xdr:txBody>
    </xdr:sp>
    <xdr:clientData/>
  </xdr:twoCellAnchor>
  <xdr:twoCellAnchor>
    <xdr:from>
      <xdr:col>4</xdr:col>
      <xdr:colOff>873027</xdr:colOff>
      <xdr:row>20</xdr:row>
      <xdr:rowOff>38055</xdr:rowOff>
    </xdr:from>
    <xdr:to>
      <xdr:col>13</xdr:col>
      <xdr:colOff>249381</xdr:colOff>
      <xdr:row>53</xdr:row>
      <xdr:rowOff>96982</xdr:rowOff>
    </xdr:to>
    <xdr:sp macro="" textlink="">
      <xdr:nvSpPr>
        <xdr:cNvPr id="61" name="Freeform 53"/>
        <xdr:cNvSpPr/>
      </xdr:nvSpPr>
      <xdr:spPr>
        <a:xfrm>
          <a:off x="4216302" y="4133805"/>
          <a:ext cx="8853729" cy="7240777"/>
        </a:xfrm>
        <a:custGeom>
          <a:avLst/>
          <a:gdLst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10" fmla="*/ 870857 w 4327071"/>
            <a:gd name="connsiteY10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842604 w 4327071"/>
            <a:gd name="connsiteY1" fmla="*/ 152390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846947 w 4327071"/>
            <a:gd name="connsiteY2" fmla="*/ 1515246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54771 w 4327071"/>
            <a:gd name="connsiteY2" fmla="*/ 1370728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754771 w 4327071"/>
            <a:gd name="connsiteY1" fmla="*/ 1370728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455482 w 4327071"/>
            <a:gd name="connsiteY5" fmla="*/ 1740316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58563 w 4327071"/>
            <a:gd name="connsiteY5" fmla="*/ 2336741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2427064 w 4327071"/>
            <a:gd name="connsiteY1" fmla="*/ 1522220 h 2381250"/>
            <a:gd name="connsiteX2" fmla="*/ 978626 w 4327071"/>
            <a:gd name="connsiteY2" fmla="*/ 1580935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58563 w 4327071"/>
            <a:gd name="connsiteY6" fmla="*/ 2336741 h 2381250"/>
            <a:gd name="connsiteX7" fmla="*/ 734786 w 4327071"/>
            <a:gd name="connsiteY7" fmla="*/ 2367643 h 2381250"/>
            <a:gd name="connsiteX8" fmla="*/ 4327071 w 4327071"/>
            <a:gd name="connsiteY8" fmla="*/ 2381250 h 2381250"/>
            <a:gd name="connsiteX9" fmla="*/ 4245429 w 4327071"/>
            <a:gd name="connsiteY9" fmla="*/ 1469572 h 2381250"/>
            <a:gd name="connsiteX0" fmla="*/ 4242845 w 4327071"/>
            <a:gd name="connsiteY0" fmla="*/ 1458962 h 2381250"/>
            <a:gd name="connsiteX1" fmla="*/ 4294537 w 4327071"/>
            <a:gd name="connsiteY1" fmla="*/ 48960 h 2381250"/>
            <a:gd name="connsiteX2" fmla="*/ 978626 w 4327071"/>
            <a:gd name="connsiteY2" fmla="*/ 1580935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58563 w 4327071"/>
            <a:gd name="connsiteY6" fmla="*/ 2336741 h 2381250"/>
            <a:gd name="connsiteX7" fmla="*/ 734786 w 4327071"/>
            <a:gd name="connsiteY7" fmla="*/ 2367643 h 2381250"/>
            <a:gd name="connsiteX8" fmla="*/ 4327071 w 4327071"/>
            <a:gd name="connsiteY8" fmla="*/ 2381250 h 2381250"/>
            <a:gd name="connsiteX9" fmla="*/ 4245429 w 4327071"/>
            <a:gd name="connsiteY9" fmla="*/ 1469572 h 2381250"/>
            <a:gd name="connsiteX0" fmla="*/ 4242845 w 4327071"/>
            <a:gd name="connsiteY0" fmla="*/ 1458962 h 2381250"/>
            <a:gd name="connsiteX1" fmla="*/ 4294537 w 4327071"/>
            <a:gd name="connsiteY1" fmla="*/ 48960 h 2381250"/>
            <a:gd name="connsiteX2" fmla="*/ 2201918 w 4327071"/>
            <a:gd name="connsiteY2" fmla="*/ 169989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58563 w 4327071"/>
            <a:gd name="connsiteY6" fmla="*/ 2336741 h 2381250"/>
            <a:gd name="connsiteX7" fmla="*/ 734786 w 4327071"/>
            <a:gd name="connsiteY7" fmla="*/ 2367643 h 2381250"/>
            <a:gd name="connsiteX8" fmla="*/ 4327071 w 4327071"/>
            <a:gd name="connsiteY8" fmla="*/ 2381250 h 2381250"/>
            <a:gd name="connsiteX9" fmla="*/ 4245429 w 4327071"/>
            <a:gd name="connsiteY9" fmla="*/ 1469572 h 2381250"/>
            <a:gd name="connsiteX0" fmla="*/ 4242845 w 4327071"/>
            <a:gd name="connsiteY0" fmla="*/ 1504330 h 2426618"/>
            <a:gd name="connsiteX1" fmla="*/ 4294537 w 4327071"/>
            <a:gd name="connsiteY1" fmla="*/ 94328 h 2426618"/>
            <a:gd name="connsiteX2" fmla="*/ 2325548 w 4327071"/>
            <a:gd name="connsiteY2" fmla="*/ 148593 h 2426618"/>
            <a:gd name="connsiteX3" fmla="*/ 762000 w 4327071"/>
            <a:gd name="connsiteY3" fmla="*/ 45368 h 2426618"/>
            <a:gd name="connsiteX4" fmla="*/ 0 w 4327071"/>
            <a:gd name="connsiteY4" fmla="*/ 358333 h 2426618"/>
            <a:gd name="connsiteX5" fmla="*/ 95250 w 4327071"/>
            <a:gd name="connsiteY5" fmla="*/ 957047 h 2426618"/>
            <a:gd name="connsiteX6" fmla="*/ 58563 w 4327071"/>
            <a:gd name="connsiteY6" fmla="*/ 2382109 h 2426618"/>
            <a:gd name="connsiteX7" fmla="*/ 734786 w 4327071"/>
            <a:gd name="connsiteY7" fmla="*/ 2413011 h 2426618"/>
            <a:gd name="connsiteX8" fmla="*/ 4327071 w 4327071"/>
            <a:gd name="connsiteY8" fmla="*/ 2426618 h 2426618"/>
            <a:gd name="connsiteX9" fmla="*/ 4245429 w 4327071"/>
            <a:gd name="connsiteY9" fmla="*/ 1514940 h 2426618"/>
            <a:gd name="connsiteX0" fmla="*/ 4242845 w 4327071"/>
            <a:gd name="connsiteY0" fmla="*/ 2041786 h 2964074"/>
            <a:gd name="connsiteX1" fmla="*/ 4294537 w 4327071"/>
            <a:gd name="connsiteY1" fmla="*/ 631784 h 2964074"/>
            <a:gd name="connsiteX2" fmla="*/ 2217708 w 4327071"/>
            <a:gd name="connsiteY2" fmla="*/ 95321 h 2964074"/>
            <a:gd name="connsiteX3" fmla="*/ 762000 w 4327071"/>
            <a:gd name="connsiteY3" fmla="*/ 582824 h 2964074"/>
            <a:gd name="connsiteX4" fmla="*/ 0 w 4327071"/>
            <a:gd name="connsiteY4" fmla="*/ 895789 h 2964074"/>
            <a:gd name="connsiteX5" fmla="*/ 95250 w 4327071"/>
            <a:gd name="connsiteY5" fmla="*/ 1494503 h 2964074"/>
            <a:gd name="connsiteX6" fmla="*/ 58563 w 4327071"/>
            <a:gd name="connsiteY6" fmla="*/ 2919565 h 2964074"/>
            <a:gd name="connsiteX7" fmla="*/ 734786 w 4327071"/>
            <a:gd name="connsiteY7" fmla="*/ 2950467 h 2964074"/>
            <a:gd name="connsiteX8" fmla="*/ 4327071 w 4327071"/>
            <a:gd name="connsiteY8" fmla="*/ 2964074 h 2964074"/>
            <a:gd name="connsiteX9" fmla="*/ 4245429 w 4327071"/>
            <a:gd name="connsiteY9" fmla="*/ 2052396 h 2964074"/>
            <a:gd name="connsiteX0" fmla="*/ 4242845 w 4327071"/>
            <a:gd name="connsiteY0" fmla="*/ 1545233 h 2467521"/>
            <a:gd name="connsiteX1" fmla="*/ 4294537 w 4327071"/>
            <a:gd name="connsiteY1" fmla="*/ 135231 h 2467521"/>
            <a:gd name="connsiteX2" fmla="*/ 762000 w 4327071"/>
            <a:gd name="connsiteY2" fmla="*/ 86271 h 2467521"/>
            <a:gd name="connsiteX3" fmla="*/ 0 w 4327071"/>
            <a:gd name="connsiteY3" fmla="*/ 399236 h 2467521"/>
            <a:gd name="connsiteX4" fmla="*/ 95250 w 4327071"/>
            <a:gd name="connsiteY4" fmla="*/ 997950 h 2467521"/>
            <a:gd name="connsiteX5" fmla="*/ 58563 w 4327071"/>
            <a:gd name="connsiteY5" fmla="*/ 2423012 h 2467521"/>
            <a:gd name="connsiteX6" fmla="*/ 734786 w 4327071"/>
            <a:gd name="connsiteY6" fmla="*/ 2453914 h 2467521"/>
            <a:gd name="connsiteX7" fmla="*/ 4327071 w 4327071"/>
            <a:gd name="connsiteY7" fmla="*/ 2467521 h 2467521"/>
            <a:gd name="connsiteX8" fmla="*/ 4245429 w 4327071"/>
            <a:gd name="connsiteY8" fmla="*/ 1555843 h 2467521"/>
            <a:gd name="connsiteX0" fmla="*/ 4242845 w 4327071"/>
            <a:gd name="connsiteY0" fmla="*/ 1564523 h 2486811"/>
            <a:gd name="connsiteX1" fmla="*/ 4294537 w 4327071"/>
            <a:gd name="connsiteY1" fmla="*/ 154521 h 2486811"/>
            <a:gd name="connsiteX2" fmla="*/ 2217455 w 4327071"/>
            <a:gd name="connsiteY2" fmla="*/ 31237 h 2486811"/>
            <a:gd name="connsiteX3" fmla="*/ 762000 w 4327071"/>
            <a:gd name="connsiteY3" fmla="*/ 105561 h 2486811"/>
            <a:gd name="connsiteX4" fmla="*/ 0 w 4327071"/>
            <a:gd name="connsiteY4" fmla="*/ 418526 h 2486811"/>
            <a:gd name="connsiteX5" fmla="*/ 95250 w 4327071"/>
            <a:gd name="connsiteY5" fmla="*/ 1017240 h 2486811"/>
            <a:gd name="connsiteX6" fmla="*/ 58563 w 4327071"/>
            <a:gd name="connsiteY6" fmla="*/ 2442302 h 2486811"/>
            <a:gd name="connsiteX7" fmla="*/ 734786 w 4327071"/>
            <a:gd name="connsiteY7" fmla="*/ 2473204 h 2486811"/>
            <a:gd name="connsiteX8" fmla="*/ 4327071 w 4327071"/>
            <a:gd name="connsiteY8" fmla="*/ 2486811 h 2486811"/>
            <a:gd name="connsiteX9" fmla="*/ 4245429 w 4327071"/>
            <a:gd name="connsiteY9" fmla="*/ 1575133 h 2486811"/>
            <a:gd name="connsiteX0" fmla="*/ 4242845 w 4327071"/>
            <a:gd name="connsiteY0" fmla="*/ 2019865 h 2942153"/>
            <a:gd name="connsiteX1" fmla="*/ 4294537 w 4327071"/>
            <a:gd name="connsiteY1" fmla="*/ 609863 h 2942153"/>
            <a:gd name="connsiteX2" fmla="*/ 2399434 w 4327071"/>
            <a:gd name="connsiteY2" fmla="*/ 97 h 2942153"/>
            <a:gd name="connsiteX3" fmla="*/ 762000 w 4327071"/>
            <a:gd name="connsiteY3" fmla="*/ 560903 h 2942153"/>
            <a:gd name="connsiteX4" fmla="*/ 0 w 4327071"/>
            <a:gd name="connsiteY4" fmla="*/ 873868 h 2942153"/>
            <a:gd name="connsiteX5" fmla="*/ 95250 w 4327071"/>
            <a:gd name="connsiteY5" fmla="*/ 1472582 h 2942153"/>
            <a:gd name="connsiteX6" fmla="*/ 58563 w 4327071"/>
            <a:gd name="connsiteY6" fmla="*/ 2897644 h 2942153"/>
            <a:gd name="connsiteX7" fmla="*/ 734786 w 4327071"/>
            <a:gd name="connsiteY7" fmla="*/ 2928546 h 2942153"/>
            <a:gd name="connsiteX8" fmla="*/ 4327071 w 4327071"/>
            <a:gd name="connsiteY8" fmla="*/ 2942153 h 2942153"/>
            <a:gd name="connsiteX9" fmla="*/ 4245429 w 4327071"/>
            <a:gd name="connsiteY9" fmla="*/ 2030475 h 2942153"/>
            <a:gd name="connsiteX0" fmla="*/ 4242845 w 4327071"/>
            <a:gd name="connsiteY0" fmla="*/ 2014273 h 2936561"/>
            <a:gd name="connsiteX1" fmla="*/ 4294537 w 4327071"/>
            <a:gd name="connsiteY1" fmla="*/ 604271 h 2936561"/>
            <a:gd name="connsiteX2" fmla="*/ 2932197 w 4327071"/>
            <a:gd name="connsiteY2" fmla="*/ 99 h 2936561"/>
            <a:gd name="connsiteX3" fmla="*/ 762000 w 4327071"/>
            <a:gd name="connsiteY3" fmla="*/ 555311 h 2936561"/>
            <a:gd name="connsiteX4" fmla="*/ 0 w 4327071"/>
            <a:gd name="connsiteY4" fmla="*/ 868276 h 2936561"/>
            <a:gd name="connsiteX5" fmla="*/ 95250 w 4327071"/>
            <a:gd name="connsiteY5" fmla="*/ 1466990 h 2936561"/>
            <a:gd name="connsiteX6" fmla="*/ 58563 w 4327071"/>
            <a:gd name="connsiteY6" fmla="*/ 2892052 h 2936561"/>
            <a:gd name="connsiteX7" fmla="*/ 734786 w 4327071"/>
            <a:gd name="connsiteY7" fmla="*/ 2922954 h 2936561"/>
            <a:gd name="connsiteX8" fmla="*/ 4327071 w 4327071"/>
            <a:gd name="connsiteY8" fmla="*/ 2936561 h 2936561"/>
            <a:gd name="connsiteX9" fmla="*/ 4245429 w 4327071"/>
            <a:gd name="connsiteY9" fmla="*/ 2024883 h 2936561"/>
            <a:gd name="connsiteX0" fmla="*/ 4242845 w 4327071"/>
            <a:gd name="connsiteY0" fmla="*/ 2048641 h 2970929"/>
            <a:gd name="connsiteX1" fmla="*/ 4294537 w 4327071"/>
            <a:gd name="connsiteY1" fmla="*/ 638639 h 2970929"/>
            <a:gd name="connsiteX2" fmla="*/ 2932197 w 4327071"/>
            <a:gd name="connsiteY2" fmla="*/ 34467 h 2970929"/>
            <a:gd name="connsiteX3" fmla="*/ 2273986 w 4327071"/>
            <a:gd name="connsiteY3" fmla="*/ 129458 h 2970929"/>
            <a:gd name="connsiteX4" fmla="*/ 762000 w 4327071"/>
            <a:gd name="connsiteY4" fmla="*/ 589679 h 2970929"/>
            <a:gd name="connsiteX5" fmla="*/ 0 w 4327071"/>
            <a:gd name="connsiteY5" fmla="*/ 902644 h 2970929"/>
            <a:gd name="connsiteX6" fmla="*/ 95250 w 4327071"/>
            <a:gd name="connsiteY6" fmla="*/ 1501358 h 2970929"/>
            <a:gd name="connsiteX7" fmla="*/ 58563 w 4327071"/>
            <a:gd name="connsiteY7" fmla="*/ 2926420 h 2970929"/>
            <a:gd name="connsiteX8" fmla="*/ 734786 w 4327071"/>
            <a:gd name="connsiteY8" fmla="*/ 2957322 h 2970929"/>
            <a:gd name="connsiteX9" fmla="*/ 4327071 w 4327071"/>
            <a:gd name="connsiteY9" fmla="*/ 2970929 h 2970929"/>
            <a:gd name="connsiteX10" fmla="*/ 4245429 w 4327071"/>
            <a:gd name="connsiteY10" fmla="*/ 2059251 h 2970929"/>
            <a:gd name="connsiteX0" fmla="*/ 4242845 w 4327071"/>
            <a:gd name="connsiteY0" fmla="*/ 2032469 h 2954757"/>
            <a:gd name="connsiteX1" fmla="*/ 4294537 w 4327071"/>
            <a:gd name="connsiteY1" fmla="*/ 622467 h 2954757"/>
            <a:gd name="connsiteX2" fmla="*/ 2932197 w 4327071"/>
            <a:gd name="connsiteY2" fmla="*/ 18295 h 2954757"/>
            <a:gd name="connsiteX3" fmla="*/ 2384437 w 4327071"/>
            <a:gd name="connsiteY3" fmla="*/ 258716 h 2954757"/>
            <a:gd name="connsiteX4" fmla="*/ 762000 w 4327071"/>
            <a:gd name="connsiteY4" fmla="*/ 573507 h 2954757"/>
            <a:gd name="connsiteX5" fmla="*/ 0 w 4327071"/>
            <a:gd name="connsiteY5" fmla="*/ 886472 h 2954757"/>
            <a:gd name="connsiteX6" fmla="*/ 95250 w 4327071"/>
            <a:gd name="connsiteY6" fmla="*/ 1485186 h 2954757"/>
            <a:gd name="connsiteX7" fmla="*/ 58563 w 4327071"/>
            <a:gd name="connsiteY7" fmla="*/ 2910248 h 2954757"/>
            <a:gd name="connsiteX8" fmla="*/ 734786 w 4327071"/>
            <a:gd name="connsiteY8" fmla="*/ 2941150 h 2954757"/>
            <a:gd name="connsiteX9" fmla="*/ 4327071 w 4327071"/>
            <a:gd name="connsiteY9" fmla="*/ 2954757 h 2954757"/>
            <a:gd name="connsiteX10" fmla="*/ 4245429 w 4327071"/>
            <a:gd name="connsiteY10" fmla="*/ 2043079 h 2954757"/>
            <a:gd name="connsiteX0" fmla="*/ 4242845 w 4327071"/>
            <a:gd name="connsiteY0" fmla="*/ 2032469 h 2954757"/>
            <a:gd name="connsiteX1" fmla="*/ 4294537 w 4327071"/>
            <a:gd name="connsiteY1" fmla="*/ 622467 h 2954757"/>
            <a:gd name="connsiteX2" fmla="*/ 2932197 w 4327071"/>
            <a:gd name="connsiteY2" fmla="*/ 18295 h 2954757"/>
            <a:gd name="connsiteX3" fmla="*/ 2384437 w 4327071"/>
            <a:gd name="connsiteY3" fmla="*/ 258716 h 2954757"/>
            <a:gd name="connsiteX4" fmla="*/ 1767212 w 4327071"/>
            <a:gd name="connsiteY4" fmla="*/ 370584 h 2954757"/>
            <a:gd name="connsiteX5" fmla="*/ 762000 w 4327071"/>
            <a:gd name="connsiteY5" fmla="*/ 573507 h 2954757"/>
            <a:gd name="connsiteX6" fmla="*/ 0 w 4327071"/>
            <a:gd name="connsiteY6" fmla="*/ 886472 h 2954757"/>
            <a:gd name="connsiteX7" fmla="*/ 95250 w 4327071"/>
            <a:gd name="connsiteY7" fmla="*/ 1485186 h 2954757"/>
            <a:gd name="connsiteX8" fmla="*/ 58563 w 4327071"/>
            <a:gd name="connsiteY8" fmla="*/ 2910248 h 2954757"/>
            <a:gd name="connsiteX9" fmla="*/ 734786 w 4327071"/>
            <a:gd name="connsiteY9" fmla="*/ 2941150 h 2954757"/>
            <a:gd name="connsiteX10" fmla="*/ 4327071 w 4327071"/>
            <a:gd name="connsiteY10" fmla="*/ 2954757 h 2954757"/>
            <a:gd name="connsiteX11" fmla="*/ 4245429 w 4327071"/>
            <a:gd name="connsiteY11" fmla="*/ 2043079 h 2954757"/>
            <a:gd name="connsiteX0" fmla="*/ 4242845 w 4327071"/>
            <a:gd name="connsiteY0" fmla="*/ 2032469 h 2954757"/>
            <a:gd name="connsiteX1" fmla="*/ 4294537 w 4327071"/>
            <a:gd name="connsiteY1" fmla="*/ 622467 h 2954757"/>
            <a:gd name="connsiteX2" fmla="*/ 2932197 w 4327071"/>
            <a:gd name="connsiteY2" fmla="*/ 18295 h 2954757"/>
            <a:gd name="connsiteX3" fmla="*/ 2384437 w 4327071"/>
            <a:gd name="connsiteY3" fmla="*/ 258716 h 2954757"/>
            <a:gd name="connsiteX4" fmla="*/ 2144044 w 4327071"/>
            <a:gd name="connsiteY4" fmla="*/ 1159260 h 2954757"/>
            <a:gd name="connsiteX5" fmla="*/ 762000 w 4327071"/>
            <a:gd name="connsiteY5" fmla="*/ 573507 h 2954757"/>
            <a:gd name="connsiteX6" fmla="*/ 0 w 4327071"/>
            <a:gd name="connsiteY6" fmla="*/ 886472 h 2954757"/>
            <a:gd name="connsiteX7" fmla="*/ 95250 w 4327071"/>
            <a:gd name="connsiteY7" fmla="*/ 1485186 h 2954757"/>
            <a:gd name="connsiteX8" fmla="*/ 58563 w 4327071"/>
            <a:gd name="connsiteY8" fmla="*/ 2910248 h 2954757"/>
            <a:gd name="connsiteX9" fmla="*/ 734786 w 4327071"/>
            <a:gd name="connsiteY9" fmla="*/ 2941150 h 2954757"/>
            <a:gd name="connsiteX10" fmla="*/ 4327071 w 4327071"/>
            <a:gd name="connsiteY10" fmla="*/ 2954757 h 2954757"/>
            <a:gd name="connsiteX11" fmla="*/ 4245429 w 4327071"/>
            <a:gd name="connsiteY11" fmla="*/ 2043079 h 2954757"/>
            <a:gd name="connsiteX0" fmla="*/ 4242845 w 4327071"/>
            <a:gd name="connsiteY0" fmla="*/ 2032469 h 2954757"/>
            <a:gd name="connsiteX1" fmla="*/ 4294537 w 4327071"/>
            <a:gd name="connsiteY1" fmla="*/ 622467 h 2954757"/>
            <a:gd name="connsiteX2" fmla="*/ 2932197 w 4327071"/>
            <a:gd name="connsiteY2" fmla="*/ 18295 h 2954757"/>
            <a:gd name="connsiteX3" fmla="*/ 2384437 w 4327071"/>
            <a:gd name="connsiteY3" fmla="*/ 258716 h 2954757"/>
            <a:gd name="connsiteX4" fmla="*/ 2144044 w 4327071"/>
            <a:gd name="connsiteY4" fmla="*/ 1159260 h 2954757"/>
            <a:gd name="connsiteX5" fmla="*/ 0 w 4327071"/>
            <a:gd name="connsiteY5" fmla="*/ 886472 h 2954757"/>
            <a:gd name="connsiteX6" fmla="*/ 95250 w 4327071"/>
            <a:gd name="connsiteY6" fmla="*/ 1485186 h 2954757"/>
            <a:gd name="connsiteX7" fmla="*/ 58563 w 4327071"/>
            <a:gd name="connsiteY7" fmla="*/ 2910248 h 2954757"/>
            <a:gd name="connsiteX8" fmla="*/ 734786 w 4327071"/>
            <a:gd name="connsiteY8" fmla="*/ 2941150 h 2954757"/>
            <a:gd name="connsiteX9" fmla="*/ 4327071 w 4327071"/>
            <a:gd name="connsiteY9" fmla="*/ 2954757 h 2954757"/>
            <a:gd name="connsiteX10" fmla="*/ 4245429 w 4327071"/>
            <a:gd name="connsiteY10" fmla="*/ 2043079 h 2954757"/>
            <a:gd name="connsiteX0" fmla="*/ 4184282 w 4268508"/>
            <a:gd name="connsiteY0" fmla="*/ 2032469 h 2954757"/>
            <a:gd name="connsiteX1" fmla="*/ 4235974 w 4268508"/>
            <a:gd name="connsiteY1" fmla="*/ 622467 h 2954757"/>
            <a:gd name="connsiteX2" fmla="*/ 2873634 w 4268508"/>
            <a:gd name="connsiteY2" fmla="*/ 18295 h 2954757"/>
            <a:gd name="connsiteX3" fmla="*/ 2325874 w 4268508"/>
            <a:gd name="connsiteY3" fmla="*/ 258716 h 2954757"/>
            <a:gd name="connsiteX4" fmla="*/ 2085481 w 4268508"/>
            <a:gd name="connsiteY4" fmla="*/ 1159260 h 2954757"/>
            <a:gd name="connsiteX5" fmla="*/ 36687 w 4268508"/>
            <a:gd name="connsiteY5" fmla="*/ 1485186 h 2954757"/>
            <a:gd name="connsiteX6" fmla="*/ 0 w 4268508"/>
            <a:gd name="connsiteY6" fmla="*/ 2910248 h 2954757"/>
            <a:gd name="connsiteX7" fmla="*/ 676223 w 4268508"/>
            <a:gd name="connsiteY7" fmla="*/ 2941150 h 2954757"/>
            <a:gd name="connsiteX8" fmla="*/ 4268508 w 4268508"/>
            <a:gd name="connsiteY8" fmla="*/ 2954757 h 2954757"/>
            <a:gd name="connsiteX9" fmla="*/ 4186866 w 4268508"/>
            <a:gd name="connsiteY9" fmla="*/ 2043079 h 29547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4268508" h="2954757">
              <a:moveTo>
                <a:pt x="4184282" y="2032469"/>
              </a:moveTo>
              <a:lnTo>
                <a:pt x="4235974" y="622467"/>
              </a:lnTo>
              <a:cubicBezTo>
                <a:pt x="3898409" y="366919"/>
                <a:pt x="3462390" y="26455"/>
                <a:pt x="2873634" y="18295"/>
              </a:cubicBezTo>
              <a:cubicBezTo>
                <a:pt x="2536876" y="-66568"/>
                <a:pt x="2687573" y="166181"/>
                <a:pt x="2325874" y="258716"/>
              </a:cubicBezTo>
              <a:cubicBezTo>
                <a:pt x="2131710" y="317431"/>
                <a:pt x="2467012" y="954848"/>
                <a:pt x="2085481" y="1159260"/>
              </a:cubicBezTo>
              <a:cubicBezTo>
                <a:pt x="1703950" y="1363672"/>
                <a:pt x="384267" y="1193355"/>
                <a:pt x="36687" y="1485186"/>
              </a:cubicBezTo>
              <a:lnTo>
                <a:pt x="0" y="2910248"/>
              </a:lnTo>
              <a:lnTo>
                <a:pt x="676223" y="2941150"/>
              </a:lnTo>
              <a:lnTo>
                <a:pt x="4268508" y="2954757"/>
              </a:lnTo>
              <a:lnTo>
                <a:pt x="4186866" y="2043079"/>
              </a:lnTo>
            </a:path>
          </a:pathLst>
        </a:custGeom>
        <a:noFill/>
        <a:ln>
          <a:solidFill>
            <a:srgbClr val="51A30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1085850</xdr:colOff>
          <xdr:row>21</xdr:row>
          <xdr:rowOff>133350</xdr:rowOff>
        </xdr:from>
        <xdr:to>
          <xdr:col>4</xdr:col>
          <xdr:colOff>2266950</xdr:colOff>
          <xdr:row>26</xdr:row>
          <xdr:rowOff>171450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1714500</xdr:colOff>
          <xdr:row>43</xdr:row>
          <xdr:rowOff>95250</xdr:rowOff>
        </xdr:from>
        <xdr:to>
          <xdr:col>4</xdr:col>
          <xdr:colOff>2781300</xdr:colOff>
          <xdr:row>47</xdr:row>
          <xdr:rowOff>190500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733425</xdr:colOff>
          <xdr:row>45</xdr:row>
          <xdr:rowOff>47625</xdr:rowOff>
        </xdr:from>
        <xdr:to>
          <xdr:col>5</xdr:col>
          <xdr:colOff>1104900</xdr:colOff>
          <xdr:row>46</xdr:row>
          <xdr:rowOff>47625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1990725</xdr:colOff>
          <xdr:row>47</xdr:row>
          <xdr:rowOff>295275</xdr:rowOff>
        </xdr:from>
        <xdr:to>
          <xdr:col>4</xdr:col>
          <xdr:colOff>2305050</xdr:colOff>
          <xdr:row>49</xdr:row>
          <xdr:rowOff>104775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23</xdr:row>
          <xdr:rowOff>114300</xdr:rowOff>
        </xdr:from>
        <xdr:to>
          <xdr:col>7</xdr:col>
          <xdr:colOff>381000</xdr:colOff>
          <xdr:row>25</xdr:row>
          <xdr:rowOff>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2085975</xdr:colOff>
          <xdr:row>33</xdr:row>
          <xdr:rowOff>28575</xdr:rowOff>
        </xdr:from>
        <xdr:to>
          <xdr:col>7</xdr:col>
          <xdr:colOff>209550</xdr:colOff>
          <xdr:row>33</xdr:row>
          <xdr:rowOff>304800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9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2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11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66"/>
  <sheetViews>
    <sheetView topLeftCell="A7" zoomScale="55" zoomScaleNormal="55" workbookViewId="0">
      <selection activeCell="Q43" sqref="Q43"/>
    </sheetView>
  </sheetViews>
  <sheetFormatPr defaultRowHeight="15"/>
  <cols>
    <col min="1" max="2" width="8.5703125" style="142" customWidth="1"/>
    <col min="3" max="3" width="30.28515625" style="233" customWidth="1"/>
    <col min="4" max="4" width="2.7109375" style="142" customWidth="1"/>
    <col min="5" max="5" width="59.5703125" style="142" bestFit="1" customWidth="1"/>
    <col min="6" max="6" width="22.7109375" style="142" customWidth="1"/>
    <col min="7" max="7" width="32.28515625" style="142" customWidth="1"/>
    <col min="8" max="15" width="9.140625" style="142"/>
    <col min="16" max="16" width="3.42578125" style="142" customWidth="1"/>
    <col min="17" max="17" width="14.85546875" style="142" customWidth="1"/>
    <col min="18" max="18" width="40.7109375" style="142" bestFit="1" customWidth="1"/>
    <col min="19" max="19" width="30.28515625" style="225" bestFit="1" customWidth="1"/>
    <col min="20" max="20" width="20.7109375" style="142" bestFit="1" customWidth="1"/>
    <col min="21" max="21" width="39.5703125" style="225" bestFit="1" customWidth="1"/>
    <col min="22" max="22" width="20.42578125" style="142" customWidth="1"/>
    <col min="23" max="23" width="2.28515625" style="142" customWidth="1"/>
    <col min="24" max="25" width="15.7109375" style="142" customWidth="1"/>
    <col min="26" max="26" width="50" style="142" customWidth="1"/>
    <col min="27" max="28" width="15.7109375" style="142" customWidth="1"/>
    <col min="29" max="16384" width="9.140625" style="142"/>
  </cols>
  <sheetData>
    <row r="1" spans="1:19">
      <c r="A1" s="105"/>
      <c r="B1" s="105"/>
      <c r="C1" s="232"/>
      <c r="D1" s="121"/>
      <c r="E1" s="283"/>
      <c r="F1" s="284"/>
      <c r="G1" s="285" t="s">
        <v>135</v>
      </c>
      <c r="H1" s="286"/>
      <c r="I1" s="286"/>
      <c r="J1" s="286"/>
      <c r="K1" s="286"/>
      <c r="L1" s="286"/>
      <c r="M1" s="286"/>
      <c r="N1" s="286"/>
      <c r="O1" s="286"/>
      <c r="Q1"/>
      <c r="R1"/>
      <c r="S1"/>
    </row>
    <row r="2" spans="1:19">
      <c r="A2" s="105"/>
      <c r="B2" s="105"/>
      <c r="C2" s="232"/>
      <c r="D2" s="121"/>
      <c r="E2" s="283"/>
      <c r="F2" s="284"/>
      <c r="G2" s="285" t="s">
        <v>136</v>
      </c>
      <c r="H2" s="286"/>
      <c r="I2" s="286"/>
      <c r="J2" s="286"/>
      <c r="K2" s="286"/>
      <c r="L2" s="286"/>
      <c r="M2" s="286"/>
      <c r="N2" s="286"/>
      <c r="O2" s="286"/>
      <c r="Q2"/>
      <c r="R2"/>
      <c r="S2"/>
    </row>
    <row r="3" spans="1:19">
      <c r="A3" s="105"/>
      <c r="B3" s="105"/>
      <c r="C3" s="232"/>
      <c r="D3" s="121"/>
      <c r="E3" s="283"/>
      <c r="F3" s="284"/>
      <c r="G3" s="285" t="s">
        <v>262</v>
      </c>
      <c r="H3" s="286"/>
      <c r="I3" s="286"/>
      <c r="J3" s="286"/>
      <c r="K3" s="286"/>
      <c r="L3" s="286"/>
      <c r="M3" s="286"/>
      <c r="N3" s="286"/>
      <c r="O3" s="286"/>
      <c r="Q3"/>
      <c r="R3"/>
      <c r="S3"/>
    </row>
    <row r="4" spans="1:19" ht="21.75" customHeight="1">
      <c r="A4" s="105"/>
      <c r="B4" s="105"/>
      <c r="C4" s="232"/>
      <c r="D4" s="121"/>
      <c r="E4" s="283"/>
      <c r="F4" s="284"/>
      <c r="G4" s="285" t="s">
        <v>263</v>
      </c>
      <c r="H4" s="286"/>
      <c r="I4" s="286"/>
      <c r="J4" s="286"/>
      <c r="K4" s="286"/>
      <c r="L4" s="286"/>
      <c r="M4" s="286"/>
      <c r="N4" s="286"/>
      <c r="O4" s="286"/>
      <c r="Q4"/>
      <c r="R4"/>
      <c r="S4"/>
    </row>
    <row r="5" spans="1:19" ht="21.75" customHeight="1">
      <c r="A5" s="105"/>
      <c r="B5" s="105"/>
      <c r="C5" s="232"/>
      <c r="D5" s="121"/>
      <c r="E5" s="283"/>
      <c r="F5" s="284"/>
      <c r="G5" s="285" t="s">
        <v>264</v>
      </c>
      <c r="H5" s="286"/>
      <c r="I5" s="286"/>
      <c r="J5" s="286"/>
      <c r="K5" s="286"/>
      <c r="L5" s="286"/>
      <c r="M5" s="286"/>
      <c r="N5" s="286"/>
      <c r="O5" s="286"/>
      <c r="Q5"/>
      <c r="R5"/>
      <c r="S5"/>
    </row>
    <row r="6" spans="1:19">
      <c r="E6" s="179" t="s">
        <v>81</v>
      </c>
      <c r="F6" s="352"/>
      <c r="G6" s="352"/>
      <c r="H6" s="286"/>
      <c r="I6" s="286"/>
      <c r="J6" s="286"/>
      <c r="K6" s="286"/>
      <c r="L6" s="286"/>
      <c r="M6" s="286"/>
      <c r="N6" s="286"/>
      <c r="O6" s="286"/>
      <c r="Q6"/>
      <c r="R6"/>
      <c r="S6"/>
    </row>
    <row r="7" spans="1:19">
      <c r="E7" s="179" t="s">
        <v>195</v>
      </c>
      <c r="F7" s="180" t="s">
        <v>23</v>
      </c>
      <c r="G7" s="333"/>
      <c r="H7" s="286"/>
      <c r="I7" s="286"/>
      <c r="J7" s="286"/>
      <c r="K7" s="286"/>
      <c r="L7" s="286"/>
      <c r="M7" s="286"/>
      <c r="N7" s="286"/>
      <c r="O7" s="286"/>
      <c r="Q7"/>
      <c r="R7"/>
      <c r="S7"/>
    </row>
    <row r="8" spans="1:19">
      <c r="E8" s="179" t="s">
        <v>253</v>
      </c>
      <c r="F8" s="180" t="s">
        <v>2</v>
      </c>
      <c r="G8" s="341">
        <v>3.0726</v>
      </c>
      <c r="H8" s="286"/>
      <c r="I8" s="286"/>
      <c r="J8" s="286"/>
      <c r="K8" s="286"/>
      <c r="L8" s="286"/>
      <c r="M8" s="286"/>
      <c r="N8" s="286"/>
      <c r="O8" s="286"/>
      <c r="Q8"/>
      <c r="R8"/>
      <c r="S8"/>
    </row>
    <row r="9" spans="1:19">
      <c r="E9" s="179" t="s">
        <v>265</v>
      </c>
      <c r="F9" s="180" t="s">
        <v>2</v>
      </c>
      <c r="G9" s="334"/>
      <c r="H9" s="286"/>
      <c r="I9" s="286"/>
      <c r="J9" s="286"/>
      <c r="K9" s="286"/>
      <c r="L9" s="286"/>
      <c r="M9" s="286"/>
      <c r="N9" s="286"/>
      <c r="O9" s="286"/>
      <c r="Q9"/>
      <c r="R9"/>
      <c r="S9"/>
    </row>
    <row r="10" spans="1:19" ht="16.5">
      <c r="E10" s="179" t="s">
        <v>184</v>
      </c>
      <c r="F10" s="180" t="s">
        <v>202</v>
      </c>
      <c r="G10" s="340">
        <v>1789745</v>
      </c>
      <c r="H10" s="286"/>
      <c r="I10" s="286"/>
      <c r="J10" s="286"/>
      <c r="K10" s="286"/>
      <c r="L10" s="286"/>
      <c r="M10" s="286"/>
      <c r="N10" s="286"/>
      <c r="O10" s="286"/>
      <c r="Q10"/>
      <c r="R10"/>
      <c r="S10"/>
    </row>
    <row r="11" spans="1:19" ht="16.5">
      <c r="E11" s="179" t="s">
        <v>175</v>
      </c>
      <c r="F11" s="180" t="s">
        <v>202</v>
      </c>
      <c r="G11" s="340">
        <v>1707395</v>
      </c>
      <c r="H11" s="286"/>
      <c r="I11" s="286"/>
      <c r="J11" s="286"/>
      <c r="K11" s="286"/>
      <c r="L11" s="286"/>
      <c r="M11" s="286"/>
      <c r="N11" s="286"/>
      <c r="O11" s="286"/>
      <c r="Q11"/>
      <c r="R11"/>
      <c r="S11"/>
    </row>
    <row r="12" spans="1:19" ht="16.5">
      <c r="E12" s="179" t="s">
        <v>183</v>
      </c>
      <c r="F12" s="180" t="s">
        <v>202</v>
      </c>
      <c r="G12" s="340">
        <v>1676512</v>
      </c>
      <c r="H12" s="286"/>
      <c r="I12" s="286"/>
      <c r="J12" s="286"/>
      <c r="K12" s="286"/>
      <c r="L12" s="286"/>
      <c r="M12" s="286"/>
      <c r="N12" s="286"/>
      <c r="O12" s="286"/>
      <c r="P12" s="228"/>
      <c r="Q12"/>
      <c r="R12"/>
      <c r="S12"/>
    </row>
    <row r="13" spans="1:19" ht="16.5">
      <c r="E13" s="179" t="s">
        <v>176</v>
      </c>
      <c r="F13" s="180" t="s">
        <v>202</v>
      </c>
      <c r="G13" s="340">
        <v>40243.135000000002</v>
      </c>
      <c r="H13" s="286"/>
      <c r="I13" s="286"/>
      <c r="J13" s="286"/>
      <c r="K13" s="286"/>
      <c r="L13" s="286"/>
      <c r="M13" s="286"/>
      <c r="N13" s="286"/>
      <c r="O13" s="286"/>
      <c r="Q13"/>
      <c r="R13"/>
      <c r="S13"/>
    </row>
    <row r="14" spans="1:19">
      <c r="E14" s="179" t="s">
        <v>177</v>
      </c>
      <c r="F14" s="181" t="s">
        <v>201</v>
      </c>
      <c r="G14" s="312"/>
      <c r="H14" s="286"/>
      <c r="I14" s="286"/>
      <c r="J14" s="286"/>
      <c r="K14" s="286"/>
      <c r="L14" s="286"/>
      <c r="M14" s="286"/>
      <c r="N14" s="286"/>
      <c r="O14" s="286"/>
      <c r="R14" s="330"/>
      <c r="S14" s="142"/>
    </row>
    <row r="15" spans="1:19">
      <c r="E15" s="179" t="s">
        <v>292</v>
      </c>
      <c r="F15" s="181" t="s">
        <v>201</v>
      </c>
      <c r="G15" s="312"/>
      <c r="H15" s="286"/>
      <c r="I15" s="286"/>
      <c r="J15" s="286"/>
      <c r="K15" s="286"/>
      <c r="L15" s="286"/>
      <c r="M15" s="286"/>
      <c r="N15" s="286"/>
      <c r="O15" s="286"/>
      <c r="S15" s="142"/>
    </row>
    <row r="16" spans="1:19" ht="18">
      <c r="E16" s="269" t="s">
        <v>270</v>
      </c>
      <c r="F16" s="270" t="s">
        <v>269</v>
      </c>
      <c r="G16" s="335"/>
      <c r="H16" s="286"/>
      <c r="I16" s="286"/>
      <c r="J16" s="286"/>
      <c r="K16" s="286"/>
      <c r="L16" s="286"/>
      <c r="M16" s="286"/>
      <c r="N16" s="286"/>
      <c r="O16" s="286"/>
      <c r="S16" s="142"/>
    </row>
    <row r="17" spans="1:28" ht="15.75" thickBot="1"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Q17" s="227" t="s">
        <v>247</v>
      </c>
      <c r="R17" s="227"/>
      <c r="S17" s="142"/>
    </row>
    <row r="18" spans="1:28" ht="16.5" thickBot="1">
      <c r="A18" s="349" t="s">
        <v>164</v>
      </c>
      <c r="B18" s="350"/>
      <c r="C18" s="351"/>
      <c r="E18" s="353" t="s">
        <v>163</v>
      </c>
      <c r="F18" s="354"/>
      <c r="G18" s="354"/>
      <c r="H18" s="354"/>
      <c r="I18" s="354"/>
      <c r="J18" s="354"/>
      <c r="K18" s="354"/>
      <c r="L18" s="354"/>
      <c r="M18" s="354"/>
      <c r="N18" s="354"/>
      <c r="O18" s="355"/>
      <c r="Q18" s="246" t="s">
        <v>217</v>
      </c>
      <c r="R18" s="255" t="s">
        <v>250</v>
      </c>
      <c r="S18" s="247" t="s">
        <v>218</v>
      </c>
      <c r="T18" s="248" t="s">
        <v>211</v>
      </c>
      <c r="U18" s="249" t="s">
        <v>251</v>
      </c>
      <c r="V18" s="250" t="s">
        <v>212</v>
      </c>
      <c r="W18" s="251"/>
      <c r="X18" s="246" t="s">
        <v>217</v>
      </c>
      <c r="Y18" s="255" t="s">
        <v>250</v>
      </c>
      <c r="Z18" s="252" t="s">
        <v>252</v>
      </c>
      <c r="AA18" s="248" t="s">
        <v>211</v>
      </c>
      <c r="AB18" s="250" t="s">
        <v>212</v>
      </c>
    </row>
    <row r="19" spans="1:28" ht="15" customHeight="1">
      <c r="A19" s="169"/>
      <c r="B19" s="170"/>
      <c r="C19" s="234"/>
      <c r="E19" s="182" t="s">
        <v>294</v>
      </c>
      <c r="F19" s="183"/>
      <c r="G19" s="183"/>
      <c r="H19" s="183"/>
      <c r="I19" s="183"/>
      <c r="J19" s="183"/>
      <c r="K19" s="183"/>
      <c r="L19" s="183"/>
      <c r="M19" s="183"/>
      <c r="N19" s="183"/>
      <c r="O19" s="184"/>
      <c r="Q19" s="240"/>
      <c r="R19" s="331"/>
      <c r="S19" s="253"/>
      <c r="T19" s="229"/>
      <c r="U19" s="259"/>
      <c r="V19" s="239"/>
      <c r="W19" s="228"/>
      <c r="X19" s="240"/>
      <c r="Y19" s="256"/>
      <c r="Z19" s="231"/>
      <c r="AA19" s="229"/>
      <c r="AB19" s="239"/>
    </row>
    <row r="20" spans="1:28" ht="15" customHeight="1">
      <c r="A20" s="171"/>
      <c r="B20" s="172"/>
      <c r="C20" s="235"/>
      <c r="E20" s="174"/>
      <c r="F20" s="175"/>
      <c r="G20" s="175"/>
      <c r="H20" s="175"/>
      <c r="I20" s="175"/>
      <c r="J20" s="175"/>
      <c r="K20" s="175"/>
      <c r="L20" s="175"/>
      <c r="M20" s="175"/>
      <c r="N20" s="175"/>
      <c r="O20" s="173"/>
      <c r="Q20" s="240"/>
      <c r="R20" s="257"/>
      <c r="S20" s="253"/>
      <c r="T20" s="230"/>
      <c r="U20" s="259"/>
      <c r="V20" s="241"/>
      <c r="W20" s="228"/>
      <c r="X20" s="240"/>
      <c r="Y20" s="257"/>
      <c r="Z20" s="231"/>
      <c r="AA20" s="230"/>
      <c r="AB20" s="241"/>
    </row>
    <row r="21" spans="1:28" ht="15" customHeight="1">
      <c r="A21" s="171"/>
      <c r="B21" s="172"/>
      <c r="C21" s="235" t="s">
        <v>165</v>
      </c>
      <c r="E21" s="174"/>
      <c r="F21" s="175"/>
      <c r="G21" s="175"/>
      <c r="H21" s="175"/>
      <c r="I21" s="175"/>
      <c r="J21" s="175"/>
      <c r="K21" s="175"/>
      <c r="L21" s="175"/>
      <c r="M21" s="175"/>
      <c r="N21" s="175"/>
      <c r="O21" s="173"/>
      <c r="Q21" s="240"/>
      <c r="R21" s="257"/>
      <c r="S21" s="253"/>
      <c r="T21" s="230"/>
      <c r="U21" s="260"/>
      <c r="V21" s="241"/>
      <c r="W21" s="228"/>
      <c r="X21" s="240"/>
      <c r="Y21" s="257"/>
      <c r="Z21" s="231"/>
      <c r="AA21" s="230"/>
      <c r="AB21" s="241"/>
    </row>
    <row r="22" spans="1:28" ht="15" customHeight="1">
      <c r="A22" s="171"/>
      <c r="B22" s="172"/>
      <c r="C22" s="235"/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3"/>
      <c r="Q22" s="240"/>
      <c r="R22" s="257"/>
      <c r="S22" s="253"/>
      <c r="T22" s="230"/>
      <c r="U22" s="260"/>
      <c r="V22" s="241"/>
      <c r="W22" s="228"/>
      <c r="X22" s="240"/>
      <c r="Y22" s="257"/>
      <c r="Z22" s="231"/>
      <c r="AA22" s="230"/>
      <c r="AB22" s="241"/>
    </row>
    <row r="23" spans="1:28" ht="15" customHeight="1">
      <c r="A23" s="171"/>
      <c r="B23" s="172"/>
      <c r="C23" s="235"/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3"/>
      <c r="Q23" s="240"/>
      <c r="R23" s="332"/>
      <c r="S23" s="253"/>
      <c r="T23" s="230"/>
      <c r="U23" s="259"/>
      <c r="V23" s="241"/>
      <c r="W23" s="228"/>
      <c r="X23" s="240"/>
      <c r="Y23" s="257"/>
      <c r="Z23" s="231"/>
      <c r="AA23" s="230"/>
      <c r="AB23" s="241"/>
    </row>
    <row r="24" spans="1:28" ht="15" customHeight="1">
      <c r="A24" s="171"/>
      <c r="B24" s="172"/>
      <c r="C24" s="235"/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3"/>
      <c r="Q24" s="240"/>
      <c r="R24" s="332"/>
      <c r="S24" s="253"/>
      <c r="T24" s="230"/>
      <c r="U24" s="260"/>
      <c r="V24" s="241"/>
      <c r="W24" s="228"/>
      <c r="X24" s="240"/>
      <c r="Y24" s="257"/>
      <c r="Z24" s="231"/>
      <c r="AA24" s="230"/>
      <c r="AB24" s="241"/>
    </row>
    <row r="25" spans="1:28" ht="15" customHeight="1">
      <c r="A25" s="171"/>
      <c r="B25" s="172"/>
      <c r="C25" s="235" t="s">
        <v>166</v>
      </c>
      <c r="E25" s="174"/>
      <c r="F25" s="175"/>
      <c r="G25" s="175"/>
      <c r="H25" s="175"/>
      <c r="I25" s="175"/>
      <c r="J25" s="175"/>
      <c r="K25" s="175"/>
      <c r="L25" s="175"/>
      <c r="M25" s="175"/>
      <c r="N25" s="175"/>
      <c r="O25" s="173"/>
      <c r="Q25" s="240"/>
      <c r="R25" s="332"/>
      <c r="S25" s="253"/>
      <c r="T25" s="230"/>
      <c r="U25" s="260"/>
      <c r="V25" s="241"/>
      <c r="W25" s="228"/>
      <c r="X25" s="240"/>
      <c r="Y25" s="257"/>
      <c r="Z25" s="231"/>
      <c r="AA25" s="230"/>
      <c r="AB25" s="241"/>
    </row>
    <row r="26" spans="1:28" ht="15" customHeight="1">
      <c r="A26" s="171"/>
      <c r="B26" s="172"/>
      <c r="C26" s="235"/>
      <c r="E26" s="174"/>
      <c r="F26" s="175"/>
      <c r="G26" s="175"/>
      <c r="H26" s="175"/>
      <c r="I26" s="175"/>
      <c r="J26" s="175"/>
      <c r="K26" s="175"/>
      <c r="L26" s="175"/>
      <c r="M26" s="175"/>
      <c r="N26" s="175"/>
      <c r="O26" s="173"/>
      <c r="Q26" s="240"/>
      <c r="R26" s="332"/>
      <c r="S26" s="253"/>
      <c r="T26" s="230"/>
      <c r="U26" s="259"/>
      <c r="V26" s="241"/>
      <c r="W26" s="228"/>
      <c r="X26" s="240"/>
      <c r="Y26" s="257"/>
      <c r="Z26" s="231"/>
      <c r="AA26" s="230"/>
      <c r="AB26" s="241"/>
    </row>
    <row r="27" spans="1:28" ht="15" customHeight="1">
      <c r="A27" s="171"/>
      <c r="B27" s="172"/>
      <c r="C27" s="235"/>
      <c r="E27" s="174"/>
      <c r="F27" s="175"/>
      <c r="G27" s="175"/>
      <c r="H27" s="175"/>
      <c r="I27" s="175"/>
      <c r="J27" s="175"/>
      <c r="K27" s="175"/>
      <c r="L27" s="175"/>
      <c r="M27" s="175"/>
      <c r="N27" s="175"/>
      <c r="O27" s="173"/>
      <c r="Q27" s="240"/>
      <c r="R27" s="332"/>
      <c r="S27" s="253"/>
      <c r="T27" s="230"/>
      <c r="U27" s="260"/>
      <c r="V27" s="241"/>
      <c r="W27" s="228"/>
      <c r="X27" s="240"/>
      <c r="Y27" s="257"/>
      <c r="Z27" s="231"/>
      <c r="AA27" s="230"/>
      <c r="AB27" s="241"/>
    </row>
    <row r="28" spans="1:28" ht="15" customHeight="1">
      <c r="A28" s="171"/>
      <c r="B28" s="172"/>
      <c r="C28" s="235"/>
      <c r="E28" s="174"/>
      <c r="F28" s="175"/>
      <c r="G28" s="175"/>
      <c r="H28" s="175"/>
      <c r="I28" s="175"/>
      <c r="J28" s="226"/>
      <c r="K28" s="175"/>
      <c r="L28" s="175"/>
      <c r="M28" s="175"/>
      <c r="N28" s="175"/>
      <c r="O28" s="173"/>
      <c r="Q28" s="240"/>
      <c r="R28" s="332"/>
      <c r="S28" s="253"/>
      <c r="T28" s="230"/>
      <c r="U28" s="260"/>
      <c r="V28" s="241"/>
      <c r="W28" s="228"/>
      <c r="X28" s="240"/>
      <c r="Y28" s="257"/>
      <c r="Z28" s="231"/>
      <c r="AA28" s="230"/>
      <c r="AB28" s="241"/>
    </row>
    <row r="29" spans="1:28" ht="15" customHeight="1">
      <c r="A29" s="171"/>
      <c r="B29" s="172"/>
      <c r="C29" s="235"/>
      <c r="E29" s="174"/>
      <c r="F29" s="175"/>
      <c r="G29" s="175"/>
      <c r="H29" s="175"/>
      <c r="I29" s="175"/>
      <c r="J29" s="175"/>
      <c r="K29" s="175"/>
      <c r="L29" s="175"/>
      <c r="M29" s="175"/>
      <c r="N29" s="175"/>
      <c r="O29" s="173"/>
      <c r="Q29" s="240"/>
      <c r="R29" s="332"/>
      <c r="S29" s="253"/>
      <c r="T29" s="230"/>
      <c r="U29" s="259"/>
      <c r="V29" s="241"/>
      <c r="W29" s="228"/>
      <c r="X29" s="240"/>
      <c r="Y29" s="257"/>
      <c r="Z29" s="231"/>
      <c r="AA29" s="230"/>
      <c r="AB29" s="241"/>
    </row>
    <row r="30" spans="1:28" ht="15" customHeight="1">
      <c r="A30" s="171"/>
      <c r="B30" s="172"/>
      <c r="C30" s="235" t="s">
        <v>167</v>
      </c>
      <c r="E30" s="174"/>
      <c r="F30" s="175"/>
      <c r="G30" s="175"/>
      <c r="H30" s="175"/>
      <c r="I30" s="175"/>
      <c r="J30" s="175"/>
      <c r="K30" s="175"/>
      <c r="L30" s="175"/>
      <c r="M30" s="175"/>
      <c r="N30" s="175"/>
      <c r="O30" s="173"/>
      <c r="Q30" s="240"/>
      <c r="R30" s="332"/>
      <c r="S30" s="253"/>
      <c r="T30" s="230"/>
      <c r="U30" s="260"/>
      <c r="V30" s="241"/>
      <c r="W30" s="228"/>
      <c r="X30" s="240"/>
      <c r="Y30" s="257"/>
      <c r="Z30" s="231"/>
      <c r="AA30" s="230"/>
      <c r="AB30" s="241"/>
    </row>
    <row r="31" spans="1:28" ht="15" customHeight="1">
      <c r="A31" s="171"/>
      <c r="B31" s="172"/>
      <c r="C31" s="235"/>
      <c r="E31" s="174"/>
      <c r="F31" s="175"/>
      <c r="G31" s="175"/>
      <c r="H31" s="175"/>
      <c r="I31" s="175"/>
      <c r="J31" s="175"/>
      <c r="K31" s="175"/>
      <c r="L31" s="175"/>
      <c r="M31" s="175"/>
      <c r="N31" s="175"/>
      <c r="O31" s="173"/>
      <c r="Q31" s="240"/>
      <c r="R31" s="332"/>
      <c r="S31" s="253"/>
      <c r="T31" s="230"/>
      <c r="U31" s="260"/>
      <c r="V31" s="241"/>
      <c r="W31" s="228"/>
      <c r="X31" s="240"/>
      <c r="Y31" s="257"/>
      <c r="Z31" s="231"/>
      <c r="AA31" s="230"/>
      <c r="AB31" s="241"/>
    </row>
    <row r="32" spans="1:28" ht="15" customHeight="1">
      <c r="A32" s="171"/>
      <c r="B32" s="172"/>
      <c r="C32" s="235"/>
      <c r="E32" s="174"/>
      <c r="F32" s="175"/>
      <c r="G32" s="175"/>
      <c r="H32" s="175"/>
      <c r="I32" s="175"/>
      <c r="J32" s="175"/>
      <c r="K32" s="175"/>
      <c r="L32" s="175"/>
      <c r="M32" s="175"/>
      <c r="N32" s="175"/>
      <c r="O32" s="173"/>
      <c r="Q32" s="240"/>
      <c r="R32" s="332"/>
      <c r="S32" s="253"/>
      <c r="T32" s="230"/>
      <c r="U32" s="259"/>
      <c r="V32" s="241"/>
      <c r="W32" s="228"/>
      <c r="X32" s="240"/>
      <c r="Y32" s="257"/>
      <c r="Z32" s="231"/>
      <c r="AA32" s="230"/>
      <c r="AB32" s="241"/>
    </row>
    <row r="33" spans="1:28" ht="15" customHeight="1">
      <c r="A33" s="171"/>
      <c r="B33" s="172"/>
      <c r="C33" s="235"/>
      <c r="E33" s="174"/>
      <c r="F33" s="175"/>
      <c r="G33" s="175"/>
      <c r="H33" s="175"/>
      <c r="I33" s="175"/>
      <c r="J33" s="175"/>
      <c r="K33" s="175"/>
      <c r="L33" s="175"/>
      <c r="M33" s="175"/>
      <c r="N33" s="175"/>
      <c r="O33" s="173"/>
      <c r="Q33" s="240"/>
      <c r="R33" s="257"/>
      <c r="S33" s="253"/>
      <c r="T33" s="230"/>
      <c r="U33" s="260"/>
      <c r="V33" s="241"/>
      <c r="W33" s="228"/>
      <c r="X33" s="240"/>
      <c r="Y33" s="257"/>
      <c r="Z33" s="231"/>
      <c r="AA33" s="230"/>
      <c r="AB33" s="241"/>
    </row>
    <row r="34" spans="1:28" ht="30" customHeight="1">
      <c r="A34" s="171"/>
      <c r="B34" s="172"/>
      <c r="C34" s="236" t="s">
        <v>213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3"/>
      <c r="Q34" s="240"/>
      <c r="R34" s="257"/>
      <c r="S34" s="253"/>
      <c r="T34" s="230"/>
      <c r="U34" s="260"/>
      <c r="V34" s="241"/>
      <c r="W34" s="228"/>
      <c r="X34" s="240"/>
      <c r="Y34" s="257"/>
      <c r="Z34" s="231"/>
      <c r="AA34" s="230"/>
      <c r="AB34" s="241"/>
    </row>
    <row r="35" spans="1:28" ht="15" customHeight="1">
      <c r="A35" s="171"/>
      <c r="B35" s="172"/>
      <c r="C35" s="237"/>
      <c r="E35" s="174"/>
      <c r="F35" s="175"/>
      <c r="G35" s="175"/>
      <c r="H35" s="175"/>
      <c r="I35" s="175"/>
      <c r="J35" s="175"/>
      <c r="K35" s="175"/>
      <c r="L35" s="175"/>
      <c r="M35" s="175"/>
      <c r="N35" s="226"/>
      <c r="O35" s="173"/>
      <c r="Q35" s="240"/>
      <c r="R35" s="257"/>
      <c r="S35" s="253"/>
      <c r="T35" s="230"/>
      <c r="U35" s="260"/>
      <c r="V35" s="241"/>
      <c r="W35" s="228"/>
      <c r="X35" s="240"/>
      <c r="Y35" s="257"/>
      <c r="Z35" s="231"/>
      <c r="AA35" s="230"/>
      <c r="AB35" s="241"/>
    </row>
    <row r="36" spans="1:28" ht="15" customHeight="1">
      <c r="A36" s="171"/>
      <c r="B36" s="172"/>
      <c r="C36" s="235"/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3"/>
      <c r="Q36" s="240"/>
      <c r="R36" s="257"/>
      <c r="S36" s="253"/>
      <c r="T36" s="230"/>
      <c r="U36" s="260"/>
      <c r="V36" s="241"/>
      <c r="W36" s="228"/>
      <c r="X36" s="240"/>
      <c r="Y36" s="257"/>
      <c r="Z36" s="231"/>
      <c r="AA36" s="230"/>
      <c r="AB36" s="241"/>
    </row>
    <row r="37" spans="1:28" ht="15" customHeight="1">
      <c r="A37" s="171"/>
      <c r="B37" s="172"/>
      <c r="C37" s="235" t="s">
        <v>168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3"/>
      <c r="Q37" s="240"/>
      <c r="R37" s="257"/>
      <c r="S37" s="253"/>
      <c r="T37" s="230"/>
      <c r="U37" s="260"/>
      <c r="V37" s="241"/>
      <c r="W37" s="228"/>
      <c r="X37" s="240"/>
      <c r="Y37" s="257"/>
      <c r="Z37" s="231"/>
      <c r="AA37" s="230"/>
      <c r="AB37" s="241"/>
    </row>
    <row r="38" spans="1:28" ht="15" customHeight="1">
      <c r="A38" s="171"/>
      <c r="B38" s="172"/>
      <c r="C38" s="235"/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3"/>
      <c r="Q38" s="240"/>
      <c r="R38" s="257"/>
      <c r="S38" s="253"/>
      <c r="T38" s="230"/>
      <c r="U38" s="260"/>
      <c r="V38" s="241"/>
      <c r="W38" s="228"/>
      <c r="X38" s="240"/>
      <c r="Y38" s="257"/>
      <c r="Z38" s="231"/>
      <c r="AA38" s="230"/>
      <c r="AB38" s="241"/>
    </row>
    <row r="39" spans="1:28" ht="15" customHeight="1">
      <c r="A39" s="171"/>
      <c r="B39" s="172"/>
      <c r="C39" s="236" t="s">
        <v>214</v>
      </c>
      <c r="E39" s="174"/>
      <c r="F39" s="175"/>
      <c r="G39" s="175"/>
      <c r="H39" s="175"/>
      <c r="I39" s="175"/>
      <c r="J39" s="175"/>
      <c r="K39" s="175"/>
      <c r="L39" s="175"/>
      <c r="M39" s="175"/>
      <c r="N39" s="175"/>
      <c r="O39" s="173"/>
      <c r="Q39" s="240"/>
      <c r="R39" s="257"/>
      <c r="S39" s="253"/>
      <c r="T39" s="230"/>
      <c r="U39" s="260"/>
      <c r="V39" s="241"/>
      <c r="W39" s="228"/>
      <c r="X39" s="240"/>
      <c r="Y39" s="257"/>
      <c r="Z39" s="231"/>
      <c r="AA39" s="230"/>
      <c r="AB39" s="241"/>
    </row>
    <row r="40" spans="1:28" ht="15" customHeight="1">
      <c r="A40" s="171"/>
      <c r="B40" s="172"/>
      <c r="C40" s="235"/>
      <c r="E40" s="174"/>
      <c r="F40" s="175"/>
      <c r="G40" s="175"/>
      <c r="H40" s="175"/>
      <c r="I40" s="175"/>
      <c r="J40" s="175"/>
      <c r="K40" s="175"/>
      <c r="L40" s="175"/>
      <c r="M40" s="175"/>
      <c r="N40" s="175"/>
      <c r="O40" s="173"/>
      <c r="Q40" s="240"/>
      <c r="R40" s="257"/>
      <c r="S40" s="253"/>
      <c r="T40" s="230"/>
      <c r="U40" s="260"/>
      <c r="V40" s="241"/>
      <c r="W40" s="228"/>
      <c r="X40" s="240"/>
      <c r="Y40" s="257"/>
      <c r="Z40" s="231"/>
      <c r="AA40" s="230"/>
      <c r="AB40" s="241"/>
    </row>
    <row r="41" spans="1:28" ht="15" customHeight="1">
      <c r="A41" s="171"/>
      <c r="B41" s="172"/>
      <c r="C41" s="235" t="s">
        <v>215</v>
      </c>
      <c r="E41" s="174"/>
      <c r="F41" s="175"/>
      <c r="G41" s="175"/>
      <c r="H41" s="175"/>
      <c r="I41" s="175"/>
      <c r="J41" s="175"/>
      <c r="K41" s="175"/>
      <c r="L41" s="175"/>
      <c r="M41" s="175"/>
      <c r="N41" s="175"/>
      <c r="O41" s="173"/>
      <c r="Q41" s="240"/>
      <c r="R41" s="257"/>
      <c r="S41" s="253"/>
      <c r="T41" s="230"/>
      <c r="U41" s="260"/>
      <c r="V41" s="241"/>
      <c r="W41" s="228"/>
      <c r="X41" s="240"/>
      <c r="Y41" s="257"/>
      <c r="Z41" s="231"/>
      <c r="AA41" s="230"/>
      <c r="AB41" s="241"/>
    </row>
    <row r="42" spans="1:28" ht="15" customHeight="1">
      <c r="A42" s="171"/>
      <c r="B42" s="172"/>
      <c r="C42" s="237"/>
      <c r="E42" s="174"/>
      <c r="F42" s="175"/>
      <c r="G42" s="175"/>
      <c r="H42" s="175"/>
      <c r="I42" s="175"/>
      <c r="J42" s="175"/>
      <c r="K42" s="175"/>
      <c r="L42" s="175"/>
      <c r="M42" s="175"/>
      <c r="N42" s="175"/>
      <c r="O42" s="173"/>
      <c r="Q42" s="240"/>
      <c r="R42" s="257"/>
      <c r="S42" s="253"/>
      <c r="T42" s="230"/>
      <c r="U42" s="260"/>
      <c r="V42" s="241"/>
      <c r="W42" s="228"/>
      <c r="X42" s="240"/>
      <c r="Y42" s="257"/>
      <c r="Z42" s="231"/>
      <c r="AA42" s="230"/>
      <c r="AB42" s="241"/>
    </row>
    <row r="43" spans="1:28" ht="15" customHeight="1">
      <c r="A43" s="171"/>
      <c r="B43" s="172"/>
      <c r="C43" s="235"/>
      <c r="E43" s="174"/>
      <c r="F43" s="175"/>
      <c r="G43" s="175"/>
      <c r="H43" s="175"/>
      <c r="I43" s="175"/>
      <c r="J43" s="175"/>
      <c r="K43" s="175"/>
      <c r="L43" s="175"/>
      <c r="M43" s="175"/>
      <c r="N43" s="175"/>
      <c r="O43" s="173"/>
      <c r="Q43" s="240"/>
      <c r="R43" s="257"/>
      <c r="S43" s="253"/>
      <c r="T43" s="230"/>
      <c r="U43" s="260"/>
      <c r="V43" s="241"/>
      <c r="W43" s="228"/>
      <c r="X43" s="240"/>
      <c r="Y43" s="257"/>
      <c r="Z43" s="231"/>
      <c r="AA43" s="230"/>
      <c r="AB43" s="241"/>
    </row>
    <row r="44" spans="1:28" ht="28.5" customHeight="1">
      <c r="A44" s="171"/>
      <c r="B44" s="172"/>
      <c r="C44" s="236" t="s">
        <v>171</v>
      </c>
      <c r="E44" s="174"/>
      <c r="F44" s="175"/>
      <c r="G44" s="175"/>
      <c r="H44" s="175"/>
      <c r="I44" s="175"/>
      <c r="J44" s="175"/>
      <c r="K44" s="175"/>
      <c r="L44" s="175"/>
      <c r="M44" s="175"/>
      <c r="N44" s="175"/>
      <c r="O44" s="173"/>
      <c r="Q44" s="240"/>
      <c r="R44" s="257"/>
      <c r="S44" s="253"/>
      <c r="T44" s="230"/>
      <c r="U44" s="260"/>
      <c r="V44" s="241"/>
      <c r="W44" s="228"/>
      <c r="X44" s="240"/>
      <c r="Y44" s="257"/>
      <c r="Z44" s="231"/>
      <c r="AA44" s="230"/>
      <c r="AB44" s="241"/>
    </row>
    <row r="45" spans="1:28" ht="15" customHeight="1">
      <c r="A45" s="171"/>
      <c r="B45" s="172"/>
      <c r="C45" s="235"/>
      <c r="E45" s="174"/>
      <c r="F45" s="175"/>
      <c r="G45" s="175"/>
      <c r="H45" s="175"/>
      <c r="I45" s="175"/>
      <c r="J45" s="175"/>
      <c r="K45" s="175"/>
      <c r="L45" s="175"/>
      <c r="M45" s="175"/>
      <c r="N45" s="175"/>
      <c r="O45" s="173"/>
      <c r="Q45" s="240"/>
      <c r="R45" s="257"/>
      <c r="S45" s="253"/>
      <c r="T45" s="230"/>
      <c r="U45" s="260"/>
      <c r="V45" s="241"/>
      <c r="W45" s="228"/>
      <c r="X45" s="240"/>
      <c r="Y45" s="257"/>
      <c r="Z45" s="231"/>
      <c r="AA45" s="230"/>
      <c r="AB45" s="241"/>
    </row>
    <row r="46" spans="1:28" ht="30">
      <c r="A46" s="171"/>
      <c r="B46" s="172"/>
      <c r="C46" s="236" t="s">
        <v>172</v>
      </c>
      <c r="E46" s="174"/>
      <c r="F46" s="175"/>
      <c r="G46" s="175"/>
      <c r="H46" s="175"/>
      <c r="I46" s="175"/>
      <c r="J46" s="175"/>
      <c r="K46" s="175"/>
      <c r="L46" s="175"/>
      <c r="M46" s="175"/>
      <c r="N46" s="175"/>
      <c r="O46" s="173"/>
      <c r="Q46" s="240"/>
      <c r="R46" s="257"/>
      <c r="S46" s="253"/>
      <c r="T46" s="230"/>
      <c r="U46" s="260"/>
      <c r="V46" s="241"/>
      <c r="W46" s="228"/>
      <c r="X46" s="240"/>
      <c r="Y46" s="257"/>
      <c r="Z46" s="231"/>
      <c r="AA46" s="230"/>
      <c r="AB46" s="241"/>
    </row>
    <row r="47" spans="1:28" ht="15" customHeight="1">
      <c r="A47" s="171"/>
      <c r="B47" s="172"/>
      <c r="C47" s="235"/>
      <c r="E47" s="174"/>
      <c r="F47" s="175"/>
      <c r="G47" s="175"/>
      <c r="H47" s="175"/>
      <c r="I47" s="175"/>
      <c r="J47" s="175"/>
      <c r="K47" s="175"/>
      <c r="L47" s="175"/>
      <c r="M47" s="175"/>
      <c r="N47" s="175"/>
      <c r="O47" s="173"/>
      <c r="Q47" s="240"/>
      <c r="R47" s="257"/>
      <c r="S47" s="253"/>
      <c r="T47" s="230"/>
      <c r="U47" s="260"/>
      <c r="V47" s="241"/>
      <c r="W47" s="228"/>
      <c r="X47" s="240"/>
      <c r="Y47" s="257"/>
      <c r="Z47" s="231"/>
      <c r="AA47" s="230"/>
      <c r="AB47" s="241"/>
    </row>
    <row r="48" spans="1:28" ht="28.5" customHeight="1">
      <c r="A48" s="171"/>
      <c r="B48" s="172"/>
      <c r="C48" s="236" t="s">
        <v>169</v>
      </c>
      <c r="E48" s="174"/>
      <c r="F48" s="175"/>
      <c r="G48" s="175"/>
      <c r="H48" s="175"/>
      <c r="I48" s="175"/>
      <c r="J48" s="175"/>
      <c r="K48" s="175"/>
      <c r="L48" s="175"/>
      <c r="M48" s="175"/>
      <c r="N48" s="175"/>
      <c r="O48" s="173"/>
      <c r="Q48" s="240"/>
      <c r="R48" s="257"/>
      <c r="S48" s="253"/>
      <c r="T48" s="230"/>
      <c r="U48" s="260"/>
      <c r="V48" s="241"/>
      <c r="W48" s="228"/>
      <c r="X48" s="240"/>
      <c r="Y48" s="257"/>
      <c r="Z48" s="231"/>
      <c r="AA48" s="230"/>
      <c r="AB48" s="241"/>
    </row>
    <row r="49" spans="1:28" ht="15" customHeight="1">
      <c r="A49" s="171"/>
      <c r="B49" s="172"/>
      <c r="C49" s="235"/>
      <c r="E49" s="339"/>
      <c r="F49" s="175"/>
      <c r="G49" s="175"/>
      <c r="H49" s="175"/>
      <c r="I49" s="175"/>
      <c r="J49" s="175"/>
      <c r="K49" s="175"/>
      <c r="L49" s="175"/>
      <c r="M49" s="175"/>
      <c r="N49" s="175"/>
      <c r="O49" s="173"/>
      <c r="Q49" s="240"/>
      <c r="R49" s="257"/>
      <c r="S49" s="253"/>
      <c r="T49" s="230"/>
      <c r="U49" s="260"/>
      <c r="V49" s="241"/>
      <c r="W49" s="228"/>
      <c r="X49" s="240"/>
      <c r="Y49" s="257"/>
      <c r="Z49" s="231"/>
      <c r="AA49" s="230"/>
      <c r="AB49" s="241"/>
    </row>
    <row r="50" spans="1:28" ht="28.5" customHeight="1">
      <c r="A50" s="171"/>
      <c r="B50" s="172"/>
      <c r="C50" s="236" t="s">
        <v>170</v>
      </c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3"/>
      <c r="Q50" s="240"/>
      <c r="R50" s="257"/>
      <c r="S50" s="253"/>
      <c r="T50" s="230"/>
      <c r="U50" s="260"/>
      <c r="V50" s="241"/>
      <c r="W50" s="228"/>
      <c r="X50" s="240"/>
      <c r="Y50" s="257"/>
      <c r="Z50" s="231"/>
      <c r="AA50" s="230"/>
      <c r="AB50" s="241"/>
    </row>
    <row r="51" spans="1:28" ht="15" customHeight="1">
      <c r="A51" s="171"/>
      <c r="B51" s="172"/>
      <c r="C51" s="235"/>
      <c r="E51" s="174"/>
      <c r="F51" s="175"/>
      <c r="G51" s="175"/>
      <c r="H51" s="175"/>
      <c r="I51" s="175"/>
      <c r="J51" s="175"/>
      <c r="K51" s="175"/>
      <c r="L51" s="175"/>
      <c r="M51" s="175"/>
      <c r="N51" s="175"/>
      <c r="O51" s="173"/>
      <c r="Q51" s="240"/>
      <c r="R51" s="257"/>
      <c r="S51" s="253"/>
      <c r="T51" s="230"/>
      <c r="U51" s="260"/>
      <c r="V51" s="241"/>
      <c r="W51" s="228"/>
      <c r="X51" s="240"/>
      <c r="Y51" s="257"/>
      <c r="Z51" s="231"/>
      <c r="AA51" s="230"/>
      <c r="AB51" s="241"/>
    </row>
    <row r="52" spans="1:28" ht="15" customHeight="1">
      <c r="A52" s="174"/>
      <c r="B52" s="175"/>
      <c r="C52" s="235"/>
      <c r="E52" s="174"/>
      <c r="F52" s="175"/>
      <c r="G52" s="175"/>
      <c r="H52" s="175"/>
      <c r="I52" s="175"/>
      <c r="J52" s="175"/>
      <c r="K52" s="175"/>
      <c r="L52" s="175"/>
      <c r="M52" s="175"/>
      <c r="N52" s="175"/>
      <c r="O52" s="173"/>
      <c r="Q52" s="240"/>
      <c r="R52" s="257"/>
      <c r="S52" s="253"/>
      <c r="T52" s="230"/>
      <c r="U52" s="260"/>
      <c r="V52" s="241"/>
      <c r="W52" s="228"/>
      <c r="X52" s="240"/>
      <c r="Y52" s="257"/>
      <c r="Z52" s="231"/>
      <c r="AA52" s="230"/>
      <c r="AB52" s="241"/>
    </row>
    <row r="53" spans="1:28" ht="15" customHeight="1">
      <c r="A53" s="174"/>
      <c r="B53" s="175"/>
      <c r="C53" s="235" t="s">
        <v>216</v>
      </c>
      <c r="E53" s="174"/>
      <c r="F53" s="175"/>
      <c r="G53" s="175"/>
      <c r="H53" s="175"/>
      <c r="I53" s="175"/>
      <c r="J53" s="175"/>
      <c r="K53" s="175"/>
      <c r="L53" s="175"/>
      <c r="M53" s="175"/>
      <c r="N53" s="175"/>
      <c r="O53" s="173"/>
      <c r="Q53" s="240"/>
      <c r="R53" s="257"/>
      <c r="S53" s="253"/>
      <c r="T53" s="230"/>
      <c r="U53" s="260"/>
      <c r="V53" s="241"/>
      <c r="W53" s="228"/>
      <c r="X53" s="240"/>
      <c r="Y53" s="257"/>
      <c r="Z53" s="231"/>
      <c r="AA53" s="230"/>
      <c r="AB53" s="241"/>
    </row>
    <row r="54" spans="1:28" ht="15" customHeight="1">
      <c r="A54" s="174"/>
      <c r="B54" s="175"/>
      <c r="C54" s="235"/>
      <c r="E54" s="174"/>
      <c r="F54" s="175"/>
      <c r="G54" s="175"/>
      <c r="H54" s="175"/>
      <c r="I54" s="175"/>
      <c r="J54" s="175"/>
      <c r="K54" s="175"/>
      <c r="L54" s="175"/>
      <c r="M54" s="175"/>
      <c r="N54" s="175"/>
      <c r="O54" s="173"/>
      <c r="Q54" s="240"/>
      <c r="R54" s="257"/>
      <c r="S54" s="253"/>
      <c r="T54" s="230"/>
      <c r="U54" s="260"/>
      <c r="V54" s="241"/>
      <c r="W54" s="228"/>
      <c r="X54" s="240"/>
      <c r="Y54" s="257"/>
      <c r="Z54" s="231"/>
      <c r="AA54" s="230"/>
      <c r="AB54" s="241"/>
    </row>
    <row r="55" spans="1:28" ht="15" customHeight="1">
      <c r="A55" s="174"/>
      <c r="B55" s="175"/>
      <c r="C55" s="235"/>
      <c r="E55" s="174"/>
      <c r="F55" s="175"/>
      <c r="G55" s="175"/>
      <c r="H55" s="175"/>
      <c r="I55" s="175"/>
      <c r="J55" s="175"/>
      <c r="K55" s="175"/>
      <c r="L55" s="175"/>
      <c r="M55" s="175"/>
      <c r="N55" s="175"/>
      <c r="O55" s="173"/>
      <c r="Q55" s="240"/>
      <c r="R55" s="257"/>
      <c r="S55" s="253"/>
      <c r="T55" s="230"/>
      <c r="U55" s="260"/>
      <c r="V55" s="241"/>
      <c r="W55" s="228"/>
      <c r="X55" s="240"/>
      <c r="Y55" s="257"/>
      <c r="Z55" s="231"/>
      <c r="AA55" s="230"/>
      <c r="AB55" s="241"/>
    </row>
    <row r="56" spans="1:28" ht="15" customHeight="1" thickBot="1">
      <c r="A56" s="176"/>
      <c r="B56" s="177"/>
      <c r="C56" s="238"/>
      <c r="E56" s="176"/>
      <c r="F56" s="177"/>
      <c r="G56" s="177"/>
      <c r="H56" s="177"/>
      <c r="I56" s="177"/>
      <c r="J56" s="177"/>
      <c r="K56" s="177"/>
      <c r="L56" s="177"/>
      <c r="M56" s="177"/>
      <c r="N56" s="177"/>
      <c r="O56" s="178"/>
      <c r="Q56" s="242"/>
      <c r="R56" s="258"/>
      <c r="S56" s="254"/>
      <c r="T56" s="244"/>
      <c r="U56" s="261"/>
      <c r="V56" s="245"/>
      <c r="W56" s="228"/>
      <c r="X56" s="242"/>
      <c r="Y56" s="258"/>
      <c r="Z56" s="243"/>
      <c r="AA56" s="244"/>
      <c r="AB56" s="245"/>
    </row>
    <row r="66" ht="15" customHeight="1"/>
  </sheetData>
  <sheetProtection formatCells="0" formatColumns="0" formatRows="0" insertColumns="0" insertRows="0" insertHyperlinks="0" sort="0" autoFilter="0" pivotTables="0"/>
  <mergeCells count="3">
    <mergeCell ref="A18:C18"/>
    <mergeCell ref="F6:G6"/>
    <mergeCell ref="E18:O1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2049" r:id="rId4">
          <objectPr defaultSize="0" autoPict="0" r:id="rId5">
            <anchor moveWithCells="1">
              <from>
                <xdr:col>1</xdr:col>
                <xdr:colOff>0</xdr:colOff>
                <xdr:row>27</xdr:row>
                <xdr:rowOff>104775</xdr:rowOff>
              </from>
              <to>
                <xdr:col>1</xdr:col>
                <xdr:colOff>533400</xdr:colOff>
                <xdr:row>31</xdr:row>
                <xdr:rowOff>123825</xdr:rowOff>
              </to>
            </anchor>
          </objectPr>
        </oleObject>
      </mc:Choice>
      <mc:Fallback>
        <oleObject progId="Visio.Drawing.11" shapeId="2049" r:id="rId4"/>
      </mc:Fallback>
    </mc:AlternateContent>
    <mc:AlternateContent xmlns:mc="http://schemas.openxmlformats.org/markup-compatibility/2006">
      <mc:Choice Requires="x14">
        <oleObject progId="Visio.Drawing.11" shapeId="2054" r:id="rId6">
          <objectPr defaultSize="0" autoPict="0" r:id="rId7">
            <anchor moveWithCells="1">
              <from>
                <xdr:col>1</xdr:col>
                <xdr:colOff>0</xdr:colOff>
                <xdr:row>35</xdr:row>
                <xdr:rowOff>133350</xdr:rowOff>
              </from>
              <to>
                <xdr:col>1</xdr:col>
                <xdr:colOff>371475</xdr:colOff>
                <xdr:row>37</xdr:row>
                <xdr:rowOff>114300</xdr:rowOff>
              </to>
            </anchor>
          </objectPr>
        </oleObject>
      </mc:Choice>
      <mc:Fallback>
        <oleObject progId="Visio.Drawing.11" shapeId="2054" r:id="rId6"/>
      </mc:Fallback>
    </mc:AlternateContent>
    <mc:AlternateContent xmlns:mc="http://schemas.openxmlformats.org/markup-compatibility/2006">
      <mc:Choice Requires="x14">
        <oleObject progId="Visio.Drawing.11" shapeId="2061" r:id="rId8">
          <objectPr defaultSize="0" autoPict="0" r:id="rId9">
            <anchor moveWithCells="1">
              <from>
                <xdr:col>1</xdr:col>
                <xdr:colOff>228600</xdr:colOff>
                <xdr:row>21</xdr:row>
                <xdr:rowOff>152400</xdr:rowOff>
              </from>
              <to>
                <xdr:col>1</xdr:col>
                <xdr:colOff>438150</xdr:colOff>
                <xdr:row>26</xdr:row>
                <xdr:rowOff>142875</xdr:rowOff>
              </to>
            </anchor>
          </objectPr>
        </oleObject>
      </mc:Choice>
      <mc:Fallback>
        <oleObject progId="Visio.Drawing.11" shapeId="2061" r:id="rId8"/>
      </mc:Fallback>
    </mc:AlternateContent>
    <mc:AlternateContent xmlns:mc="http://schemas.openxmlformats.org/markup-compatibility/2006">
      <mc:Choice Requires="x14">
        <oleObject progId="Visio.Drawing.11" shapeId="2072" r:id="rId10">
          <objectPr defaultSize="0" autoPict="0" r:id="rId11">
            <anchor moveWithCells="1">
              <from>
                <xdr:col>1</xdr:col>
                <xdr:colOff>0</xdr:colOff>
                <xdr:row>32</xdr:row>
                <xdr:rowOff>95250</xdr:rowOff>
              </from>
              <to>
                <xdr:col>1</xdr:col>
                <xdr:colOff>514350</xdr:colOff>
                <xdr:row>34</xdr:row>
                <xdr:rowOff>85725</xdr:rowOff>
              </to>
            </anchor>
          </objectPr>
        </oleObject>
      </mc:Choice>
      <mc:Fallback>
        <oleObject progId="Visio.Drawing.11" shapeId="2072" r:id="rId10"/>
      </mc:Fallback>
    </mc:AlternateContent>
    <mc:AlternateContent xmlns:mc="http://schemas.openxmlformats.org/markup-compatibility/2006">
      <mc:Choice Requires="x14">
        <oleObject progId="Visio.Drawing.11" shapeId="2077" r:id="rId12">
          <objectPr defaultSize="0" autoPict="0" r:id="rId13">
            <anchor moveWithCells="1">
              <from>
                <xdr:col>1</xdr:col>
                <xdr:colOff>0</xdr:colOff>
                <xdr:row>19</xdr:row>
                <xdr:rowOff>133350</xdr:rowOff>
              </from>
              <to>
                <xdr:col>2</xdr:col>
                <xdr:colOff>9525</xdr:colOff>
                <xdr:row>21</xdr:row>
                <xdr:rowOff>38100</xdr:rowOff>
              </to>
            </anchor>
          </objectPr>
        </oleObject>
      </mc:Choice>
      <mc:Fallback>
        <oleObject progId="Visio.Drawing.11" shapeId="2077" r:id="rId12"/>
      </mc:Fallback>
    </mc:AlternateContent>
    <mc:AlternateContent xmlns:mc="http://schemas.openxmlformats.org/markup-compatibility/2006">
      <mc:Choice Requires="x14">
        <oleObject progId="Visio.Drawing.11" shapeId="2079" r:id="rId14">
          <objectPr defaultSize="0" autoPict="0" r:id="rId15">
            <anchor moveWithCells="1">
              <from>
                <xdr:col>1</xdr:col>
                <xdr:colOff>9525</xdr:colOff>
                <xdr:row>38</xdr:row>
                <xdr:rowOff>28575</xdr:rowOff>
              </from>
              <to>
                <xdr:col>1</xdr:col>
                <xdr:colOff>342900</xdr:colOff>
                <xdr:row>39</xdr:row>
                <xdr:rowOff>114300</xdr:rowOff>
              </to>
            </anchor>
          </objectPr>
        </oleObject>
      </mc:Choice>
      <mc:Fallback>
        <oleObject progId="Visio.Drawing.11" shapeId="2079" r:id="rId14"/>
      </mc:Fallback>
    </mc:AlternateContent>
    <mc:AlternateContent xmlns:mc="http://schemas.openxmlformats.org/markup-compatibility/2006">
      <mc:Choice Requires="x14">
        <oleObject progId="Visio.Drawing.11" shapeId="2080" r:id="rId16">
          <objectPr defaultSize="0" autoPict="0" r:id="rId11">
            <anchor moveWithCells="1">
              <from>
                <xdr:col>4</xdr:col>
                <xdr:colOff>1085850</xdr:colOff>
                <xdr:row>21</xdr:row>
                <xdr:rowOff>133350</xdr:rowOff>
              </from>
              <to>
                <xdr:col>4</xdr:col>
                <xdr:colOff>2266950</xdr:colOff>
                <xdr:row>26</xdr:row>
                <xdr:rowOff>171450</xdr:rowOff>
              </to>
            </anchor>
          </objectPr>
        </oleObject>
      </mc:Choice>
      <mc:Fallback>
        <oleObject progId="Visio.Drawing.11" shapeId="2080" r:id="rId16"/>
      </mc:Fallback>
    </mc:AlternateContent>
    <mc:AlternateContent xmlns:mc="http://schemas.openxmlformats.org/markup-compatibility/2006">
      <mc:Choice Requires="x14">
        <oleObject progId="Visio.Drawing.11" shapeId="2081" r:id="rId17">
          <objectPr defaultSize="0" autoPict="0" r:id="rId11">
            <anchor moveWithCells="1">
              <from>
                <xdr:col>4</xdr:col>
                <xdr:colOff>1714500</xdr:colOff>
                <xdr:row>43</xdr:row>
                <xdr:rowOff>95250</xdr:rowOff>
              </from>
              <to>
                <xdr:col>4</xdr:col>
                <xdr:colOff>2781300</xdr:colOff>
                <xdr:row>47</xdr:row>
                <xdr:rowOff>190500</xdr:rowOff>
              </to>
            </anchor>
          </objectPr>
        </oleObject>
      </mc:Choice>
      <mc:Fallback>
        <oleObject progId="Visio.Drawing.11" shapeId="2081" r:id="rId17"/>
      </mc:Fallback>
    </mc:AlternateContent>
    <mc:AlternateContent xmlns:mc="http://schemas.openxmlformats.org/markup-compatibility/2006">
      <mc:Choice Requires="x14">
        <oleObject progId="Visio.Drawing.11" shapeId="2082" r:id="rId18">
          <objectPr defaultSize="0" autoPict="0" r:id="rId7">
            <anchor moveWithCells="1">
              <from>
                <xdr:col>5</xdr:col>
                <xdr:colOff>733425</xdr:colOff>
                <xdr:row>45</xdr:row>
                <xdr:rowOff>47625</xdr:rowOff>
              </from>
              <to>
                <xdr:col>5</xdr:col>
                <xdr:colOff>1104900</xdr:colOff>
                <xdr:row>46</xdr:row>
                <xdr:rowOff>47625</xdr:rowOff>
              </to>
            </anchor>
          </objectPr>
        </oleObject>
      </mc:Choice>
      <mc:Fallback>
        <oleObject progId="Visio.Drawing.11" shapeId="2082" r:id="rId18"/>
      </mc:Fallback>
    </mc:AlternateContent>
    <mc:AlternateContent xmlns:mc="http://schemas.openxmlformats.org/markup-compatibility/2006">
      <mc:Choice Requires="x14">
        <oleObject progId="Visio.Drawing.11" shapeId="2083" r:id="rId19">
          <objectPr defaultSize="0" autoPict="0" r:id="rId7">
            <anchor moveWithCells="1">
              <from>
                <xdr:col>4</xdr:col>
                <xdr:colOff>1990725</xdr:colOff>
                <xdr:row>47</xdr:row>
                <xdr:rowOff>295275</xdr:rowOff>
              </from>
              <to>
                <xdr:col>4</xdr:col>
                <xdr:colOff>2305050</xdr:colOff>
                <xdr:row>49</xdr:row>
                <xdr:rowOff>104775</xdr:rowOff>
              </to>
            </anchor>
          </objectPr>
        </oleObject>
      </mc:Choice>
      <mc:Fallback>
        <oleObject progId="Visio.Drawing.11" shapeId="2083" r:id="rId19"/>
      </mc:Fallback>
    </mc:AlternateContent>
    <mc:AlternateContent xmlns:mc="http://schemas.openxmlformats.org/markup-compatibility/2006">
      <mc:Choice Requires="x14">
        <oleObject progId="Visio.Drawing.11" shapeId="2084" r:id="rId20">
          <objectPr defaultSize="0" autoPict="0" r:id="rId15">
            <anchor moveWithCells="1">
              <from>
                <xdr:col>7</xdr:col>
                <xdr:colOff>38100</xdr:colOff>
                <xdr:row>23</xdr:row>
                <xdr:rowOff>114300</xdr:rowOff>
              </from>
              <to>
                <xdr:col>7</xdr:col>
                <xdr:colOff>381000</xdr:colOff>
                <xdr:row>25</xdr:row>
                <xdr:rowOff>0</xdr:rowOff>
              </to>
            </anchor>
          </objectPr>
        </oleObject>
      </mc:Choice>
      <mc:Fallback>
        <oleObject progId="Visio.Drawing.11" shapeId="2084" r:id="rId20"/>
      </mc:Fallback>
    </mc:AlternateContent>
    <mc:AlternateContent xmlns:mc="http://schemas.openxmlformats.org/markup-compatibility/2006">
      <mc:Choice Requires="x14">
        <oleObject progId="Visio.Drawing.11" shapeId="2085" r:id="rId21">
          <objectPr defaultSize="0" autoPict="0" r:id="rId15">
            <anchor moveWithCells="1">
              <from>
                <xdr:col>6</xdr:col>
                <xdr:colOff>2085975</xdr:colOff>
                <xdr:row>33</xdr:row>
                <xdr:rowOff>28575</xdr:rowOff>
              </from>
              <to>
                <xdr:col>7</xdr:col>
                <xdr:colOff>209550</xdr:colOff>
                <xdr:row>33</xdr:row>
                <xdr:rowOff>304800</xdr:rowOff>
              </to>
            </anchor>
          </objectPr>
        </oleObject>
      </mc:Choice>
      <mc:Fallback>
        <oleObject progId="Visio.Drawing.11" shapeId="2085" r:id="rId21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'Indicadores sistema'!$A$40:$A$60</xm:f>
          </x14:formula1>
          <xm:sqref>S19:S1048576</xm:sqref>
        </x14:dataValidation>
        <x14:dataValidation type="list" allowBlank="1" showInputMessage="1" showErrorMessage="1">
          <x14:formula1>
            <xm:f>'Indicadores sistema'!$C$40:$C$52</xm:f>
          </x14:formula1>
          <xm:sqref>U19:U1048576 Z19:Z1048576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M11"/>
  <sheetViews>
    <sheetView workbookViewId="0">
      <selection activeCell="F32" sqref="F32"/>
    </sheetView>
  </sheetViews>
  <sheetFormatPr defaultRowHeight="15"/>
  <cols>
    <col min="2" max="2" width="26.85546875" bestFit="1" customWidth="1"/>
  </cols>
  <sheetData>
    <row r="2" spans="2:13">
      <c r="B2" s="12" t="s">
        <v>82</v>
      </c>
      <c r="C2" s="12" t="s">
        <v>59</v>
      </c>
      <c r="D2" s="12" t="s">
        <v>65</v>
      </c>
      <c r="E2" s="12"/>
      <c r="F2" s="12"/>
      <c r="G2" s="12"/>
      <c r="H2" s="12"/>
      <c r="I2" s="12"/>
      <c r="J2" s="12"/>
      <c r="K2" s="12"/>
      <c r="L2" s="12"/>
      <c r="M2" s="12" t="s">
        <v>83</v>
      </c>
    </row>
    <row r="3" spans="2:13">
      <c r="B3" t="s">
        <v>85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>
        <f>SUM(C3:L3)</f>
        <v>0</v>
      </c>
    </row>
    <row r="4" spans="2:13">
      <c r="B4" t="s">
        <v>86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>
        <f>SUM(C4:L4)</f>
        <v>0</v>
      </c>
    </row>
    <row r="5" spans="2:13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2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2:13">
      <c r="B7" s="12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2:13">
      <c r="B8" s="12" t="s">
        <v>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2:13">
      <c r="B9" s="12" t="s">
        <v>10</v>
      </c>
    </row>
    <row r="10" spans="2:13">
      <c r="B10" s="12" t="s">
        <v>18</v>
      </c>
    </row>
    <row r="11" spans="2:13">
      <c r="B11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4:F13"/>
  <sheetViews>
    <sheetView workbookViewId="0">
      <selection activeCell="C9" sqref="C9"/>
    </sheetView>
  </sheetViews>
  <sheetFormatPr defaultRowHeight="15"/>
  <cols>
    <col min="2" max="2" width="44.42578125" bestFit="1" customWidth="1"/>
    <col min="3" max="3" width="3.7109375" bestFit="1" customWidth="1"/>
    <col min="4" max="4" width="9.7109375" bestFit="1" customWidth="1"/>
    <col min="5" max="5" width="18.7109375" bestFit="1" customWidth="1"/>
    <col min="6" max="6" width="16.42578125" bestFit="1" customWidth="1"/>
  </cols>
  <sheetData>
    <row r="4" spans="2:6">
      <c r="B4" t="s">
        <v>80</v>
      </c>
    </row>
    <row r="6" spans="2:6">
      <c r="B6" s="1" t="s">
        <v>79</v>
      </c>
      <c r="C6" s="1" t="s">
        <v>78</v>
      </c>
      <c r="D6" s="1" t="s">
        <v>77</v>
      </c>
      <c r="E6" s="1" t="s">
        <v>76</v>
      </c>
      <c r="F6" s="1" t="s">
        <v>75</v>
      </c>
    </row>
    <row r="7" spans="2:6">
      <c r="B7" s="1" t="s">
        <v>87</v>
      </c>
      <c r="C7" s="1"/>
      <c r="D7" s="1" t="s">
        <v>74</v>
      </c>
      <c r="E7" s="1"/>
      <c r="F7" s="1"/>
    </row>
    <row r="8" spans="2:6">
      <c r="B8" s="1" t="s">
        <v>73</v>
      </c>
      <c r="C8" s="1"/>
      <c r="D8" s="1" t="s">
        <v>72</v>
      </c>
      <c r="E8" s="1"/>
      <c r="F8" s="1"/>
    </row>
    <row r="9" spans="2:6">
      <c r="B9" s="1" t="s">
        <v>71</v>
      </c>
      <c r="C9" s="1"/>
      <c r="D9" s="1" t="s">
        <v>70</v>
      </c>
      <c r="E9" s="1"/>
      <c r="F9" s="1"/>
    </row>
    <row r="10" spans="2:6">
      <c r="B10" s="1" t="s">
        <v>69</v>
      </c>
      <c r="C10" s="1"/>
      <c r="D10" s="1" t="s">
        <v>68</v>
      </c>
      <c r="E10" s="1"/>
      <c r="F10" s="1"/>
    </row>
    <row r="11" spans="2:6">
      <c r="B11" s="1" t="s">
        <v>67</v>
      </c>
      <c r="C11" s="1"/>
      <c r="D11" s="1" t="s">
        <v>66</v>
      </c>
      <c r="E11" s="1"/>
      <c r="F11" s="1"/>
    </row>
    <row r="13" spans="2:6">
      <c r="B13" t="s">
        <v>88</v>
      </c>
      <c r="E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I127"/>
  <sheetViews>
    <sheetView tabSelected="1" topLeftCell="A22" zoomScale="70" zoomScaleNormal="70" workbookViewId="0">
      <selection activeCell="C77" sqref="C77"/>
    </sheetView>
  </sheetViews>
  <sheetFormatPr defaultColWidth="9.140625" defaultRowHeight="15"/>
  <cols>
    <col min="1" max="1" width="90.28515625" style="145" customWidth="1"/>
    <col min="2" max="2" width="24.7109375" style="145" customWidth="1"/>
    <col min="3" max="52" width="16.140625" style="145" customWidth="1"/>
    <col min="53" max="87" width="9.140625" style="90"/>
    <col min="88" max="16384" width="9.140625" style="145"/>
  </cols>
  <sheetData>
    <row r="1" spans="1:87" ht="15.75">
      <c r="A1" s="92" t="s">
        <v>0</v>
      </c>
      <c r="B1" s="93" t="s">
        <v>1</v>
      </c>
      <c r="C1" s="94">
        <f>C5+C17+C49+C50</f>
        <v>386138.60698727774</v>
      </c>
    </row>
    <row r="2" spans="1:87" ht="15.75">
      <c r="A2" s="92" t="s">
        <v>84</v>
      </c>
      <c r="B2" s="96" t="s">
        <v>2</v>
      </c>
      <c r="C2" s="97">
        <f>'Dados base'!$G$8</f>
        <v>3.0726</v>
      </c>
    </row>
    <row r="3" spans="1:87" ht="18.75">
      <c r="A3" s="92" t="s">
        <v>91</v>
      </c>
      <c r="B3" s="96" t="s">
        <v>122</v>
      </c>
      <c r="C3" s="97">
        <f>SUM(C6+C18+C54)</f>
        <v>1799110</v>
      </c>
    </row>
    <row r="4" spans="1:87" s="91" customFormat="1" ht="15.75">
      <c r="A4" s="98"/>
      <c r="B4" s="99"/>
      <c r="C4" s="10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</row>
    <row r="5" spans="1:87" s="185" customFormat="1">
      <c r="A5" s="102" t="s">
        <v>11</v>
      </c>
      <c r="B5" s="102" t="s">
        <v>1</v>
      </c>
      <c r="C5" s="103">
        <f>SUM(C14:AZ14)</f>
        <v>13989.780010500002</v>
      </c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</row>
    <row r="6" spans="1:87" s="185" customFormat="1" ht="17.25">
      <c r="A6" s="102" t="s">
        <v>261</v>
      </c>
      <c r="B6" s="93" t="s">
        <v>29</v>
      </c>
      <c r="C6" s="103">
        <f>SUM(C13:AZ13)</f>
        <v>162765</v>
      </c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</row>
    <row r="7" spans="1:87" s="142" customFormat="1"/>
    <row r="8" spans="1:87" s="142" customFormat="1">
      <c r="A8" s="106" t="s">
        <v>116</v>
      </c>
      <c r="B8" s="107" t="s">
        <v>117</v>
      </c>
    </row>
    <row r="9" spans="1:87" s="91" customFormat="1" ht="28.5">
      <c r="A9" s="108" t="s">
        <v>126</v>
      </c>
      <c r="B9" s="109" t="s">
        <v>23</v>
      </c>
      <c r="C9" s="47" t="s">
        <v>295</v>
      </c>
      <c r="D9" s="47" t="s">
        <v>296</v>
      </c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</row>
    <row r="10" spans="1:87" s="91" customFormat="1" ht="28.5">
      <c r="A10" s="108" t="s">
        <v>127</v>
      </c>
      <c r="B10" s="109" t="s">
        <v>23</v>
      </c>
      <c r="C10" s="47" t="s">
        <v>297</v>
      </c>
      <c r="D10" s="47" t="s">
        <v>296</v>
      </c>
      <c r="E10" s="47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</row>
    <row r="11" spans="1:87" s="91" customFormat="1">
      <c r="A11" s="108" t="s">
        <v>56</v>
      </c>
      <c r="B11" s="109" t="s">
        <v>2</v>
      </c>
      <c r="C11" s="342">
        <v>33</v>
      </c>
      <c r="D11" s="342">
        <v>27.76</v>
      </c>
      <c r="E11" s="48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</row>
    <row r="12" spans="1:87" s="91" customFormat="1">
      <c r="A12" s="101" t="s">
        <v>57</v>
      </c>
      <c r="B12" s="113" t="s">
        <v>58</v>
      </c>
      <c r="C12" s="47">
        <v>3.2</v>
      </c>
      <c r="D12" s="47">
        <v>3</v>
      </c>
      <c r="E12" s="47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</row>
    <row r="13" spans="1:87" s="91" customFormat="1" ht="16.5">
      <c r="A13" s="114" t="s">
        <v>55</v>
      </c>
      <c r="B13" s="109" t="s">
        <v>25</v>
      </c>
      <c r="C13" s="47">
        <f>178833-129993+67440</f>
        <v>116280</v>
      </c>
      <c r="D13" s="47">
        <v>46485</v>
      </c>
      <c r="E13" s="47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</row>
    <row r="14" spans="1:87">
      <c r="A14" s="115" t="s">
        <v>4</v>
      </c>
      <c r="B14" s="116" t="s">
        <v>1</v>
      </c>
      <c r="C14" s="116">
        <f>IF(C11="","",9.8*C13*(C11+C12-'Dados base'!$G$8)/(3600))</f>
        <v>10486.147196000002</v>
      </c>
      <c r="D14" s="116">
        <f>IF(D11="","",9.8*D13*(D11+D12-'Dados base'!$G$8)/(3600))</f>
        <v>3503.6328145000002</v>
      </c>
      <c r="E14" s="116" t="str">
        <f>IF(E11="","",9.8*E13*(E11+E12-'Dados base'!$G$8)/(3600))</f>
        <v/>
      </c>
      <c r="F14" s="116" t="str">
        <f>IF(F11="","",9.8*F13*(F11+F12-'Dados base'!$G$8)/(3600))</f>
        <v/>
      </c>
      <c r="G14" s="116" t="str">
        <f>IF(G11="","",9.8*G13*(G11+G12-'Dados base'!$G$8)/(3600))</f>
        <v/>
      </c>
      <c r="H14" s="116" t="str">
        <f>IF(H11="","",9.8*H13*(H11+H12-'Dados base'!$G$8)/(3600))</f>
        <v/>
      </c>
      <c r="I14" s="116" t="str">
        <f>IF(I11="","",9.8*I13*(I11+I12-'Dados base'!$G$8)/(3600))</f>
        <v/>
      </c>
      <c r="J14" s="116" t="str">
        <f>IF(J11="","",9.8*J13*(J11+J12-'Dados base'!$G$8)/(3600))</f>
        <v/>
      </c>
      <c r="K14" s="116" t="str">
        <f>IF(K11="","",9.8*K13*(K11+K12-'Dados base'!$G$8)/(3600))</f>
        <v/>
      </c>
      <c r="L14" s="116" t="str">
        <f>IF(L11="","",9.8*L13*(L11+L12-'Dados base'!$G$8)/(3600))</f>
        <v/>
      </c>
      <c r="M14" s="116" t="str">
        <f>IF(M11="","",9.8*M13*(M11+M12-'Dados base'!$G$8)/(3600))</f>
        <v/>
      </c>
      <c r="N14" s="116" t="str">
        <f>IF(N11="","",9.8*N13*(N11+N12-'Dados base'!$G$8)/(3600))</f>
        <v/>
      </c>
      <c r="O14" s="116" t="str">
        <f>IF(O11="","",9.8*O13*(O11+O12-'Dados base'!$G$8)/(3600))</f>
        <v/>
      </c>
      <c r="P14" s="116" t="str">
        <f>IF(P11="","",9.8*P13*(P11+P12-'Dados base'!$G$8)/(3600))</f>
        <v/>
      </c>
      <c r="Q14" s="116" t="str">
        <f>IF(Q11="","",9.8*Q13*(Q11+Q12-'Dados base'!$G$8)/(3600))</f>
        <v/>
      </c>
      <c r="R14" s="116" t="str">
        <f>IF(R11="","",9.8*R13*(R11+R12-'Dados base'!$G$8)/(3600))</f>
        <v/>
      </c>
      <c r="S14" s="116" t="str">
        <f>IF(S11="","",9.8*S13*(S11+S12-'Dados base'!$G$8)/(3600))</f>
        <v/>
      </c>
      <c r="T14" s="116" t="str">
        <f>IF(T11="","",9.8*T13*(T11+T12-'Dados base'!$G$8)/(3600))</f>
        <v/>
      </c>
      <c r="U14" s="116" t="str">
        <f>IF(U11="","",9.8*U13*(U11+U12-'Dados base'!$G$8)/(3600))</f>
        <v/>
      </c>
      <c r="V14" s="116" t="str">
        <f>IF(V11="","",9.8*V13*(V11+V12-'Dados base'!$G$8)/(3600))</f>
        <v/>
      </c>
      <c r="W14" s="116" t="str">
        <f>IF(W11="","",9.8*W13*(W11+W12-'Dados base'!$G$8)/(3600))</f>
        <v/>
      </c>
      <c r="X14" s="116" t="str">
        <f>IF(X11="","",9.8*X13*(X11+X12-'Dados base'!$G$8)/(3600))</f>
        <v/>
      </c>
      <c r="Y14" s="116" t="str">
        <f>IF(Y11="","",9.8*Y13*(Y11+Y12-'Dados base'!$G$8)/(3600))</f>
        <v/>
      </c>
      <c r="Z14" s="116" t="str">
        <f>IF(Z11="","",9.8*Z13*(Z11+Z12-'Dados base'!$G$8)/(3600))</f>
        <v/>
      </c>
      <c r="AA14" s="116" t="str">
        <f>IF(AA11="","",9.8*AA13*(AA11+AA12-'Dados base'!$G$8)/(3600))</f>
        <v/>
      </c>
      <c r="AB14" s="116" t="str">
        <f>IF(AB11="","",9.8*AB13*(AB11+AB12-'Dados base'!$G$8)/(3600))</f>
        <v/>
      </c>
      <c r="AC14" s="116" t="str">
        <f>IF(AC11="","",9.8*AC13*(AC11+AC12-'Dados base'!$G$8)/(3600))</f>
        <v/>
      </c>
      <c r="AD14" s="116" t="str">
        <f>IF(AD11="","",9.8*AD13*(AD11+AD12-'Dados base'!$G$8)/(3600))</f>
        <v/>
      </c>
      <c r="AE14" s="116" t="str">
        <f>IF(AE11="","",9.8*AE13*(AE11+AE12-'Dados base'!$G$8)/(3600))</f>
        <v/>
      </c>
      <c r="AF14" s="116" t="str">
        <f>IF(AF11="","",9.8*AF13*(AF11+AF12-'Dados base'!$G$8)/(3600))</f>
        <v/>
      </c>
      <c r="AG14" s="116" t="str">
        <f>IF(AG11="","",9.8*AG13*(AG11+AG12-'Dados base'!$G$8)/(3600))</f>
        <v/>
      </c>
      <c r="AH14" s="116" t="str">
        <f>IF(AH11="","",9.8*AH13*(AH11+AH12-'Dados base'!$G$8)/(3600))</f>
        <v/>
      </c>
      <c r="AI14" s="116" t="str">
        <f>IF(AI11="","",9.8*AI13*(AI11+AI12-'Dados base'!$G$8)/(3600))</f>
        <v/>
      </c>
      <c r="AJ14" s="116" t="str">
        <f>IF(AJ11="","",9.8*AJ13*(AJ11+AJ12-'Dados base'!$G$8)/(3600))</f>
        <v/>
      </c>
      <c r="AK14" s="116" t="str">
        <f>IF(AK11="","",9.8*AK13*(AK11+AK12-'Dados base'!$G$8)/(3600))</f>
        <v/>
      </c>
      <c r="AL14" s="116" t="str">
        <f>IF(AL11="","",9.8*AL13*(AL11+AL12-'Dados base'!$G$8)/(3600))</f>
        <v/>
      </c>
      <c r="AM14" s="116" t="str">
        <f>IF(AM11="","",9.8*AM13*(AM11+AM12-'Dados base'!$G$8)/(3600))</f>
        <v/>
      </c>
      <c r="AN14" s="116" t="str">
        <f>IF(AN11="","",9.8*AN13*(AN11+AN12-'Dados base'!$G$8)/(3600))</f>
        <v/>
      </c>
      <c r="AO14" s="116" t="str">
        <f>IF(AO11="","",9.8*AO13*(AO11+AO12-'Dados base'!$G$8)/(3600))</f>
        <v/>
      </c>
      <c r="AP14" s="116" t="str">
        <f>IF(AP11="","",9.8*AP13*(AP11+AP12-'Dados base'!$G$8)/(3600))</f>
        <v/>
      </c>
      <c r="AQ14" s="116" t="str">
        <f>IF(AQ11="","",9.8*AQ13*(AQ11+AQ12-'Dados base'!$G$8)/(3600))</f>
        <v/>
      </c>
      <c r="AR14" s="116" t="str">
        <f>IF(AR11="","",9.8*AR13*(AR11+AR12-'Dados base'!$G$8)/(3600))</f>
        <v/>
      </c>
      <c r="AS14" s="116" t="str">
        <f>IF(AS11="","",9.8*AS13*(AS11+AS12-'Dados base'!$G$8)/(3600))</f>
        <v/>
      </c>
      <c r="AT14" s="116" t="str">
        <f>IF(AT11="","",9.8*AT13*(AT11+AT12-'Dados base'!$G$8)/(3600))</f>
        <v/>
      </c>
      <c r="AU14" s="116" t="str">
        <f>IF(AU11="","",9.8*AU13*(AU11+AU12-'Dados base'!$G$8)/(3600))</f>
        <v/>
      </c>
      <c r="AV14" s="116" t="str">
        <f>IF(AV11="","",9.8*AV13*(AV11+AV12-'Dados base'!$G$8)/(3600))</f>
        <v/>
      </c>
      <c r="AW14" s="116" t="str">
        <f>IF(AW11="","",9.8*AW13*(AW11+AW12-'Dados base'!$G$8)/(3600))</f>
        <v/>
      </c>
      <c r="AX14" s="116" t="str">
        <f>IF(AX11="","",9.8*AX13*(AX11+AX12-'Dados base'!$G$8)/(3600))</f>
        <v/>
      </c>
      <c r="AY14" s="116" t="str">
        <f>IF(AY11="","",9.8*AY13*(AY11+AY12-'Dados base'!$G$8)/(3600))</f>
        <v/>
      </c>
      <c r="AZ14" s="116" t="str">
        <f>IF(AZ11="","",9.8*AZ13*(AZ11+AZ12-'Dados base'!$G$8)/(3600))</f>
        <v/>
      </c>
    </row>
    <row r="15" spans="1:87" s="91" customFormat="1">
      <c r="A15" s="186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</row>
    <row r="16" spans="1:87" s="91" customFormat="1">
      <c r="A16" s="186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</row>
    <row r="17" spans="1:87">
      <c r="A17" s="102" t="s">
        <v>11</v>
      </c>
      <c r="B17" s="102" t="s">
        <v>1</v>
      </c>
      <c r="C17" s="103">
        <f>SUM(C30:AZ30)</f>
        <v>179624.82697677778</v>
      </c>
    </row>
    <row r="18" spans="1:87" ht="17.25">
      <c r="A18" s="102" t="s">
        <v>149</v>
      </c>
      <c r="B18" s="93" t="s">
        <v>29</v>
      </c>
      <c r="C18" s="103">
        <f>SUM(C27:AZ27)</f>
        <v>1636345</v>
      </c>
    </row>
    <row r="19" spans="1:87" s="142" customFormat="1">
      <c r="A19" s="105"/>
      <c r="B19" s="105"/>
    </row>
    <row r="20" spans="1:87" s="142" customFormat="1">
      <c r="A20" s="106" t="s">
        <v>128</v>
      </c>
      <c r="B20" s="107" t="s">
        <v>117</v>
      </c>
    </row>
    <row r="21" spans="1:87" s="91" customFormat="1">
      <c r="A21" s="108" t="s">
        <v>129</v>
      </c>
      <c r="B21" s="110" t="s">
        <v>23</v>
      </c>
      <c r="C21" s="47" t="s">
        <v>298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</row>
    <row r="22" spans="1:87" s="91" customFormat="1">
      <c r="A22" s="108" t="s">
        <v>127</v>
      </c>
      <c r="B22" s="110" t="s">
        <v>23</v>
      </c>
      <c r="C22" s="32" t="s">
        <v>299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</row>
    <row r="23" spans="1:87" s="188" customFormat="1">
      <c r="A23" s="108" t="s">
        <v>60</v>
      </c>
      <c r="B23" s="109" t="s">
        <v>2</v>
      </c>
      <c r="C23" s="343">
        <v>40.667000000000002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</row>
    <row r="24" spans="1:87" s="188" customFormat="1">
      <c r="A24" s="117" t="s">
        <v>123</v>
      </c>
      <c r="B24" s="109" t="s">
        <v>2</v>
      </c>
      <c r="C24" s="324">
        <v>2.44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</row>
    <row r="25" spans="1:87" s="189" customFormat="1">
      <c r="A25" s="101" t="s">
        <v>124</v>
      </c>
      <c r="B25" s="118" t="s">
        <v>2</v>
      </c>
      <c r="C25" s="325">
        <v>3.02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</row>
    <row r="26" spans="1:87" s="189" customFormat="1">
      <c r="A26" s="117" t="s">
        <v>125</v>
      </c>
      <c r="B26" s="118" t="s">
        <v>2</v>
      </c>
      <c r="C26" s="344">
        <f>(C25+C24)/2</f>
        <v>2.73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</row>
    <row r="27" spans="1:87" s="189" customFormat="1" ht="16.5">
      <c r="A27" s="114" t="s">
        <v>61</v>
      </c>
      <c r="B27" s="109" t="s">
        <v>25</v>
      </c>
      <c r="C27" s="316">
        <f>1170892+465453</f>
        <v>1636345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</row>
    <row r="28" spans="1:87" s="190" customFormat="1">
      <c r="A28" s="115" t="s">
        <v>90</v>
      </c>
      <c r="B28" s="116" t="s">
        <v>2</v>
      </c>
      <c r="C28" s="120">
        <f>IF(C23="","",C25-C24)</f>
        <v>0.58000000000000007</v>
      </c>
      <c r="D28" s="120" t="str">
        <f t="shared" ref="D28:AZ28" si="0">IF(D23="","",D25-D24)</f>
        <v/>
      </c>
      <c r="E28" s="120" t="str">
        <f t="shared" si="0"/>
        <v/>
      </c>
      <c r="F28" s="120" t="str">
        <f t="shared" si="0"/>
        <v/>
      </c>
      <c r="G28" s="120" t="str">
        <f t="shared" si="0"/>
        <v/>
      </c>
      <c r="H28" s="120" t="str">
        <f t="shared" si="0"/>
        <v/>
      </c>
      <c r="I28" s="120" t="str">
        <f t="shared" si="0"/>
        <v/>
      </c>
      <c r="J28" s="120" t="str">
        <f t="shared" si="0"/>
        <v/>
      </c>
      <c r="K28" s="120" t="str">
        <f t="shared" si="0"/>
        <v/>
      </c>
      <c r="L28" s="120" t="str">
        <f t="shared" si="0"/>
        <v/>
      </c>
      <c r="M28" s="120" t="str">
        <f t="shared" si="0"/>
        <v/>
      </c>
      <c r="N28" s="120" t="str">
        <f t="shared" si="0"/>
        <v/>
      </c>
      <c r="O28" s="120" t="str">
        <f t="shared" si="0"/>
        <v/>
      </c>
      <c r="P28" s="120" t="str">
        <f t="shared" si="0"/>
        <v/>
      </c>
      <c r="Q28" s="120" t="str">
        <f t="shared" si="0"/>
        <v/>
      </c>
      <c r="R28" s="120" t="str">
        <f t="shared" si="0"/>
        <v/>
      </c>
      <c r="S28" s="120" t="str">
        <f t="shared" si="0"/>
        <v/>
      </c>
      <c r="T28" s="120" t="str">
        <f t="shared" si="0"/>
        <v/>
      </c>
      <c r="U28" s="120" t="str">
        <f t="shared" si="0"/>
        <v/>
      </c>
      <c r="V28" s="120" t="str">
        <f t="shared" si="0"/>
        <v/>
      </c>
      <c r="W28" s="120" t="str">
        <f t="shared" si="0"/>
        <v/>
      </c>
      <c r="X28" s="120" t="str">
        <f t="shared" si="0"/>
        <v/>
      </c>
      <c r="Y28" s="120" t="str">
        <f t="shared" si="0"/>
        <v/>
      </c>
      <c r="Z28" s="120" t="str">
        <f t="shared" si="0"/>
        <v/>
      </c>
      <c r="AA28" s="120" t="str">
        <f t="shared" si="0"/>
        <v/>
      </c>
      <c r="AB28" s="120" t="str">
        <f t="shared" si="0"/>
        <v/>
      </c>
      <c r="AC28" s="120" t="str">
        <f t="shared" si="0"/>
        <v/>
      </c>
      <c r="AD28" s="120" t="str">
        <f t="shared" si="0"/>
        <v/>
      </c>
      <c r="AE28" s="120" t="str">
        <f t="shared" si="0"/>
        <v/>
      </c>
      <c r="AF28" s="120" t="str">
        <f t="shared" si="0"/>
        <v/>
      </c>
      <c r="AG28" s="120" t="str">
        <f t="shared" si="0"/>
        <v/>
      </c>
      <c r="AH28" s="120" t="str">
        <f t="shared" si="0"/>
        <v/>
      </c>
      <c r="AI28" s="120" t="str">
        <f t="shared" si="0"/>
        <v/>
      </c>
      <c r="AJ28" s="120" t="str">
        <f t="shared" si="0"/>
        <v/>
      </c>
      <c r="AK28" s="120" t="str">
        <f t="shared" si="0"/>
        <v/>
      </c>
      <c r="AL28" s="120" t="str">
        <f t="shared" si="0"/>
        <v/>
      </c>
      <c r="AM28" s="120" t="str">
        <f t="shared" si="0"/>
        <v/>
      </c>
      <c r="AN28" s="120" t="str">
        <f t="shared" si="0"/>
        <v/>
      </c>
      <c r="AO28" s="120" t="str">
        <f t="shared" si="0"/>
        <v/>
      </c>
      <c r="AP28" s="120" t="str">
        <f t="shared" si="0"/>
        <v/>
      </c>
      <c r="AQ28" s="120" t="str">
        <f t="shared" si="0"/>
        <v/>
      </c>
      <c r="AR28" s="120" t="str">
        <f t="shared" si="0"/>
        <v/>
      </c>
      <c r="AS28" s="120" t="str">
        <f t="shared" si="0"/>
        <v/>
      </c>
      <c r="AT28" s="120" t="str">
        <f t="shared" si="0"/>
        <v/>
      </c>
      <c r="AU28" s="120" t="str">
        <f t="shared" si="0"/>
        <v/>
      </c>
      <c r="AV28" s="120" t="str">
        <f t="shared" si="0"/>
        <v/>
      </c>
      <c r="AW28" s="120" t="str">
        <f t="shared" si="0"/>
        <v/>
      </c>
      <c r="AX28" s="120" t="str">
        <f t="shared" si="0"/>
        <v/>
      </c>
      <c r="AY28" s="120" t="str">
        <f t="shared" si="0"/>
        <v/>
      </c>
      <c r="AZ28" s="120" t="str">
        <f t="shared" si="0"/>
        <v/>
      </c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</row>
    <row r="29" spans="1:87" s="90" customFormat="1">
      <c r="A29" s="115" t="s">
        <v>119</v>
      </c>
      <c r="B29" s="116" t="s">
        <v>2</v>
      </c>
      <c r="C29" s="116">
        <f>IF(C23="","",IF(C26="",C23+(C25+C24)/2-'Dados base'!$G$8,C23+C26-'Dados base'!$G$8))</f>
        <v>40.324399999999997</v>
      </c>
      <c r="D29" s="116" t="str">
        <f>IF(D23="","",IF(D26="",D23+(D25+D24)/2-'Dados base'!$G$8,D23+D26-'Dados base'!$G$8))</f>
        <v/>
      </c>
      <c r="E29" s="116" t="str">
        <f>IF(E23="","",IF(E26="",E23+(E25+E24)/2-'Dados base'!$G$8,E23+E26-'Dados base'!$G$8))</f>
        <v/>
      </c>
      <c r="F29" s="116" t="str">
        <f>IF(F23="","",IF(F26="",F23+(F25+F24)/2-'Dados base'!$G$8,F23+F26-'Dados base'!$G$8))</f>
        <v/>
      </c>
      <c r="G29" s="116" t="str">
        <f>IF(G23="","",IF(G26="",G23+(G25+G24)/2-'Dados base'!$G$8,G23+G26-'Dados base'!$G$8))</f>
        <v/>
      </c>
      <c r="H29" s="116" t="str">
        <f>IF(H23="","",IF(H26="",H23+(H25+H24)/2-'Dados base'!$G$8,H23+H26-'Dados base'!$G$8))</f>
        <v/>
      </c>
      <c r="I29" s="116" t="str">
        <f>IF(I23="","",IF(I26="",I23+(I25+I24)/2-'Dados base'!$G$8,I23+I26-'Dados base'!$G$8))</f>
        <v/>
      </c>
      <c r="J29" s="116" t="str">
        <f>IF(J23="","",IF(J26="",J23+(J25+J24)/2-'Dados base'!$G$8,J23+J26-'Dados base'!$G$8))</f>
        <v/>
      </c>
      <c r="K29" s="116" t="str">
        <f>IF(K23="","",IF(K26="",K23+(K25+K24)/2-'Dados base'!$G$8,K23+K26-'Dados base'!$G$8))</f>
        <v/>
      </c>
      <c r="L29" s="116" t="str">
        <f>IF(L23="","",IF(L26="",L23+(L25+L24)/2-'Dados base'!$G$8,L23+L26-'Dados base'!$G$8))</f>
        <v/>
      </c>
      <c r="M29" s="116" t="str">
        <f>IF(M23="","",IF(M26="",M23+(M25+M24)/2-'Dados base'!$G$8,M23+M26-'Dados base'!$G$8))</f>
        <v/>
      </c>
      <c r="N29" s="116" t="str">
        <f>IF(N23="","",IF(N26="",N23+(N25+N24)/2-'Dados base'!$G$8,N23+N26-'Dados base'!$G$8))</f>
        <v/>
      </c>
      <c r="O29" s="116" t="str">
        <f>IF(O23="","",IF(O26="",O23+(O25+O24)/2-'Dados base'!$G$8,O23+O26-'Dados base'!$G$8))</f>
        <v/>
      </c>
      <c r="P29" s="116" t="str">
        <f>IF(P23="","",IF(P26="",P23+(P25+P24)/2-'Dados base'!$G$8,P23+P26-'Dados base'!$G$8))</f>
        <v/>
      </c>
      <c r="Q29" s="116" t="str">
        <f>IF(Q23="","",IF(Q26="",Q23+(Q25+Q24)/2-'Dados base'!$G$8,Q23+Q26-'Dados base'!$G$8))</f>
        <v/>
      </c>
      <c r="R29" s="116" t="str">
        <f>IF(R23="","",IF(R26="",R23+(R25+R24)/2-'Dados base'!$G$8,R23+R26-'Dados base'!$G$8))</f>
        <v/>
      </c>
      <c r="S29" s="116" t="str">
        <f>IF(S23="","",IF(S26="",S23+(S25+S24)/2-'Dados base'!$G$8,S23+S26-'Dados base'!$G$8))</f>
        <v/>
      </c>
      <c r="T29" s="116" t="str">
        <f>IF(T23="","",IF(T26="",T23+(T25+T24)/2-'Dados base'!$G$8,T23+T26-'Dados base'!$G$8))</f>
        <v/>
      </c>
      <c r="U29" s="116" t="str">
        <f>IF(U23="","",IF(U26="",U23+(U25+U24)/2-'Dados base'!$G$8,U23+U26-'Dados base'!$G$8))</f>
        <v/>
      </c>
      <c r="V29" s="116" t="str">
        <f>IF(V23="","",IF(V26="",V23+(V25+V24)/2-'Dados base'!$G$8,V23+V26-'Dados base'!$G$8))</f>
        <v/>
      </c>
      <c r="W29" s="116" t="str">
        <f>IF(W23="","",IF(W26="",W23+(W25+W24)/2-'Dados base'!$G$8,W23+W26-'Dados base'!$G$8))</f>
        <v/>
      </c>
      <c r="X29" s="116" t="str">
        <f>IF(X23="","",IF(X26="",X23+(X25+X24)/2-'Dados base'!$G$8,X23+X26-'Dados base'!$G$8))</f>
        <v/>
      </c>
      <c r="Y29" s="116" t="str">
        <f>IF(Y23="","",IF(Y26="",Y23+(Y25+Y24)/2-'Dados base'!$G$8,Y23+Y26-'Dados base'!$G$8))</f>
        <v/>
      </c>
      <c r="Z29" s="116" t="str">
        <f>IF(Z23="","",IF(Z26="",Z23+(Z25+Z24)/2-'Dados base'!$G$8,Z23+Z26-'Dados base'!$G$8))</f>
        <v/>
      </c>
      <c r="AA29" s="116" t="str">
        <f>IF(AA23="","",IF(AA26="",AA23+(AA25+AA24)/2-'Dados base'!$G$8,AA23+AA26-'Dados base'!$G$8))</f>
        <v/>
      </c>
      <c r="AB29" s="116" t="str">
        <f>IF(AB23="","",IF(AB26="",AB23+(AB25+AB24)/2-'Dados base'!$G$8,AB23+AB26-'Dados base'!$G$8))</f>
        <v/>
      </c>
      <c r="AC29" s="116" t="str">
        <f>IF(AC23="","",IF(AC26="",AC23+(AC25+AC24)/2-'Dados base'!$G$8,AC23+AC26-'Dados base'!$G$8))</f>
        <v/>
      </c>
      <c r="AD29" s="116" t="str">
        <f>IF(AD23="","",IF(AD26="",AD23+(AD25+AD24)/2-'Dados base'!$G$8,AD23+AD26-'Dados base'!$G$8))</f>
        <v/>
      </c>
      <c r="AE29" s="116" t="str">
        <f>IF(AE23="","",IF(AE26="",AE23+(AE25+AE24)/2-'Dados base'!$G$8,AE23+AE26-'Dados base'!$G$8))</f>
        <v/>
      </c>
      <c r="AF29" s="116" t="str">
        <f>IF(AF23="","",IF(AF26="",AF23+(AF25+AF24)/2-'Dados base'!$G$8,AF23+AF26-'Dados base'!$G$8))</f>
        <v/>
      </c>
      <c r="AG29" s="116" t="str">
        <f>IF(AG23="","",IF(AG26="",AG23+(AG25+AG24)/2-'Dados base'!$G$8,AG23+AG26-'Dados base'!$G$8))</f>
        <v/>
      </c>
      <c r="AH29" s="116" t="str">
        <f>IF(AH23="","",IF(AH26="",AH23+(AH25+AH24)/2-'Dados base'!$G$8,AH23+AH26-'Dados base'!$G$8))</f>
        <v/>
      </c>
      <c r="AI29" s="116" t="str">
        <f>IF(AI23="","",IF(AI26="",AI23+(AI25+AI24)/2-'Dados base'!$G$8,AI23+AI26-'Dados base'!$G$8))</f>
        <v/>
      </c>
      <c r="AJ29" s="116" t="str">
        <f>IF(AJ23="","",IF(AJ26="",AJ23+(AJ25+AJ24)/2-'Dados base'!$G$8,AJ23+AJ26-'Dados base'!$G$8))</f>
        <v/>
      </c>
      <c r="AK29" s="116" t="str">
        <f>IF(AK23="","",IF(AK26="",AK23+(AK25+AK24)/2-'Dados base'!$G$8,AK23+AK26-'Dados base'!$G$8))</f>
        <v/>
      </c>
      <c r="AL29" s="116" t="str">
        <f>IF(AL23="","",IF(AL26="",AL23+(AL25+AL24)/2-'Dados base'!$G$8,AL23+AL26-'Dados base'!$G$8))</f>
        <v/>
      </c>
      <c r="AM29" s="116" t="str">
        <f>IF(AM23="","",IF(AM26="",AM23+(AM25+AM24)/2-'Dados base'!$G$8,AM23+AM26-'Dados base'!$G$8))</f>
        <v/>
      </c>
      <c r="AN29" s="116" t="str">
        <f>IF(AN23="","",IF(AN26="",AN23+(AN25+AN24)/2-'Dados base'!$G$8,AN23+AN26-'Dados base'!$G$8))</f>
        <v/>
      </c>
      <c r="AO29" s="116" t="str">
        <f>IF(AO23="","",IF(AO26="",AO23+(AO25+AO24)/2-'Dados base'!$G$8,AO23+AO26-'Dados base'!$G$8))</f>
        <v/>
      </c>
      <c r="AP29" s="116" t="str">
        <f>IF(AP23="","",IF(AP26="",AP23+(AP25+AP24)/2-'Dados base'!$G$8,AP23+AP26-'Dados base'!$G$8))</f>
        <v/>
      </c>
      <c r="AQ29" s="116" t="str">
        <f>IF(AQ23="","",IF(AQ26="",AQ23+(AQ25+AQ24)/2-'Dados base'!$G$8,AQ23+AQ26-'Dados base'!$G$8))</f>
        <v/>
      </c>
      <c r="AR29" s="116" t="str">
        <f>IF(AR23="","",IF(AR26="",AR23+(AR25+AR24)/2-'Dados base'!$G$8,AR23+AR26-'Dados base'!$G$8))</f>
        <v/>
      </c>
      <c r="AS29" s="116" t="str">
        <f>IF(AS23="","",IF(AS26="",AS23+(AS25+AS24)/2-'Dados base'!$G$8,AS23+AS26-'Dados base'!$G$8))</f>
        <v/>
      </c>
      <c r="AT29" s="116" t="str">
        <f>IF(AT23="","",IF(AT26="",AT23+(AT25+AT24)/2-'Dados base'!$G$8,AT23+AT26-'Dados base'!$G$8))</f>
        <v/>
      </c>
      <c r="AU29" s="116" t="str">
        <f>IF(AU23="","",IF(AU26="",AU23+(AU25+AU24)/2-'Dados base'!$G$8,AU23+AU26-'Dados base'!$G$8))</f>
        <v/>
      </c>
      <c r="AV29" s="116" t="str">
        <f>IF(AV23="","",IF(AV26="",AV23+(AV25+AV24)/2-'Dados base'!$G$8,AV23+AV26-'Dados base'!$G$8))</f>
        <v/>
      </c>
      <c r="AW29" s="116" t="str">
        <f>IF(AW23="","",IF(AW26="",AW23+(AW25+AW24)/2-'Dados base'!$G$8,AW23+AW26-'Dados base'!$G$8))</f>
        <v/>
      </c>
      <c r="AX29" s="116" t="str">
        <f>IF(AX23="","",IF(AX26="",AX23+(AX25+AX24)/2-'Dados base'!$G$8,AX23+AX26-'Dados base'!$G$8))</f>
        <v/>
      </c>
      <c r="AY29" s="116" t="str">
        <f>IF(AY23="","",IF(AY26="",AY23+(AY25+AY24)/2-'Dados base'!$G$8,AY23+AY26-'Dados base'!$G$8))</f>
        <v/>
      </c>
      <c r="AZ29" s="116" t="str">
        <f>IF(AZ23="","",IF(AZ26="",AZ23+(AZ25+AZ24)/2-'Dados base'!$G$8,AZ23+AZ26-'Dados base'!$G$8))</f>
        <v/>
      </c>
    </row>
    <row r="30" spans="1:87" s="90" customFormat="1">
      <c r="A30" s="115" t="s">
        <v>4</v>
      </c>
      <c r="B30" s="116" t="s">
        <v>1</v>
      </c>
      <c r="C30" s="116">
        <f>IF(C23="","",9.8*C27*C29/(3600))</f>
        <v>179624.82697677778</v>
      </c>
      <c r="D30" s="116" t="str">
        <f>IF(D23="","",9.8*D27*D29/(3600))</f>
        <v/>
      </c>
      <c r="E30" s="116" t="str">
        <f t="shared" ref="E30:AZ30" si="1">IF(E23="","",9.8*E27*E29/(3600))</f>
        <v/>
      </c>
      <c r="F30" s="116" t="str">
        <f t="shared" si="1"/>
        <v/>
      </c>
      <c r="G30" s="116" t="str">
        <f t="shared" si="1"/>
        <v/>
      </c>
      <c r="H30" s="116" t="str">
        <f t="shared" si="1"/>
        <v/>
      </c>
      <c r="I30" s="116" t="str">
        <f t="shared" si="1"/>
        <v/>
      </c>
      <c r="J30" s="116" t="str">
        <f t="shared" si="1"/>
        <v/>
      </c>
      <c r="K30" s="116" t="str">
        <f t="shared" si="1"/>
        <v/>
      </c>
      <c r="L30" s="116" t="str">
        <f t="shared" si="1"/>
        <v/>
      </c>
      <c r="M30" s="116" t="str">
        <f t="shared" si="1"/>
        <v/>
      </c>
      <c r="N30" s="116" t="str">
        <f t="shared" si="1"/>
        <v/>
      </c>
      <c r="O30" s="116" t="str">
        <f t="shared" si="1"/>
        <v/>
      </c>
      <c r="P30" s="116" t="str">
        <f t="shared" si="1"/>
        <v/>
      </c>
      <c r="Q30" s="116" t="str">
        <f t="shared" si="1"/>
        <v/>
      </c>
      <c r="R30" s="116" t="str">
        <f t="shared" si="1"/>
        <v/>
      </c>
      <c r="S30" s="116" t="str">
        <f t="shared" si="1"/>
        <v/>
      </c>
      <c r="T30" s="116" t="str">
        <f t="shared" si="1"/>
        <v/>
      </c>
      <c r="U30" s="116" t="str">
        <f t="shared" si="1"/>
        <v/>
      </c>
      <c r="V30" s="116" t="str">
        <f t="shared" si="1"/>
        <v/>
      </c>
      <c r="W30" s="116" t="str">
        <f t="shared" si="1"/>
        <v/>
      </c>
      <c r="X30" s="116" t="str">
        <f t="shared" si="1"/>
        <v/>
      </c>
      <c r="Y30" s="116" t="str">
        <f t="shared" si="1"/>
        <v/>
      </c>
      <c r="Z30" s="116" t="str">
        <f t="shared" si="1"/>
        <v/>
      </c>
      <c r="AA30" s="116" t="str">
        <f t="shared" si="1"/>
        <v/>
      </c>
      <c r="AB30" s="116" t="str">
        <f t="shared" si="1"/>
        <v/>
      </c>
      <c r="AC30" s="116" t="str">
        <f t="shared" si="1"/>
        <v/>
      </c>
      <c r="AD30" s="116" t="str">
        <f t="shared" si="1"/>
        <v/>
      </c>
      <c r="AE30" s="116" t="str">
        <f t="shared" si="1"/>
        <v/>
      </c>
      <c r="AF30" s="116" t="str">
        <f t="shared" si="1"/>
        <v/>
      </c>
      <c r="AG30" s="116" t="str">
        <f t="shared" si="1"/>
        <v/>
      </c>
      <c r="AH30" s="116" t="str">
        <f t="shared" si="1"/>
        <v/>
      </c>
      <c r="AI30" s="116" t="str">
        <f t="shared" si="1"/>
        <v/>
      </c>
      <c r="AJ30" s="116" t="str">
        <f t="shared" si="1"/>
        <v/>
      </c>
      <c r="AK30" s="116" t="str">
        <f t="shared" si="1"/>
        <v/>
      </c>
      <c r="AL30" s="116" t="str">
        <f t="shared" si="1"/>
        <v/>
      </c>
      <c r="AM30" s="116" t="str">
        <f t="shared" si="1"/>
        <v/>
      </c>
      <c r="AN30" s="116" t="str">
        <f t="shared" si="1"/>
        <v/>
      </c>
      <c r="AO30" s="116" t="str">
        <f t="shared" si="1"/>
        <v/>
      </c>
      <c r="AP30" s="116" t="str">
        <f t="shared" si="1"/>
        <v/>
      </c>
      <c r="AQ30" s="116" t="str">
        <f t="shared" si="1"/>
        <v/>
      </c>
      <c r="AR30" s="116" t="str">
        <f t="shared" si="1"/>
        <v/>
      </c>
      <c r="AS30" s="116" t="str">
        <f t="shared" si="1"/>
        <v/>
      </c>
      <c r="AT30" s="116" t="str">
        <f t="shared" si="1"/>
        <v/>
      </c>
      <c r="AU30" s="116" t="str">
        <f t="shared" si="1"/>
        <v/>
      </c>
      <c r="AV30" s="116" t="str">
        <f t="shared" si="1"/>
        <v/>
      </c>
      <c r="AW30" s="116" t="str">
        <f t="shared" si="1"/>
        <v/>
      </c>
      <c r="AX30" s="116" t="str">
        <f t="shared" si="1"/>
        <v/>
      </c>
      <c r="AY30" s="116" t="str">
        <f t="shared" si="1"/>
        <v/>
      </c>
      <c r="AZ30" s="116" t="str">
        <f t="shared" si="1"/>
        <v/>
      </c>
    </row>
    <row r="31" spans="1:87" s="90" customFormat="1">
      <c r="A31" s="191"/>
      <c r="B31" s="187"/>
      <c r="C31" s="192"/>
      <c r="D31" s="192"/>
      <c r="E31" s="192"/>
      <c r="F31" s="192"/>
      <c r="G31" s="192"/>
      <c r="H31" s="192"/>
      <c r="I31" s="192"/>
      <c r="J31" s="192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87" s="90" customFormat="1">
      <c r="A32" s="191"/>
      <c r="B32" s="187"/>
      <c r="C32" s="192"/>
      <c r="D32" s="192"/>
      <c r="E32" s="192"/>
      <c r="F32" s="192"/>
      <c r="G32" s="192"/>
      <c r="H32" s="192"/>
      <c r="I32" s="192"/>
      <c r="J32" s="192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</row>
    <row r="33" spans="1:87">
      <c r="A33" s="102" t="s">
        <v>11</v>
      </c>
      <c r="B33" s="102" t="s">
        <v>1</v>
      </c>
      <c r="C33" s="103">
        <f>SUM(C46:AZ46)</f>
        <v>0</v>
      </c>
      <c r="D33"/>
    </row>
    <row r="34" spans="1:87" ht="17.25">
      <c r="A34" s="102" t="s">
        <v>149</v>
      </c>
      <c r="B34" s="93" t="s">
        <v>29</v>
      </c>
      <c r="C34" s="103">
        <f>SUM(C43:AZ43)</f>
        <v>0</v>
      </c>
      <c r="D34"/>
    </row>
    <row r="35" spans="1:87" s="142" customFormat="1">
      <c r="A35" s="105"/>
      <c r="B35" s="105"/>
    </row>
    <row r="36" spans="1:87" s="142" customFormat="1" ht="30">
      <c r="A36" s="122" t="s">
        <v>155</v>
      </c>
      <c r="B36" s="123" t="s">
        <v>117</v>
      </c>
      <c r="C36" s="141"/>
      <c r="D36" s="141"/>
      <c r="G36" s="318"/>
      <c r="H36" s="318"/>
      <c r="I36" s="313"/>
      <c r="J36" s="313"/>
      <c r="K36" s="313"/>
      <c r="L36" s="313"/>
      <c r="M36" s="313"/>
      <c r="N36" s="313"/>
      <c r="O36" s="313"/>
    </row>
    <row r="37" spans="1:87" s="91" customFormat="1">
      <c r="A37" s="124" t="s">
        <v>129</v>
      </c>
      <c r="B37" s="112" t="s">
        <v>23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</row>
    <row r="38" spans="1:87" s="91" customFormat="1">
      <c r="A38" s="124" t="s">
        <v>127</v>
      </c>
      <c r="B38" s="112" t="s">
        <v>23</v>
      </c>
      <c r="C38" s="62"/>
      <c r="D38" s="62"/>
      <c r="E38" s="319"/>
      <c r="F38" s="319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</row>
    <row r="39" spans="1:87" s="188" customFormat="1">
      <c r="A39" s="124" t="s">
        <v>60</v>
      </c>
      <c r="B39" s="125" t="s">
        <v>2</v>
      </c>
      <c r="C39" s="63"/>
      <c r="D39" s="63"/>
      <c r="E39" s="63"/>
      <c r="F39" s="320"/>
      <c r="G39" s="63"/>
      <c r="H39" s="63"/>
      <c r="I39" s="63"/>
      <c r="J39" s="63"/>
      <c r="K39" s="63"/>
      <c r="L39" s="63"/>
      <c r="M39" s="63"/>
      <c r="N39" s="63"/>
      <c r="O39" s="6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</row>
    <row r="40" spans="1:87" s="188" customFormat="1">
      <c r="A40" s="126" t="s">
        <v>123</v>
      </c>
      <c r="B40" s="125" t="s">
        <v>2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</row>
    <row r="41" spans="1:87" s="189" customFormat="1">
      <c r="A41" s="127" t="s">
        <v>124</v>
      </c>
      <c r="B41" s="128" t="s">
        <v>2</v>
      </c>
      <c r="C41" s="65"/>
      <c r="D41" s="65"/>
      <c r="E41" s="65"/>
      <c r="F41" s="321"/>
      <c r="G41" s="65"/>
      <c r="H41" s="65"/>
      <c r="I41" s="65"/>
      <c r="J41" s="65"/>
      <c r="K41" s="65"/>
      <c r="L41" s="65"/>
      <c r="M41" s="65"/>
      <c r="N41" s="65"/>
      <c r="O41" s="6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</row>
    <row r="42" spans="1:87" s="189" customFormat="1">
      <c r="A42" s="126" t="s">
        <v>125</v>
      </c>
      <c r="B42" s="128" t="s">
        <v>2</v>
      </c>
      <c r="C42" s="143"/>
      <c r="D42" s="144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</row>
    <row r="43" spans="1:87" s="189" customFormat="1" ht="16.5">
      <c r="A43" s="129" t="s">
        <v>61</v>
      </c>
      <c r="B43" s="125" t="s">
        <v>162</v>
      </c>
      <c r="C43" s="322"/>
      <c r="D43" s="322"/>
      <c r="E43" s="322"/>
      <c r="F43" s="322"/>
      <c r="G43" s="322"/>
      <c r="H43" s="322"/>
      <c r="I43" s="323"/>
      <c r="J43" s="323"/>
      <c r="K43" s="323"/>
      <c r="L43" s="323"/>
      <c r="M43" s="323"/>
      <c r="N43" s="323"/>
      <c r="O43" s="323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</row>
    <row r="44" spans="1:87" s="190" customFormat="1">
      <c r="A44" s="115" t="s">
        <v>90</v>
      </c>
      <c r="B44" s="116" t="s">
        <v>2</v>
      </c>
      <c r="C44" s="120" t="str">
        <f>IF(C39="","",C41-C40)</f>
        <v/>
      </c>
      <c r="D44" s="120" t="str">
        <f t="shared" ref="D44:AZ44" si="2">IF(D39="","",D41-D40)</f>
        <v/>
      </c>
      <c r="E44" s="120" t="str">
        <f t="shared" si="2"/>
        <v/>
      </c>
      <c r="F44" s="120" t="str">
        <f t="shared" si="2"/>
        <v/>
      </c>
      <c r="G44" s="120" t="str">
        <f t="shared" si="2"/>
        <v/>
      </c>
      <c r="H44" s="120" t="str">
        <f t="shared" si="2"/>
        <v/>
      </c>
      <c r="I44" s="120" t="str">
        <f t="shared" si="2"/>
        <v/>
      </c>
      <c r="J44" s="120" t="str">
        <f t="shared" si="2"/>
        <v/>
      </c>
      <c r="K44" s="120" t="str">
        <f t="shared" si="2"/>
        <v/>
      </c>
      <c r="L44" s="120" t="str">
        <f t="shared" si="2"/>
        <v/>
      </c>
      <c r="M44" s="120" t="str">
        <f t="shared" si="2"/>
        <v/>
      </c>
      <c r="N44" s="120" t="str">
        <f t="shared" si="2"/>
        <v/>
      </c>
      <c r="O44" s="120" t="str">
        <f t="shared" si="2"/>
        <v/>
      </c>
      <c r="P44" s="120" t="str">
        <f t="shared" si="2"/>
        <v/>
      </c>
      <c r="Q44" s="120" t="str">
        <f t="shared" si="2"/>
        <v/>
      </c>
      <c r="R44" s="120" t="str">
        <f t="shared" si="2"/>
        <v/>
      </c>
      <c r="S44" s="120" t="str">
        <f t="shared" si="2"/>
        <v/>
      </c>
      <c r="T44" s="120" t="str">
        <f t="shared" si="2"/>
        <v/>
      </c>
      <c r="U44" s="120" t="str">
        <f t="shared" si="2"/>
        <v/>
      </c>
      <c r="V44" s="120" t="str">
        <f t="shared" si="2"/>
        <v/>
      </c>
      <c r="W44" s="120" t="str">
        <f t="shared" si="2"/>
        <v/>
      </c>
      <c r="X44" s="120" t="str">
        <f t="shared" si="2"/>
        <v/>
      </c>
      <c r="Y44" s="120" t="str">
        <f t="shared" si="2"/>
        <v/>
      </c>
      <c r="Z44" s="120" t="str">
        <f t="shared" si="2"/>
        <v/>
      </c>
      <c r="AA44" s="120" t="str">
        <f t="shared" si="2"/>
        <v/>
      </c>
      <c r="AB44" s="120" t="str">
        <f t="shared" si="2"/>
        <v/>
      </c>
      <c r="AC44" s="120" t="str">
        <f t="shared" si="2"/>
        <v/>
      </c>
      <c r="AD44" s="120" t="str">
        <f t="shared" si="2"/>
        <v/>
      </c>
      <c r="AE44" s="120" t="str">
        <f t="shared" si="2"/>
        <v/>
      </c>
      <c r="AF44" s="120" t="str">
        <f t="shared" si="2"/>
        <v/>
      </c>
      <c r="AG44" s="120" t="str">
        <f t="shared" si="2"/>
        <v/>
      </c>
      <c r="AH44" s="120" t="str">
        <f t="shared" si="2"/>
        <v/>
      </c>
      <c r="AI44" s="120" t="str">
        <f t="shared" si="2"/>
        <v/>
      </c>
      <c r="AJ44" s="120" t="str">
        <f t="shared" si="2"/>
        <v/>
      </c>
      <c r="AK44" s="120" t="str">
        <f t="shared" si="2"/>
        <v/>
      </c>
      <c r="AL44" s="120" t="str">
        <f t="shared" si="2"/>
        <v/>
      </c>
      <c r="AM44" s="120" t="str">
        <f t="shared" si="2"/>
        <v/>
      </c>
      <c r="AN44" s="120" t="str">
        <f t="shared" si="2"/>
        <v/>
      </c>
      <c r="AO44" s="120" t="str">
        <f t="shared" si="2"/>
        <v/>
      </c>
      <c r="AP44" s="120" t="str">
        <f t="shared" si="2"/>
        <v/>
      </c>
      <c r="AQ44" s="120" t="str">
        <f t="shared" si="2"/>
        <v/>
      </c>
      <c r="AR44" s="120" t="str">
        <f t="shared" si="2"/>
        <v/>
      </c>
      <c r="AS44" s="120" t="str">
        <f t="shared" si="2"/>
        <v/>
      </c>
      <c r="AT44" s="120" t="str">
        <f t="shared" si="2"/>
        <v/>
      </c>
      <c r="AU44" s="120" t="str">
        <f t="shared" si="2"/>
        <v/>
      </c>
      <c r="AV44" s="120" t="str">
        <f t="shared" si="2"/>
        <v/>
      </c>
      <c r="AW44" s="120" t="str">
        <f t="shared" si="2"/>
        <v/>
      </c>
      <c r="AX44" s="120" t="str">
        <f t="shared" si="2"/>
        <v/>
      </c>
      <c r="AY44" s="120" t="str">
        <f t="shared" si="2"/>
        <v/>
      </c>
      <c r="AZ44" s="120" t="str">
        <f t="shared" si="2"/>
        <v/>
      </c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</row>
    <row r="45" spans="1:87" s="90" customFormat="1">
      <c r="A45" s="115" t="s">
        <v>119</v>
      </c>
      <c r="B45" s="116" t="s">
        <v>2</v>
      </c>
      <c r="C45" s="116" t="str">
        <f>IF(C39="","",IF(C42="",C39+(C41+C40)/2-'Dados base'!$G$8,C39+C42-'Dados base'!$G$8))</f>
        <v/>
      </c>
      <c r="D45" s="116" t="str">
        <f>IF(D39="","",IF(D42="",D39+(D41+D40)/2-'Dados base'!$G$8,D39+D42-'Dados base'!$G$8))</f>
        <v/>
      </c>
      <c r="E45" s="116" t="str">
        <f>IF(E39="","",IF(E42="",E39+(E41+E40)/2-'Dados base'!$G$8,E39+E42-'Dados base'!$G$8))</f>
        <v/>
      </c>
      <c r="F45" s="116" t="str">
        <f>IF(F39="","",IF(F42="",F39+(F41+F40)/2-'Dados base'!$G$8,F39+F42-'Dados base'!$G$8))</f>
        <v/>
      </c>
      <c r="G45" s="116" t="str">
        <f>IF(G39="","",IF(G42="",G39+(G41+G40)/2-'Dados base'!$G$8,G39+G42-'Dados base'!$G$8))</f>
        <v/>
      </c>
      <c r="H45" s="116" t="str">
        <f>IF(H39="","",IF(H42="",H39+(H41+H40)/2-'Dados base'!$G$8,H39+H42-'Dados base'!$G$8))</f>
        <v/>
      </c>
      <c r="I45" s="116" t="str">
        <f>IF(I39="","",IF(I42="",I39+(I41+I40)/2-'Dados base'!$G$8,I39+I42-'Dados base'!$G$8))</f>
        <v/>
      </c>
      <c r="J45" s="116" t="str">
        <f>IF(J39="","",IF(J42="",J39+(J41+J40)/2-'Dados base'!$G$8,J39+J42-'Dados base'!$G$8))</f>
        <v/>
      </c>
      <c r="K45" s="116" t="str">
        <f>IF(K39="","",IF(K42="",K39+(K41+K40)/2-'Dados base'!$G$8,K39+K42-'Dados base'!$G$8))</f>
        <v/>
      </c>
      <c r="L45" s="116" t="str">
        <f>IF(L39="","",IF(L42="",L39+(L41+L40)/2-'Dados base'!$G$8,L39+L42-'Dados base'!$G$8))</f>
        <v/>
      </c>
      <c r="M45" s="116" t="str">
        <f>IF(M39="","",IF(M42="",M39+(M41+M40)/2-'Dados base'!$G$8,M39+M42-'Dados base'!$G$8))</f>
        <v/>
      </c>
      <c r="N45" s="116" t="str">
        <f>IF(N39="","",IF(N42="",N39+(N41+N40)/2-'Dados base'!$G$8,N39+N42-'Dados base'!$G$8))</f>
        <v/>
      </c>
      <c r="O45" s="116" t="str">
        <f>IF(O39="","",IF(O42="",O39+(O41+O40)/2-'Dados base'!$G$8,O39+O42-'Dados base'!$G$8))</f>
        <v/>
      </c>
      <c r="P45" s="116" t="str">
        <f>IF(P39="","",IF(P42="",P39+(P41+P40)/2-'Dados base'!$G$8,P39+P42-'Dados base'!$G$8))</f>
        <v/>
      </c>
      <c r="Q45" s="116" t="str">
        <f>IF(Q39="","",IF(Q42="",Q39+(Q41+Q40)/2-'Dados base'!$G$8,Q39+Q42-'Dados base'!$G$8))</f>
        <v/>
      </c>
      <c r="R45" s="116" t="str">
        <f>IF(R39="","",IF(R42="",R39+(R41+R40)/2-'Dados base'!$G$8,R39+R42-'Dados base'!$G$8))</f>
        <v/>
      </c>
      <c r="S45" s="116" t="str">
        <f>IF(S39="","",IF(S42="",S39+(S41+S40)/2-'Dados base'!$G$8,S39+S42-'Dados base'!$G$8))</f>
        <v/>
      </c>
      <c r="T45" s="116" t="str">
        <f>IF(T39="","",IF(T42="",T39+(T41+T40)/2-'Dados base'!$G$8,T39+T42-'Dados base'!$G$8))</f>
        <v/>
      </c>
      <c r="U45" s="116" t="str">
        <f>IF(U39="","",IF(U42="",U39+(U41+U40)/2-'Dados base'!$G$8,U39+U42-'Dados base'!$G$8))</f>
        <v/>
      </c>
      <c r="V45" s="116" t="str">
        <f>IF(V39="","",IF(V42="",V39+(V41+V40)/2-'Dados base'!$G$8,V39+V42-'Dados base'!$G$8))</f>
        <v/>
      </c>
      <c r="W45" s="116" t="str">
        <f>IF(W39="","",IF(W42="",W39+(W41+W40)/2-'Dados base'!$G$8,W39+W42-'Dados base'!$G$8))</f>
        <v/>
      </c>
      <c r="X45" s="116" t="str">
        <f>IF(X39="","",IF(X42="",X39+(X41+X40)/2-'Dados base'!$G$8,X39+X42-'Dados base'!$G$8))</f>
        <v/>
      </c>
      <c r="Y45" s="116" t="str">
        <f>IF(Y39="","",IF(Y42="",Y39+(Y41+Y40)/2-'Dados base'!$G$8,Y39+Y42-'Dados base'!$G$8))</f>
        <v/>
      </c>
      <c r="Z45" s="116" t="str">
        <f>IF(Z39="","",IF(Z42="",Z39+(Z41+Z40)/2-'Dados base'!$G$8,Z39+Z42-'Dados base'!$G$8))</f>
        <v/>
      </c>
      <c r="AA45" s="116" t="str">
        <f>IF(AA39="","",IF(AA42="",AA39+(AA41+AA40)/2-'Dados base'!$G$8,AA39+AA42-'Dados base'!$G$8))</f>
        <v/>
      </c>
      <c r="AB45" s="116" t="str">
        <f>IF(AB39="","",IF(AB42="",AB39+(AB41+AB40)/2-'Dados base'!$G$8,AB39+AB42-'Dados base'!$G$8))</f>
        <v/>
      </c>
      <c r="AC45" s="116" t="str">
        <f>IF(AC39="","",IF(AC42="",AC39+(AC41+AC40)/2-'Dados base'!$G$8,AC39+AC42-'Dados base'!$G$8))</f>
        <v/>
      </c>
      <c r="AD45" s="116" t="str">
        <f>IF(AD39="","",IF(AD42="",AD39+(AD41+AD40)/2-'Dados base'!$G$8,AD39+AD42-'Dados base'!$G$8))</f>
        <v/>
      </c>
      <c r="AE45" s="116" t="str">
        <f>IF(AE39="","",IF(AE42="",AE39+(AE41+AE40)/2-'Dados base'!$G$8,AE39+AE42-'Dados base'!$G$8))</f>
        <v/>
      </c>
      <c r="AF45" s="116" t="str">
        <f>IF(AF39="","",IF(AF42="",AF39+(AF41+AF40)/2-'Dados base'!$G$8,AF39+AF42-'Dados base'!$G$8))</f>
        <v/>
      </c>
      <c r="AG45" s="116" t="str">
        <f>IF(AG39="","",IF(AG42="",AG39+(AG41+AG40)/2-'Dados base'!$G$8,AG39+AG42-'Dados base'!$G$8))</f>
        <v/>
      </c>
      <c r="AH45" s="116" t="str">
        <f>IF(AH39="","",IF(AH42="",AH39+(AH41+AH40)/2-'Dados base'!$G$8,AH39+AH42-'Dados base'!$G$8))</f>
        <v/>
      </c>
      <c r="AI45" s="116" t="str">
        <f>IF(AI39="","",IF(AI42="",AI39+(AI41+AI40)/2-'Dados base'!$G$8,AI39+AI42-'Dados base'!$G$8))</f>
        <v/>
      </c>
      <c r="AJ45" s="116" t="str">
        <f>IF(AJ39="","",IF(AJ42="",AJ39+(AJ41+AJ40)/2-'Dados base'!$G$8,AJ39+AJ42-'Dados base'!$G$8))</f>
        <v/>
      </c>
      <c r="AK45" s="116" t="str">
        <f>IF(AK39="","",IF(AK42="",AK39+(AK41+AK40)/2-'Dados base'!$G$8,AK39+AK42-'Dados base'!$G$8))</f>
        <v/>
      </c>
      <c r="AL45" s="116" t="str">
        <f>IF(AL39="","",IF(AL42="",AL39+(AL41+AL40)/2-'Dados base'!$G$8,AL39+AL42-'Dados base'!$G$8))</f>
        <v/>
      </c>
      <c r="AM45" s="116" t="str">
        <f>IF(AM39="","",IF(AM42="",AM39+(AM41+AM40)/2-'Dados base'!$G$8,AM39+AM42-'Dados base'!$G$8))</f>
        <v/>
      </c>
      <c r="AN45" s="116" t="str">
        <f>IF(AN39="","",IF(AN42="",AN39+(AN41+AN40)/2-'Dados base'!$G$8,AN39+AN42-'Dados base'!$G$8))</f>
        <v/>
      </c>
      <c r="AO45" s="116" t="str">
        <f>IF(AO39="","",IF(AO42="",AO39+(AO41+AO40)/2-'Dados base'!$G$8,AO39+AO42-'Dados base'!$G$8))</f>
        <v/>
      </c>
      <c r="AP45" s="116" t="str">
        <f>IF(AP39="","",IF(AP42="",AP39+(AP41+AP40)/2-'Dados base'!$G$8,AP39+AP42-'Dados base'!$G$8))</f>
        <v/>
      </c>
      <c r="AQ45" s="116" t="str">
        <f>IF(AQ39="","",IF(AQ42="",AQ39+(AQ41+AQ40)/2-'Dados base'!$G$8,AQ39+AQ42-'Dados base'!$G$8))</f>
        <v/>
      </c>
      <c r="AR45" s="116" t="str">
        <f>IF(AR39="","",IF(AR42="",AR39+(AR41+AR40)/2-'Dados base'!$G$8,AR39+AR42-'Dados base'!$G$8))</f>
        <v/>
      </c>
      <c r="AS45" s="116" t="str">
        <f>IF(AS39="","",IF(AS42="",AS39+(AS41+AS40)/2-'Dados base'!$G$8,AS39+AS42-'Dados base'!$G$8))</f>
        <v/>
      </c>
      <c r="AT45" s="116" t="str">
        <f>IF(AT39="","",IF(AT42="",AT39+(AT41+AT40)/2-'Dados base'!$G$8,AT39+AT42-'Dados base'!$G$8))</f>
        <v/>
      </c>
      <c r="AU45" s="116" t="str">
        <f>IF(AU39="","",IF(AU42="",AU39+(AU41+AU40)/2-'Dados base'!$G$8,AU39+AU42-'Dados base'!$G$8))</f>
        <v/>
      </c>
      <c r="AV45" s="116" t="str">
        <f>IF(AV39="","",IF(AV42="",AV39+(AV41+AV40)/2-'Dados base'!$G$8,AV39+AV42-'Dados base'!$G$8))</f>
        <v/>
      </c>
      <c r="AW45" s="116" t="str">
        <f>IF(AW39="","",IF(AW42="",AW39+(AW41+AW40)/2-'Dados base'!$G$8,AW39+AW42-'Dados base'!$G$8))</f>
        <v/>
      </c>
      <c r="AX45" s="116" t="str">
        <f>IF(AX39="","",IF(AX42="",AX39+(AX41+AX40)/2-'Dados base'!$G$8,AX39+AX42-'Dados base'!$G$8))</f>
        <v/>
      </c>
      <c r="AY45" s="116" t="str">
        <f>IF(AY39="","",IF(AY42="",AY39+(AY41+AY40)/2-'Dados base'!$G$8,AY39+AY42-'Dados base'!$G$8))</f>
        <v/>
      </c>
      <c r="AZ45" s="116" t="str">
        <f>IF(AZ39="","",IF(AZ42="",AZ39+(AZ41+AZ40)/2-'Dados base'!$G$8,AZ39+AZ42-'Dados base'!$G$8))</f>
        <v/>
      </c>
    </row>
    <row r="46" spans="1:87" s="90" customFormat="1">
      <c r="A46" s="115" t="s">
        <v>4</v>
      </c>
      <c r="B46" s="116" t="s">
        <v>1</v>
      </c>
      <c r="C46" s="116" t="str">
        <f>IF(C39="","",9.8*C43*C45/(3600))</f>
        <v/>
      </c>
      <c r="D46" s="116" t="str">
        <f>IF(D39="","",9.8*D43*D45/(3600))</f>
        <v/>
      </c>
      <c r="E46" s="116" t="str">
        <f t="shared" ref="E46:AZ46" si="3">IF(E39="","",9.8*E43*E45/(3600))</f>
        <v/>
      </c>
      <c r="F46" s="116" t="str">
        <f t="shared" si="3"/>
        <v/>
      </c>
      <c r="G46" s="116" t="str">
        <f t="shared" si="3"/>
        <v/>
      </c>
      <c r="H46" s="116" t="str">
        <f t="shared" si="3"/>
        <v/>
      </c>
      <c r="I46" s="116" t="str">
        <f t="shared" si="3"/>
        <v/>
      </c>
      <c r="J46" s="116" t="str">
        <f t="shared" si="3"/>
        <v/>
      </c>
      <c r="K46" s="116" t="str">
        <f t="shared" si="3"/>
        <v/>
      </c>
      <c r="L46" s="116" t="str">
        <f t="shared" si="3"/>
        <v/>
      </c>
      <c r="M46" s="116" t="str">
        <f t="shared" si="3"/>
        <v/>
      </c>
      <c r="N46" s="116" t="str">
        <f t="shared" si="3"/>
        <v/>
      </c>
      <c r="O46" s="116" t="str">
        <f t="shared" si="3"/>
        <v/>
      </c>
      <c r="P46" s="116" t="str">
        <f t="shared" si="3"/>
        <v/>
      </c>
      <c r="Q46" s="116" t="str">
        <f t="shared" si="3"/>
        <v/>
      </c>
      <c r="R46" s="116" t="str">
        <f t="shared" si="3"/>
        <v/>
      </c>
      <c r="S46" s="116" t="str">
        <f t="shared" si="3"/>
        <v/>
      </c>
      <c r="T46" s="116" t="str">
        <f t="shared" si="3"/>
        <v/>
      </c>
      <c r="U46" s="116" t="str">
        <f t="shared" si="3"/>
        <v/>
      </c>
      <c r="V46" s="116" t="str">
        <f t="shared" si="3"/>
        <v/>
      </c>
      <c r="W46" s="116" t="str">
        <f t="shared" si="3"/>
        <v/>
      </c>
      <c r="X46" s="116" t="str">
        <f t="shared" si="3"/>
        <v/>
      </c>
      <c r="Y46" s="116" t="str">
        <f t="shared" si="3"/>
        <v/>
      </c>
      <c r="Z46" s="116" t="str">
        <f t="shared" si="3"/>
        <v/>
      </c>
      <c r="AA46" s="116" t="str">
        <f t="shared" si="3"/>
        <v/>
      </c>
      <c r="AB46" s="116" t="str">
        <f t="shared" si="3"/>
        <v/>
      </c>
      <c r="AC46" s="116" t="str">
        <f t="shared" si="3"/>
        <v/>
      </c>
      <c r="AD46" s="116" t="str">
        <f t="shared" si="3"/>
        <v/>
      </c>
      <c r="AE46" s="116" t="str">
        <f t="shared" si="3"/>
        <v/>
      </c>
      <c r="AF46" s="116" t="str">
        <f t="shared" si="3"/>
        <v/>
      </c>
      <c r="AG46" s="116" t="str">
        <f t="shared" si="3"/>
        <v/>
      </c>
      <c r="AH46" s="116" t="str">
        <f t="shared" si="3"/>
        <v/>
      </c>
      <c r="AI46" s="116" t="str">
        <f t="shared" si="3"/>
        <v/>
      </c>
      <c r="AJ46" s="116" t="str">
        <f t="shared" si="3"/>
        <v/>
      </c>
      <c r="AK46" s="116" t="str">
        <f t="shared" si="3"/>
        <v/>
      </c>
      <c r="AL46" s="116" t="str">
        <f t="shared" si="3"/>
        <v/>
      </c>
      <c r="AM46" s="116" t="str">
        <f t="shared" si="3"/>
        <v/>
      </c>
      <c r="AN46" s="116" t="str">
        <f t="shared" si="3"/>
        <v/>
      </c>
      <c r="AO46" s="116" t="str">
        <f t="shared" si="3"/>
        <v/>
      </c>
      <c r="AP46" s="116" t="str">
        <f t="shared" si="3"/>
        <v/>
      </c>
      <c r="AQ46" s="116" t="str">
        <f t="shared" si="3"/>
        <v/>
      </c>
      <c r="AR46" s="116" t="str">
        <f t="shared" si="3"/>
        <v/>
      </c>
      <c r="AS46" s="116" t="str">
        <f t="shared" si="3"/>
        <v/>
      </c>
      <c r="AT46" s="116" t="str">
        <f t="shared" si="3"/>
        <v/>
      </c>
      <c r="AU46" s="116" t="str">
        <f t="shared" si="3"/>
        <v/>
      </c>
      <c r="AV46" s="116" t="str">
        <f t="shared" si="3"/>
        <v/>
      </c>
      <c r="AW46" s="116" t="str">
        <f t="shared" si="3"/>
        <v/>
      </c>
      <c r="AX46" s="116" t="str">
        <f t="shared" si="3"/>
        <v/>
      </c>
      <c r="AY46" s="116" t="str">
        <f t="shared" si="3"/>
        <v/>
      </c>
      <c r="AZ46" s="116" t="str">
        <f t="shared" si="3"/>
        <v/>
      </c>
    </row>
    <row r="47" spans="1:87" s="90" customFormat="1">
      <c r="A47" s="191"/>
      <c r="B47" s="187"/>
      <c r="C47" s="192"/>
      <c r="D47" s="192"/>
      <c r="E47" s="192"/>
      <c r="F47" s="192"/>
      <c r="G47" s="192"/>
      <c r="H47" s="192"/>
      <c r="I47" s="192"/>
      <c r="J47" s="192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</row>
    <row r="48" spans="1:87" s="90" customFormat="1">
      <c r="A48" s="191"/>
      <c r="B48" s="187"/>
      <c r="C48" s="192"/>
      <c r="D48" s="192"/>
      <c r="E48" s="192"/>
      <c r="F48" s="192"/>
      <c r="G48" s="192"/>
      <c r="H48" s="192"/>
      <c r="I48" s="192"/>
      <c r="J48" s="192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</row>
    <row r="49" spans="1:87">
      <c r="A49" s="102" t="s">
        <v>208</v>
      </c>
      <c r="B49" s="102" t="s">
        <v>1</v>
      </c>
      <c r="C49" s="103">
        <f>SUM(C68:AZ68)</f>
        <v>192524</v>
      </c>
    </row>
    <row r="50" spans="1:87">
      <c r="A50" s="102" t="s">
        <v>274</v>
      </c>
      <c r="B50" s="102" t="s">
        <v>1</v>
      </c>
      <c r="C50" s="103">
        <f>IF(C69:AZ69&lt;0,0,SUM(C69:AZ69))</f>
        <v>0</v>
      </c>
    </row>
    <row r="51" spans="1:87">
      <c r="A51" s="102" t="s">
        <v>260</v>
      </c>
      <c r="B51" s="102" t="s">
        <v>1</v>
      </c>
      <c r="C51" s="103">
        <f>SUM(C72:AZ72)</f>
        <v>97354.972166666674</v>
      </c>
    </row>
    <row r="52" spans="1:87">
      <c r="A52" s="102" t="s">
        <v>141</v>
      </c>
      <c r="B52" s="102" t="s">
        <v>1</v>
      </c>
      <c r="C52" s="103">
        <f>SUM(C74:AZ74)</f>
        <v>122400.5791111111</v>
      </c>
    </row>
    <row r="53" spans="1:87" ht="17.25">
      <c r="A53" s="102" t="s">
        <v>189</v>
      </c>
      <c r="B53" s="93" t="s">
        <v>27</v>
      </c>
      <c r="C53" s="130">
        <f>SUM(C68:AZ68)/SUM(C75:AZ75)</f>
        <v>0.53833214621425896</v>
      </c>
    </row>
    <row r="54" spans="1:87" ht="17.25">
      <c r="A54" s="102" t="s">
        <v>150</v>
      </c>
      <c r="B54" s="93" t="s">
        <v>29</v>
      </c>
      <c r="C54" s="103">
        <f>SUM(C77:AZ77)</f>
        <v>0</v>
      </c>
    </row>
    <row r="55" spans="1:87" ht="17.25">
      <c r="A55" s="102" t="s">
        <v>284</v>
      </c>
      <c r="B55" s="93" t="s">
        <v>285</v>
      </c>
      <c r="C55" s="103">
        <f>SUM(C75:AZ75)</f>
        <v>357630.51</v>
      </c>
    </row>
    <row r="56" spans="1:87" s="142" customFormat="1"/>
    <row r="57" spans="1:87">
      <c r="A57" s="106" t="s">
        <v>152</v>
      </c>
      <c r="B57" s="107" t="s">
        <v>117</v>
      </c>
      <c r="C57" s="346"/>
      <c r="D57" s="346"/>
      <c r="E57" s="346"/>
      <c r="F57" s="346"/>
      <c r="G57" s="313"/>
    </row>
    <row r="58" spans="1:87" s="193" customFormat="1">
      <c r="A58" s="131" t="s">
        <v>130</v>
      </c>
      <c r="B58" s="107" t="s">
        <v>23</v>
      </c>
      <c r="C58" s="345" t="s">
        <v>300</v>
      </c>
      <c r="D58" s="345" t="s">
        <v>300</v>
      </c>
      <c r="E58" s="345" t="s">
        <v>300</v>
      </c>
      <c r="F58" s="345" t="s">
        <v>300</v>
      </c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291"/>
      <c r="BB58" s="291"/>
      <c r="BC58" s="291"/>
      <c r="BD58" s="291"/>
      <c r="BE58" s="291"/>
      <c r="BF58" s="291"/>
      <c r="BG58" s="291"/>
      <c r="BH58" s="291"/>
      <c r="BI58" s="291"/>
      <c r="BJ58" s="291"/>
      <c r="BK58" s="291"/>
      <c r="BL58" s="291"/>
      <c r="BM58" s="291"/>
      <c r="BN58" s="291"/>
      <c r="BO58" s="291"/>
      <c r="BP58" s="291"/>
      <c r="BQ58" s="291"/>
      <c r="BR58" s="291"/>
      <c r="BS58" s="291"/>
      <c r="BT58" s="291"/>
      <c r="BU58" s="291"/>
      <c r="BV58" s="291"/>
      <c r="BW58" s="291"/>
      <c r="BX58" s="291"/>
      <c r="BY58" s="291"/>
      <c r="BZ58" s="291"/>
      <c r="CA58" s="291"/>
      <c r="CB58" s="291"/>
      <c r="CC58" s="291"/>
      <c r="CD58" s="291"/>
      <c r="CE58" s="291"/>
      <c r="CF58" s="291"/>
      <c r="CG58" s="291"/>
      <c r="CH58" s="291"/>
      <c r="CI58" s="291"/>
    </row>
    <row r="59" spans="1:87" s="193" customFormat="1">
      <c r="A59" s="131" t="s">
        <v>131</v>
      </c>
      <c r="B59" s="107" t="s">
        <v>23</v>
      </c>
      <c r="C59" s="33" t="s">
        <v>301</v>
      </c>
      <c r="D59" s="33" t="s">
        <v>302</v>
      </c>
      <c r="E59" s="33" t="s">
        <v>303</v>
      </c>
      <c r="F59" s="33" t="s">
        <v>304</v>
      </c>
      <c r="G59" s="140"/>
      <c r="H59" s="29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8"/>
      <c r="Y59" s="37"/>
      <c r="Z59" s="37"/>
      <c r="AA59" s="38"/>
      <c r="AB59" s="37"/>
      <c r="AC59" s="38"/>
      <c r="AD59" s="37"/>
      <c r="AE59" s="37"/>
      <c r="AF59" s="37"/>
      <c r="AG59" s="289"/>
      <c r="AH59" s="289"/>
      <c r="AI59" s="289"/>
      <c r="AJ59" s="290"/>
      <c r="AK59" s="289"/>
      <c r="AL59" s="289"/>
      <c r="AM59" s="290"/>
      <c r="AN59" s="289"/>
      <c r="AO59" s="289"/>
      <c r="AP59" s="289"/>
      <c r="AQ59" s="289"/>
      <c r="AR59" s="289"/>
      <c r="AS59" s="289"/>
      <c r="AT59" s="289"/>
      <c r="AU59" s="33"/>
      <c r="AV59" s="33"/>
      <c r="AW59" s="33"/>
      <c r="AX59" s="33"/>
      <c r="AY59" s="33"/>
      <c r="AZ59" s="33"/>
      <c r="BA59" s="291"/>
      <c r="BB59" s="291"/>
      <c r="BC59" s="291"/>
      <c r="BD59" s="291"/>
      <c r="BE59" s="291"/>
      <c r="BF59" s="291"/>
      <c r="BG59" s="291"/>
      <c r="BH59" s="291"/>
      <c r="BI59" s="291"/>
      <c r="BJ59" s="291"/>
      <c r="BK59" s="291"/>
      <c r="BL59" s="291"/>
      <c r="BM59" s="291"/>
      <c r="BN59" s="291"/>
      <c r="BO59" s="291"/>
      <c r="BP59" s="291"/>
      <c r="BQ59" s="291"/>
      <c r="BR59" s="291"/>
      <c r="BS59" s="291"/>
      <c r="BT59" s="291"/>
      <c r="BU59" s="291"/>
      <c r="BV59" s="291"/>
      <c r="BW59" s="291"/>
      <c r="BX59" s="291"/>
      <c r="BY59" s="291"/>
      <c r="BZ59" s="291"/>
      <c r="CA59" s="291"/>
      <c r="CB59" s="291"/>
      <c r="CC59" s="291"/>
      <c r="CD59" s="291"/>
      <c r="CE59" s="291"/>
      <c r="CF59" s="291"/>
      <c r="CG59" s="291"/>
      <c r="CH59" s="291"/>
      <c r="CI59" s="291"/>
    </row>
    <row r="60" spans="1:87" s="193" customFormat="1">
      <c r="A60" s="131" t="s">
        <v>132</v>
      </c>
      <c r="B60" s="107"/>
      <c r="C60" s="33" t="s">
        <v>135</v>
      </c>
      <c r="D60" s="33" t="s">
        <v>135</v>
      </c>
      <c r="E60" s="33" t="s">
        <v>135</v>
      </c>
      <c r="F60" s="33" t="s">
        <v>135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291"/>
      <c r="BB60" s="291"/>
      <c r="BC60" s="291"/>
      <c r="BD60" s="291"/>
      <c r="BE60" s="291"/>
      <c r="BF60" s="291"/>
      <c r="BG60" s="291"/>
      <c r="BH60" s="291"/>
      <c r="BI60" s="291"/>
      <c r="BJ60" s="291"/>
      <c r="BK60" s="291"/>
      <c r="BL60" s="291"/>
      <c r="BM60" s="291"/>
      <c r="BN60" s="291"/>
      <c r="BO60" s="291"/>
      <c r="BP60" s="291"/>
      <c r="BQ60" s="291"/>
      <c r="BR60" s="291"/>
      <c r="BS60" s="291"/>
      <c r="BT60" s="291"/>
      <c r="BU60" s="291"/>
      <c r="BV60" s="291"/>
      <c r="BW60" s="291"/>
      <c r="BX60" s="291"/>
      <c r="BY60" s="291"/>
      <c r="BZ60" s="291"/>
      <c r="CA60" s="291"/>
      <c r="CB60" s="291"/>
      <c r="CC60" s="291"/>
      <c r="CD60" s="291"/>
      <c r="CE60" s="291"/>
      <c r="CF60" s="291"/>
      <c r="CG60" s="291"/>
      <c r="CH60" s="291"/>
      <c r="CI60" s="291"/>
    </row>
    <row r="61" spans="1:87" s="193" customFormat="1">
      <c r="A61" s="131" t="s">
        <v>133</v>
      </c>
      <c r="B61" s="132" t="s">
        <v>23</v>
      </c>
      <c r="C61" s="47" t="s">
        <v>263</v>
      </c>
      <c r="D61" s="47" t="s">
        <v>263</v>
      </c>
      <c r="E61" s="47" t="s">
        <v>263</v>
      </c>
      <c r="F61" s="47" t="s">
        <v>263</v>
      </c>
      <c r="G61" s="33"/>
      <c r="H61" s="33"/>
      <c r="I61" s="33"/>
      <c r="J61" s="33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8"/>
      <c r="Y61" s="37"/>
      <c r="Z61" s="37"/>
      <c r="AA61" s="38"/>
      <c r="AB61" s="37"/>
      <c r="AC61" s="38"/>
      <c r="AD61" s="37"/>
      <c r="AE61" s="37"/>
      <c r="AF61" s="37"/>
      <c r="AG61" s="37"/>
      <c r="AH61" s="37"/>
      <c r="AI61" s="37"/>
      <c r="AJ61" s="38"/>
      <c r="AK61" s="37"/>
      <c r="AL61" s="37"/>
      <c r="AM61" s="38"/>
      <c r="AN61" s="37"/>
      <c r="AO61" s="37"/>
      <c r="AP61" s="37"/>
      <c r="AQ61" s="37"/>
      <c r="AR61" s="37"/>
      <c r="AS61" s="37"/>
      <c r="AT61" s="37"/>
      <c r="AU61" s="33"/>
      <c r="AV61" s="33"/>
      <c r="AW61" s="33"/>
      <c r="AX61" s="33"/>
      <c r="AY61" s="33"/>
      <c r="AZ61" s="33"/>
      <c r="BA61" s="291"/>
      <c r="BB61" s="291"/>
      <c r="BC61" s="291"/>
      <c r="BD61" s="291"/>
      <c r="BE61" s="291"/>
      <c r="BF61" s="291"/>
      <c r="BG61" s="291"/>
      <c r="BH61" s="291"/>
      <c r="BI61" s="291"/>
      <c r="BJ61" s="291"/>
      <c r="BK61" s="291"/>
      <c r="BL61" s="291"/>
      <c r="BM61" s="291"/>
      <c r="BN61" s="291"/>
      <c r="BO61" s="291"/>
      <c r="BP61" s="291"/>
      <c r="BQ61" s="291"/>
      <c r="BR61" s="291"/>
      <c r="BS61" s="291"/>
      <c r="BT61" s="291"/>
      <c r="BU61" s="291"/>
      <c r="BV61" s="291"/>
      <c r="BW61" s="291"/>
      <c r="BX61" s="291"/>
      <c r="BY61" s="291"/>
      <c r="BZ61" s="291"/>
      <c r="CA61" s="291"/>
      <c r="CB61" s="291"/>
      <c r="CC61" s="291"/>
      <c r="CD61" s="291"/>
      <c r="CE61" s="291"/>
      <c r="CF61" s="291"/>
      <c r="CG61" s="291"/>
      <c r="CH61" s="291"/>
      <c r="CI61" s="291"/>
    </row>
    <row r="62" spans="1:87" s="193" customFormat="1">
      <c r="A62" s="131" t="s">
        <v>134</v>
      </c>
      <c r="B62" s="132" t="s">
        <v>2</v>
      </c>
      <c r="C62" s="32">
        <v>40.619999999999997</v>
      </c>
      <c r="D62" s="32">
        <v>39.43</v>
      </c>
      <c r="E62" s="32">
        <v>39.15</v>
      </c>
      <c r="F62" s="32">
        <v>39.15</v>
      </c>
      <c r="G62" s="314"/>
      <c r="H62" s="32"/>
      <c r="I62" s="32"/>
      <c r="J62" s="32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8"/>
      <c r="Y62" s="37"/>
      <c r="Z62" s="37"/>
      <c r="AA62" s="38"/>
      <c r="AB62" s="37"/>
      <c r="AC62" s="38"/>
      <c r="AD62" s="37"/>
      <c r="AE62" s="37"/>
      <c r="AF62" s="37"/>
      <c r="AG62" s="289"/>
      <c r="AH62" s="289"/>
      <c r="AI62" s="289"/>
      <c r="AJ62" s="290"/>
      <c r="AK62" s="289"/>
      <c r="AL62" s="289"/>
      <c r="AM62" s="290"/>
      <c r="AN62" s="289"/>
      <c r="AO62" s="289"/>
      <c r="AP62" s="289"/>
      <c r="AQ62" s="289"/>
      <c r="AR62" s="289"/>
      <c r="AS62" s="289"/>
      <c r="AT62" s="289"/>
      <c r="AU62" s="33"/>
      <c r="AV62" s="33"/>
      <c r="AW62" s="33"/>
      <c r="AX62" s="33"/>
      <c r="AY62" s="33"/>
      <c r="AZ62" s="33"/>
      <c r="BA62" s="291"/>
      <c r="BB62" s="291"/>
      <c r="BC62" s="291"/>
      <c r="BD62" s="291"/>
      <c r="BE62" s="291"/>
      <c r="BF62" s="291"/>
      <c r="BG62" s="291"/>
      <c r="BH62" s="291"/>
      <c r="BI62" s="291"/>
      <c r="BJ62" s="291"/>
      <c r="BK62" s="291"/>
      <c r="BL62" s="291"/>
      <c r="BM62" s="291"/>
      <c r="BN62" s="291"/>
      <c r="BO62" s="291"/>
      <c r="BP62" s="291"/>
      <c r="BQ62" s="291"/>
      <c r="BR62" s="291"/>
      <c r="BS62" s="291"/>
      <c r="BT62" s="291"/>
      <c r="BU62" s="291"/>
      <c r="BV62" s="291"/>
      <c r="BW62" s="291"/>
      <c r="BX62" s="291"/>
      <c r="BY62" s="291"/>
      <c r="BZ62" s="291"/>
      <c r="CA62" s="291"/>
      <c r="CB62" s="291"/>
      <c r="CC62" s="291"/>
      <c r="CD62" s="291"/>
      <c r="CE62" s="291"/>
      <c r="CF62" s="291"/>
      <c r="CG62" s="291"/>
      <c r="CH62" s="291"/>
      <c r="CI62" s="291"/>
    </row>
    <row r="63" spans="1:87" s="193" customFormat="1">
      <c r="A63" s="131" t="s">
        <v>205</v>
      </c>
      <c r="B63" s="132" t="s">
        <v>58</v>
      </c>
      <c r="C63" s="343">
        <f>$C$23+$C$26-C62</f>
        <v>2.777000000000001</v>
      </c>
      <c r="D63" s="343">
        <f>$C$23+$C$26-D62</f>
        <v>3.9669999999999987</v>
      </c>
      <c r="E63" s="343">
        <f>$C$23+$C$26-E62</f>
        <v>4.2469999999999999</v>
      </c>
      <c r="F63" s="343">
        <f>$C$23+$C$26-F62</f>
        <v>4.2469999999999999</v>
      </c>
      <c r="G63" s="315"/>
      <c r="H63" s="33"/>
      <c r="I63" s="33"/>
      <c r="J63" s="33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8"/>
      <c r="Y63" s="37"/>
      <c r="Z63" s="37"/>
      <c r="AA63" s="38"/>
      <c r="AB63" s="37"/>
      <c r="AC63" s="38"/>
      <c r="AD63" s="37"/>
      <c r="AE63" s="37"/>
      <c r="AF63" s="37"/>
      <c r="AG63" s="289"/>
      <c r="AH63" s="289"/>
      <c r="AI63" s="289"/>
      <c r="AJ63" s="290"/>
      <c r="AK63" s="289"/>
      <c r="AL63" s="289"/>
      <c r="AM63" s="290"/>
      <c r="AN63" s="289"/>
      <c r="AO63" s="289"/>
      <c r="AP63" s="289"/>
      <c r="AQ63" s="289"/>
      <c r="AR63" s="289"/>
      <c r="AS63" s="289"/>
      <c r="AT63" s="289"/>
      <c r="AU63" s="33"/>
      <c r="AV63" s="33"/>
      <c r="AW63" s="33"/>
      <c r="AX63" s="33"/>
      <c r="AY63" s="33"/>
      <c r="AZ63" s="33"/>
      <c r="BA63" s="291"/>
      <c r="BB63" s="291"/>
      <c r="BC63" s="291"/>
      <c r="BD63" s="291"/>
      <c r="BE63" s="291"/>
      <c r="BF63" s="291"/>
      <c r="BG63" s="291"/>
      <c r="BH63" s="291"/>
      <c r="BI63" s="291"/>
      <c r="BJ63" s="291"/>
      <c r="BK63" s="291"/>
      <c r="BL63" s="291"/>
      <c r="BM63" s="291"/>
      <c r="BN63" s="291"/>
      <c r="BO63" s="291"/>
      <c r="BP63" s="291"/>
      <c r="BQ63" s="291"/>
      <c r="BR63" s="291"/>
      <c r="BS63" s="291"/>
      <c r="BT63" s="291"/>
      <c r="BU63" s="291"/>
      <c r="BV63" s="291"/>
      <c r="BW63" s="291"/>
      <c r="BX63" s="291"/>
      <c r="BY63" s="291"/>
      <c r="BZ63" s="291"/>
      <c r="CA63" s="291"/>
      <c r="CB63" s="291"/>
      <c r="CC63" s="291"/>
      <c r="CD63" s="291"/>
      <c r="CE63" s="291"/>
      <c r="CF63" s="291"/>
      <c r="CG63" s="291"/>
      <c r="CH63" s="291"/>
      <c r="CI63" s="291"/>
    </row>
    <row r="64" spans="1:87" s="193" customFormat="1">
      <c r="A64" s="133" t="s">
        <v>182</v>
      </c>
      <c r="B64" s="132" t="s">
        <v>58</v>
      </c>
      <c r="C64" s="34">
        <v>24.777000000000001</v>
      </c>
      <c r="D64" s="34">
        <v>28.966999999999999</v>
      </c>
      <c r="E64" s="34">
        <v>44.247</v>
      </c>
      <c r="F64" s="34">
        <v>30.247</v>
      </c>
      <c r="G64" s="315"/>
      <c r="H64" s="33"/>
      <c r="I64" s="292"/>
      <c r="J64" s="292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89"/>
      <c r="W64" s="289"/>
      <c r="X64" s="290"/>
      <c r="Y64" s="289"/>
      <c r="Z64" s="289"/>
      <c r="AA64" s="290"/>
      <c r="AB64" s="289"/>
      <c r="AC64" s="290"/>
      <c r="AD64" s="289"/>
      <c r="AE64" s="289"/>
      <c r="AF64" s="289"/>
      <c r="AG64" s="289"/>
      <c r="AH64" s="289"/>
      <c r="AI64" s="289"/>
      <c r="AJ64" s="290"/>
      <c r="AK64" s="289"/>
      <c r="AL64" s="289"/>
      <c r="AM64" s="290"/>
      <c r="AN64" s="289"/>
      <c r="AO64" s="289"/>
      <c r="AP64" s="289"/>
      <c r="AQ64" s="289"/>
      <c r="AR64" s="289"/>
      <c r="AS64" s="289"/>
      <c r="AT64" s="289"/>
      <c r="AU64" s="33"/>
      <c r="AV64" s="33"/>
      <c r="AW64" s="33"/>
      <c r="AX64" s="33"/>
      <c r="AY64" s="33"/>
      <c r="AZ64" s="33"/>
      <c r="BA64" s="291"/>
      <c r="BB64" s="291"/>
      <c r="BC64" s="291"/>
      <c r="BD64" s="291"/>
      <c r="BE64" s="291"/>
      <c r="BF64" s="291"/>
      <c r="BG64" s="291"/>
      <c r="BH64" s="291"/>
      <c r="BI64" s="291"/>
      <c r="BJ64" s="291"/>
      <c r="BK64" s="291"/>
      <c r="BL64" s="291"/>
      <c r="BM64" s="291"/>
      <c r="BN64" s="291"/>
      <c r="BO64" s="291"/>
      <c r="BP64" s="291"/>
      <c r="BQ64" s="291"/>
      <c r="BR64" s="291"/>
      <c r="BS64" s="291"/>
      <c r="BT64" s="291"/>
      <c r="BU64" s="291"/>
      <c r="BV64" s="291"/>
      <c r="BW64" s="291"/>
      <c r="BX64" s="291"/>
      <c r="BY64" s="291"/>
      <c r="BZ64" s="291"/>
      <c r="CA64" s="291"/>
      <c r="CB64" s="291"/>
      <c r="CC64" s="291"/>
      <c r="CD64" s="291"/>
      <c r="CE64" s="291"/>
      <c r="CF64" s="291"/>
      <c r="CG64" s="291"/>
      <c r="CH64" s="291"/>
      <c r="CI64" s="291"/>
    </row>
    <row r="65" spans="1:87" s="193" customFormat="1">
      <c r="A65" s="135" t="s">
        <v>258</v>
      </c>
      <c r="B65" s="116" t="s">
        <v>58</v>
      </c>
      <c r="C65" s="116">
        <f>IF(C64="","",IF(C63&lt;0,-C63+C64,IF(C64-C63&lt;0,"Rever Pm, Pj",C64-C63)))</f>
        <v>22</v>
      </c>
      <c r="D65" s="116">
        <f t="shared" ref="D65:AZ65" si="4">IF(D64="","",IF(D63&lt;0,-D63+D64,IF(D64-D63&lt;0,"Rever Pm, Pj",D64-D63)))</f>
        <v>25</v>
      </c>
      <c r="E65" s="116">
        <f t="shared" si="4"/>
        <v>40</v>
      </c>
      <c r="F65" s="116">
        <f t="shared" si="4"/>
        <v>26</v>
      </c>
      <c r="G65" s="116" t="str">
        <f t="shared" si="4"/>
        <v/>
      </c>
      <c r="H65" s="116" t="str">
        <f t="shared" si="4"/>
        <v/>
      </c>
      <c r="I65" s="116" t="str">
        <f t="shared" si="4"/>
        <v/>
      </c>
      <c r="J65" s="116" t="str">
        <f t="shared" si="4"/>
        <v/>
      </c>
      <c r="K65" s="116" t="str">
        <f t="shared" si="4"/>
        <v/>
      </c>
      <c r="L65" s="116" t="str">
        <f t="shared" si="4"/>
        <v/>
      </c>
      <c r="M65" s="116" t="str">
        <f t="shared" si="4"/>
        <v/>
      </c>
      <c r="N65" s="116" t="str">
        <f t="shared" si="4"/>
        <v/>
      </c>
      <c r="O65" s="116" t="str">
        <f t="shared" si="4"/>
        <v/>
      </c>
      <c r="P65" s="116" t="str">
        <f t="shared" si="4"/>
        <v/>
      </c>
      <c r="Q65" s="116" t="str">
        <f t="shared" si="4"/>
        <v/>
      </c>
      <c r="R65" s="116" t="str">
        <f t="shared" si="4"/>
        <v/>
      </c>
      <c r="S65" s="116" t="str">
        <f t="shared" si="4"/>
        <v/>
      </c>
      <c r="T65" s="116" t="str">
        <f t="shared" si="4"/>
        <v/>
      </c>
      <c r="U65" s="116" t="str">
        <f t="shared" si="4"/>
        <v/>
      </c>
      <c r="V65" s="116" t="str">
        <f t="shared" si="4"/>
        <v/>
      </c>
      <c r="W65" s="116" t="str">
        <f t="shared" si="4"/>
        <v/>
      </c>
      <c r="X65" s="116" t="str">
        <f t="shared" si="4"/>
        <v/>
      </c>
      <c r="Y65" s="116" t="str">
        <f t="shared" si="4"/>
        <v/>
      </c>
      <c r="Z65" s="116" t="str">
        <f t="shared" si="4"/>
        <v/>
      </c>
      <c r="AA65" s="116" t="str">
        <f t="shared" si="4"/>
        <v/>
      </c>
      <c r="AB65" s="116" t="str">
        <f t="shared" si="4"/>
        <v/>
      </c>
      <c r="AC65" s="116" t="str">
        <f t="shared" si="4"/>
        <v/>
      </c>
      <c r="AD65" s="116" t="str">
        <f t="shared" si="4"/>
        <v/>
      </c>
      <c r="AE65" s="116" t="str">
        <f t="shared" si="4"/>
        <v/>
      </c>
      <c r="AF65" s="116" t="str">
        <f t="shared" si="4"/>
        <v/>
      </c>
      <c r="AG65" s="116" t="str">
        <f t="shared" si="4"/>
        <v/>
      </c>
      <c r="AH65" s="116" t="str">
        <f t="shared" si="4"/>
        <v/>
      </c>
      <c r="AI65" s="116" t="str">
        <f t="shared" si="4"/>
        <v/>
      </c>
      <c r="AJ65" s="116" t="str">
        <f t="shared" si="4"/>
        <v/>
      </c>
      <c r="AK65" s="116" t="str">
        <f t="shared" si="4"/>
        <v/>
      </c>
      <c r="AL65" s="116" t="str">
        <f t="shared" si="4"/>
        <v/>
      </c>
      <c r="AM65" s="116" t="str">
        <f t="shared" si="4"/>
        <v/>
      </c>
      <c r="AN65" s="116" t="str">
        <f t="shared" si="4"/>
        <v/>
      </c>
      <c r="AO65" s="116" t="str">
        <f t="shared" si="4"/>
        <v/>
      </c>
      <c r="AP65" s="116" t="str">
        <f t="shared" si="4"/>
        <v/>
      </c>
      <c r="AQ65" s="116" t="str">
        <f t="shared" si="4"/>
        <v/>
      </c>
      <c r="AR65" s="116" t="str">
        <f t="shared" si="4"/>
        <v/>
      </c>
      <c r="AS65" s="116" t="str">
        <f t="shared" si="4"/>
        <v/>
      </c>
      <c r="AT65" s="116" t="str">
        <f t="shared" si="4"/>
        <v/>
      </c>
      <c r="AU65" s="116" t="str">
        <f t="shared" si="4"/>
        <v/>
      </c>
      <c r="AV65" s="116" t="str">
        <f t="shared" si="4"/>
        <v/>
      </c>
      <c r="AW65" s="116" t="str">
        <f t="shared" si="4"/>
        <v/>
      </c>
      <c r="AX65" s="116" t="str">
        <f t="shared" si="4"/>
        <v/>
      </c>
      <c r="AY65" s="116" t="str">
        <f t="shared" si="4"/>
        <v/>
      </c>
      <c r="AZ65" s="116" t="str">
        <f t="shared" si="4"/>
        <v/>
      </c>
      <c r="BA65" s="291"/>
      <c r="BB65" s="291"/>
      <c r="BC65" s="291"/>
      <c r="BD65" s="291"/>
      <c r="BE65" s="291"/>
      <c r="BF65" s="291"/>
      <c r="BG65" s="291"/>
      <c r="BH65" s="291"/>
      <c r="BI65" s="291"/>
      <c r="BJ65" s="291"/>
      <c r="BK65" s="291"/>
      <c r="BL65" s="291"/>
      <c r="BM65" s="291"/>
      <c r="BN65" s="291"/>
      <c r="BO65" s="291"/>
      <c r="BP65" s="291"/>
      <c r="BQ65" s="291"/>
      <c r="BR65" s="291"/>
      <c r="BS65" s="291"/>
      <c r="BT65" s="291"/>
      <c r="BU65" s="291"/>
      <c r="BV65" s="291"/>
      <c r="BW65" s="291"/>
      <c r="BX65" s="291"/>
      <c r="BY65" s="291"/>
      <c r="BZ65" s="291"/>
      <c r="CA65" s="291"/>
      <c r="CB65" s="291"/>
      <c r="CC65" s="291"/>
      <c r="CD65" s="291"/>
      <c r="CE65" s="291"/>
      <c r="CF65" s="291"/>
      <c r="CG65" s="291"/>
      <c r="CH65" s="291"/>
      <c r="CI65" s="291"/>
    </row>
    <row r="66" spans="1:87" s="193" customFormat="1">
      <c r="A66" s="133" t="s">
        <v>173</v>
      </c>
      <c r="B66" s="132" t="s">
        <v>3</v>
      </c>
      <c r="C66" s="35"/>
      <c r="D66" s="35"/>
      <c r="E66" s="35"/>
      <c r="F66" s="35"/>
      <c r="G66" s="293"/>
      <c r="H66" s="293"/>
      <c r="I66" s="293"/>
      <c r="J66" s="293"/>
      <c r="K66" s="289"/>
      <c r="L66" s="289"/>
      <c r="M66" s="289"/>
      <c r="N66" s="289"/>
      <c r="O66" s="289"/>
      <c r="P66" s="289"/>
      <c r="Q66" s="289"/>
      <c r="R66" s="289"/>
      <c r="S66" s="289"/>
      <c r="T66" s="289"/>
      <c r="U66" s="289"/>
      <c r="V66" s="289"/>
      <c r="W66" s="289"/>
      <c r="X66" s="290"/>
      <c r="Y66" s="289"/>
      <c r="Z66" s="289"/>
      <c r="AA66" s="290"/>
      <c r="AB66" s="289"/>
      <c r="AC66" s="290"/>
      <c r="AD66" s="289"/>
      <c r="AE66" s="289"/>
      <c r="AF66" s="289"/>
      <c r="AG66" s="289"/>
      <c r="AH66" s="289"/>
      <c r="AI66" s="289"/>
      <c r="AJ66" s="290"/>
      <c r="AK66" s="289"/>
      <c r="AL66" s="289"/>
      <c r="AM66" s="290"/>
      <c r="AN66" s="289"/>
      <c r="AO66" s="289"/>
      <c r="AP66" s="289"/>
      <c r="AQ66" s="289"/>
      <c r="AR66" s="289"/>
      <c r="AS66" s="289"/>
      <c r="AT66" s="289"/>
      <c r="AU66" s="33"/>
      <c r="AV66" s="33"/>
      <c r="AW66" s="33"/>
      <c r="AX66" s="33"/>
      <c r="AY66" s="33"/>
      <c r="AZ66" s="33"/>
      <c r="BA66" s="291"/>
      <c r="BB66" s="291"/>
      <c r="BC66" s="291"/>
      <c r="BD66" s="291"/>
      <c r="BE66" s="291"/>
      <c r="BF66" s="291"/>
      <c r="BG66" s="291"/>
      <c r="BH66" s="291"/>
      <c r="BI66" s="291"/>
      <c r="BJ66" s="291"/>
      <c r="BK66" s="291"/>
      <c r="BL66" s="291"/>
      <c r="BM66" s="291"/>
      <c r="BN66" s="291"/>
      <c r="BO66" s="291"/>
      <c r="BP66" s="291"/>
      <c r="BQ66" s="291"/>
      <c r="BR66" s="291"/>
      <c r="BS66" s="291"/>
      <c r="BT66" s="291"/>
      <c r="BU66" s="291"/>
      <c r="BV66" s="291"/>
      <c r="BW66" s="291"/>
      <c r="BX66" s="291"/>
      <c r="BY66" s="291"/>
      <c r="BZ66" s="291"/>
      <c r="CA66" s="291"/>
      <c r="CB66" s="291"/>
      <c r="CC66" s="291"/>
      <c r="CD66" s="291"/>
      <c r="CE66" s="291"/>
      <c r="CF66" s="291"/>
      <c r="CG66" s="291"/>
      <c r="CH66" s="291"/>
      <c r="CI66" s="291"/>
    </row>
    <row r="67" spans="1:87" s="193" customFormat="1" ht="16.5">
      <c r="A67" s="133" t="s">
        <v>62</v>
      </c>
      <c r="B67" s="134" t="s">
        <v>25</v>
      </c>
      <c r="C67" s="59">
        <f>2787121-1616229</f>
        <v>1170892</v>
      </c>
      <c r="D67" s="59">
        <v>338511</v>
      </c>
      <c r="E67" s="59">
        <v>8537</v>
      </c>
      <c r="F67" s="59">
        <v>46122</v>
      </c>
      <c r="G67" s="317"/>
      <c r="H67" s="59"/>
      <c r="I67" s="59"/>
      <c r="J67" s="59"/>
      <c r="K67" s="294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90"/>
      <c r="Y67" s="289"/>
      <c r="Z67" s="289"/>
      <c r="AA67" s="290"/>
      <c r="AB67" s="289"/>
      <c r="AC67" s="290"/>
      <c r="AD67" s="289"/>
      <c r="AE67" s="289"/>
      <c r="AF67" s="289"/>
      <c r="AG67" s="289"/>
      <c r="AH67" s="289"/>
      <c r="AI67" s="289"/>
      <c r="AJ67" s="290"/>
      <c r="AK67" s="289"/>
      <c r="AL67" s="289"/>
      <c r="AM67" s="290"/>
      <c r="AN67" s="289"/>
      <c r="AO67" s="289"/>
      <c r="AP67" s="289"/>
      <c r="AQ67" s="289"/>
      <c r="AR67" s="289"/>
      <c r="AS67" s="289"/>
      <c r="AT67" s="289"/>
      <c r="AU67" s="33"/>
      <c r="AV67" s="33"/>
      <c r="AW67" s="33"/>
      <c r="AX67" s="33"/>
      <c r="AY67" s="33"/>
      <c r="AZ67" s="33"/>
      <c r="BA67" s="291"/>
      <c r="BB67" s="291"/>
      <c r="BC67" s="291"/>
      <c r="BD67" s="291"/>
      <c r="BE67" s="291"/>
      <c r="BF67" s="291"/>
      <c r="BG67" s="291"/>
      <c r="BH67" s="291"/>
      <c r="BI67" s="291"/>
      <c r="BJ67" s="291"/>
      <c r="BK67" s="291"/>
      <c r="BL67" s="291"/>
      <c r="BM67" s="291"/>
      <c r="BN67" s="291"/>
      <c r="BO67" s="291"/>
      <c r="BP67" s="291"/>
      <c r="BQ67" s="291"/>
      <c r="BR67" s="291"/>
      <c r="BS67" s="291"/>
      <c r="BT67" s="291"/>
      <c r="BU67" s="291"/>
      <c r="BV67" s="291"/>
      <c r="BW67" s="291"/>
      <c r="BX67" s="291"/>
      <c r="BY67" s="291"/>
      <c r="BZ67" s="291"/>
      <c r="CA67" s="291"/>
      <c r="CB67" s="291"/>
      <c r="CC67" s="291"/>
      <c r="CD67" s="291"/>
      <c r="CE67" s="291"/>
      <c r="CF67" s="291"/>
      <c r="CG67" s="291"/>
      <c r="CH67" s="291"/>
      <c r="CI67" s="291"/>
    </row>
    <row r="68" spans="1:87" s="193" customFormat="1">
      <c r="A68" s="133" t="s">
        <v>63</v>
      </c>
      <c r="B68" s="134" t="s">
        <v>1</v>
      </c>
      <c r="C68" s="316">
        <v>192524</v>
      </c>
      <c r="D68" s="316"/>
      <c r="E68" s="316"/>
      <c r="F68" s="316"/>
      <c r="G68" s="316"/>
      <c r="H68" s="59"/>
      <c r="I68" s="289"/>
      <c r="J68" s="289"/>
      <c r="K68" s="294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90"/>
      <c r="Y68" s="289"/>
      <c r="Z68" s="289"/>
      <c r="AA68" s="290"/>
      <c r="AB68" s="289"/>
      <c r="AC68" s="290"/>
      <c r="AD68" s="289"/>
      <c r="AE68" s="289"/>
      <c r="AF68" s="289"/>
      <c r="AG68" s="289"/>
      <c r="AH68" s="289"/>
      <c r="AI68" s="289"/>
      <c r="AJ68" s="290"/>
      <c r="AK68" s="289"/>
      <c r="AL68" s="289"/>
      <c r="AM68" s="290"/>
      <c r="AN68" s="289"/>
      <c r="AO68" s="289"/>
      <c r="AP68" s="289"/>
      <c r="AQ68" s="289"/>
      <c r="AR68" s="289"/>
      <c r="AS68" s="289"/>
      <c r="AT68" s="289"/>
      <c r="AU68" s="33"/>
      <c r="AV68" s="33"/>
      <c r="AW68" s="33"/>
      <c r="AX68" s="33"/>
      <c r="AY68" s="33"/>
      <c r="AZ68" s="33"/>
      <c r="BA68" s="291"/>
      <c r="BB68" s="291"/>
      <c r="BC68" s="291"/>
      <c r="BD68" s="291"/>
      <c r="BE68" s="291"/>
      <c r="BF68" s="291"/>
      <c r="BG68" s="291"/>
      <c r="BH68" s="291"/>
      <c r="BI68" s="291"/>
      <c r="BJ68" s="291"/>
      <c r="BK68" s="291"/>
      <c r="BL68" s="291"/>
      <c r="BM68" s="291"/>
      <c r="BN68" s="291"/>
      <c r="BO68" s="291"/>
      <c r="BP68" s="291"/>
      <c r="BQ68" s="291"/>
      <c r="BR68" s="291"/>
      <c r="BS68" s="291"/>
      <c r="BT68" s="291"/>
      <c r="BU68" s="291"/>
      <c r="BV68" s="291"/>
      <c r="BW68" s="291"/>
      <c r="BX68" s="291"/>
      <c r="BY68" s="291"/>
      <c r="BZ68" s="291"/>
      <c r="CA68" s="291"/>
      <c r="CB68" s="291"/>
      <c r="CC68" s="291"/>
      <c r="CD68" s="291"/>
      <c r="CE68" s="291"/>
      <c r="CF68" s="291"/>
      <c r="CG68" s="291"/>
      <c r="CH68" s="291"/>
      <c r="CI68" s="291"/>
    </row>
    <row r="69" spans="1:87" s="193" customFormat="1">
      <c r="A69" s="135" t="s">
        <v>290</v>
      </c>
      <c r="B69" s="116" t="s">
        <v>1</v>
      </c>
      <c r="C69" s="120">
        <f>IF(C67="","",IF(AND(C60="EE à entrada",C61="Reservatório"),0,IF(C60="EE à entrada",9.8*C67*(C62+C63-'Dados base'!$G$8)/3600,0)))</f>
        <v>0</v>
      </c>
      <c r="D69" s="120">
        <f>IF(D67="","",IF(AND(D60="EE à entrada",D61="Reservatório"),0,IF(D60="EE à entrada",9.8*D67*(D62+D63-'Dados base'!$G$8)/3600,0)))</f>
        <v>0</v>
      </c>
      <c r="E69" s="120">
        <f>IF(E67="","",IF(AND(E60="EE à entrada",E61="Reservatório"),0,IF(E60="EE à entrada",9.8*E67*(E62+E63-'Dados base'!$G$8)/3600,0)))</f>
        <v>0</v>
      </c>
      <c r="F69" s="120">
        <f>IF(F67="","",IF(AND(F60="EE à entrada",F61="Reservatório"),0,IF(F60="EE à entrada",9.8*F67*(F62+F63-'Dados base'!$G$8)/3600,0)))</f>
        <v>0</v>
      </c>
      <c r="G69" s="120" t="str">
        <f>IF(G67="","",IF(AND(G60="EE à entrada",G61="Reservatório"),0,IF(G60="EE à entrada",9.8*G67*(G62+G63-'Dados base'!$G$8)/3600,0)))</f>
        <v/>
      </c>
      <c r="H69" s="120" t="str">
        <f>IF(H67="","",IF(AND(H60="EE à entrada",H61="Reservatório"),0,IF(H60="EE à entrada",9.8*H67*(H62+H63-'Dados base'!$G$8)/3600,0)))</f>
        <v/>
      </c>
      <c r="I69" s="120" t="str">
        <f>IF(I67="","",IF(AND(I60="EE à entrada",I61="Reservatório"),0,IF(I60="EE à entrada",9.8*I67*(I62+I63-'Dados base'!$G$8)/3600,0)))</f>
        <v/>
      </c>
      <c r="J69" s="120" t="str">
        <f>IF(J67="","",IF(AND(J60="EE à entrada",J61="Reservatório"),0,IF(J60="EE à entrada",9.8*J67*(J62+J63-'Dados base'!$G$8)/3600,0)))</f>
        <v/>
      </c>
      <c r="K69" s="120" t="str">
        <f>IF(K67="","",IF(AND(K60="EE à entrada",K61="Reservatório"),0,IF(K60="EE à entrada",9.8*K67*(K62+K63-'Dados base'!$G$8)/3600,0)))</f>
        <v/>
      </c>
      <c r="L69" s="120" t="str">
        <f>IF(L67="","",IF(AND(L60="EE à entrada",L61="Reservatório"),0,IF(L60="EE à entrada",9.8*L67*(L62+L63-'Dados base'!$G$8)/3600,0)))</f>
        <v/>
      </c>
      <c r="M69" s="120" t="str">
        <f>IF(M67="","",IF(AND(M60="EE à entrada",M61="Reservatório"),0,IF(M60="EE à entrada",9.8*M67*(M62+M63-'Dados base'!$G$8)/3600,0)))</f>
        <v/>
      </c>
      <c r="N69" s="120" t="str">
        <f>IF(N67="","",IF(AND(N60="EE à entrada",N61="Reservatório"),0,IF(N60="EE à entrada",9.8*N67*(N62+N63-'Dados base'!$G$8)/3600,0)))</f>
        <v/>
      </c>
      <c r="O69" s="120" t="str">
        <f>IF(O67="","",IF(AND(O60="EE à entrada",O61="Reservatório"),0,IF(O60="EE à entrada",9.8*O67*(O62+O63-'Dados base'!$G$8)/3600,0)))</f>
        <v/>
      </c>
      <c r="P69" s="120" t="str">
        <f>IF(P67="","",IF(AND(P60="EE à entrada",P61="Reservatório"),0,IF(P60="EE à entrada",9.8*P67*(P62+P63-'Dados base'!$G$8)/3600,0)))</f>
        <v/>
      </c>
      <c r="Q69" s="120" t="str">
        <f>IF(Q67="","",IF(AND(Q60="EE à entrada",Q61="Reservatório"),0,IF(Q60="EE à entrada",9.8*Q67*(Q62+Q63-'Dados base'!$G$8)/3600,0)))</f>
        <v/>
      </c>
      <c r="R69" s="120" t="str">
        <f>IF(R67="","",IF(AND(R60="EE à entrada",R61="Reservatório"),0,IF(R60="EE à entrada",9.8*R67*(R62+R63-'Dados base'!$G$8)/3600,0)))</f>
        <v/>
      </c>
      <c r="S69" s="120" t="str">
        <f>IF(S67="","",IF(AND(S60="EE à entrada",S61="Reservatório"),0,IF(S60="EE à entrada",9.8*S67*(S62+S63-'Dados base'!$G$8)/3600,0)))</f>
        <v/>
      </c>
      <c r="T69" s="120" t="str">
        <f>IF(T67="","",IF(AND(T60="EE à entrada",T61="Reservatório"),0,IF(T60="EE à entrada",9.8*T67*(T62+T63-'Dados base'!$G$8)/3600,0)))</f>
        <v/>
      </c>
      <c r="U69" s="120" t="str">
        <f>IF(U67="","",IF(AND(U60="EE à entrada",U61="Reservatório"),0,IF(U60="EE à entrada",9.8*U67*(U62+U63-'Dados base'!$G$8)/3600,0)))</f>
        <v/>
      </c>
      <c r="V69" s="120" t="str">
        <f>IF(V67="","",IF(AND(V60="EE à entrada",V61="Reservatório"),0,IF(V60="EE à entrada",9.8*V67*(V62+V63-'Dados base'!$G$8)/3600,0)))</f>
        <v/>
      </c>
      <c r="W69" s="120" t="str">
        <f>IF(W67="","",IF(AND(W60="EE à entrada",W61="Reservatório"),0,IF(W60="EE à entrada",9.8*W67*(W62+W63-'Dados base'!$G$8)/3600,0)))</f>
        <v/>
      </c>
      <c r="X69" s="120" t="str">
        <f>IF(X67="","",IF(AND(X60="EE à entrada",X61="Reservatório"),0,IF(X60="EE à entrada",9.8*X67*(X62+X63-'Dados base'!$G$8)/3600,0)))</f>
        <v/>
      </c>
      <c r="Y69" s="120" t="str">
        <f>IF(Y67="","",IF(AND(Y60="EE à entrada",Y61="Reservatório"),0,IF(Y60="EE à entrada",9.8*Y67*(Y62+Y63-'Dados base'!$G$8)/3600,0)))</f>
        <v/>
      </c>
      <c r="Z69" s="120" t="str">
        <f>IF(Z67="","",IF(AND(Z60="EE à entrada",Z61="Reservatório"),0,IF(Z60="EE à entrada",9.8*Z67*(Z62+Z63-'Dados base'!$G$8)/3600,0)))</f>
        <v/>
      </c>
      <c r="AA69" s="120" t="str">
        <f>IF(AA67="","",IF(AND(AA60="EE à entrada",AA61="Reservatório"),0,IF(AA60="EE à entrada",9.8*AA67*(AA62+AA63-'Dados base'!$G$8)/3600,0)))</f>
        <v/>
      </c>
      <c r="AB69" s="120" t="str">
        <f>IF(AB67="","",IF(AND(AB60="EE à entrada",AB61="Reservatório"),0,IF(AB60="EE à entrada",9.8*AB67*(AB62+AB63-'Dados base'!$G$8)/3600,0)))</f>
        <v/>
      </c>
      <c r="AC69" s="120" t="str">
        <f>IF(AC67="","",IF(AND(AC60="EE à entrada",AC61="Reservatório"),0,IF(AC60="EE à entrada",9.8*AC67*(AC62+AC63-'Dados base'!$G$8)/3600,0)))</f>
        <v/>
      </c>
      <c r="AD69" s="120" t="str">
        <f>IF(AD67="","",IF(AND(AD60="EE à entrada",AD61="Reservatório"),0,IF(AD60="EE à entrada",9.8*AD67*(AD62+AD63-'Dados base'!$G$8)/3600,0)))</f>
        <v/>
      </c>
      <c r="AE69" s="120" t="str">
        <f>IF(AE67="","",IF(AND(AE60="EE à entrada",AE61="Reservatório"),0,IF(AE60="EE à entrada",9.8*AE67*(AE62+AE63-'Dados base'!$G$8)/3600,0)))</f>
        <v/>
      </c>
      <c r="AF69" s="120" t="str">
        <f>IF(AF67="","",IF(AND(AF60="EE à entrada",AF61="Reservatório"),0,IF(AF60="EE à entrada",9.8*AF67*(AF62+AF63-'Dados base'!$G$8)/3600,0)))</f>
        <v/>
      </c>
      <c r="AG69" s="120" t="str">
        <f>IF(AG67="","",IF(AND(AG60="EE à entrada",AG61="Reservatório"),0,IF(AG60="EE à entrada",9.8*AG67*(AG62+AG63-'Dados base'!$G$8)/3600,0)))</f>
        <v/>
      </c>
      <c r="AH69" s="120" t="str">
        <f>IF(AH67="","",IF(AND(AH60="EE à entrada",AH61="Reservatório"),0,IF(AH60="EE à entrada",9.8*AH67*(AH62+AH63-'Dados base'!$G$8)/3600,0)))</f>
        <v/>
      </c>
      <c r="AI69" s="120" t="str">
        <f>IF(AI67="","",IF(AND(AI60="EE à entrada",AI61="Reservatório"),0,IF(AI60="EE à entrada",9.8*AI67*(AI62+AI63-'Dados base'!$G$8)/3600,0)))</f>
        <v/>
      </c>
      <c r="AJ69" s="120" t="str">
        <f>IF(AJ67="","",IF(AND(AJ60="EE à entrada",AJ61="Reservatório"),0,IF(AJ60="EE à entrada",9.8*AJ67*(AJ62+AJ63-'Dados base'!$G$8)/3600,0)))</f>
        <v/>
      </c>
      <c r="AK69" s="120" t="str">
        <f>IF(AK67="","",IF(AND(AK60="EE à entrada",AK61="Reservatório"),0,IF(AK60="EE à entrada",9.8*AK67*(AK62+AK63-'Dados base'!$G$8)/3600,0)))</f>
        <v/>
      </c>
      <c r="AL69" s="120" t="str">
        <f>IF(AL67="","",IF(AND(AL60="EE à entrada",AL61="Reservatório"),0,IF(AL60="EE à entrada",9.8*AL67*(AL62+AL63-'Dados base'!$G$8)/3600,0)))</f>
        <v/>
      </c>
      <c r="AM69" s="120" t="str">
        <f>IF(AM67="","",IF(AND(AM60="EE à entrada",AM61="Reservatório"),0,IF(AM60="EE à entrada",9.8*AM67*(AM62+AM63-'Dados base'!$G$8)/3600,0)))</f>
        <v/>
      </c>
      <c r="AN69" s="120" t="str">
        <f>IF(AN67="","",IF(AND(AN60="EE à entrada",AN61="Reservatório"),0,IF(AN60="EE à entrada",9.8*AN67*(AN62+AN63-'Dados base'!$G$8)/3600,0)))</f>
        <v/>
      </c>
      <c r="AO69" s="120" t="str">
        <f>IF(AO67="","",IF(AND(AO60="EE à entrada",AO61="Reservatório"),0,IF(AO60="EE à entrada",9.8*AO67*(AO62+AO63-'Dados base'!$G$8)/3600,0)))</f>
        <v/>
      </c>
      <c r="AP69" s="120" t="str">
        <f>IF(AP67="","",IF(AND(AP60="EE à entrada",AP61="Reservatório"),0,IF(AP60="EE à entrada",9.8*AP67*(AP62+AP63-'Dados base'!$G$8)/3600,0)))</f>
        <v/>
      </c>
      <c r="AQ69" s="120" t="str">
        <f>IF(AQ67="","",IF(AND(AQ60="EE à entrada",AQ61="Reservatório"),0,IF(AQ60="EE à entrada",9.8*AQ67*(AQ62+AQ63-'Dados base'!$G$8)/3600,0)))</f>
        <v/>
      </c>
      <c r="AR69" s="120" t="str">
        <f>IF(AR67="","",IF(AND(AR60="EE à entrada",AR61="Reservatório"),0,IF(AR60="EE à entrada",9.8*AR67*(AR62+AR63-'Dados base'!$G$8)/3600,0)))</f>
        <v/>
      </c>
      <c r="AS69" s="120" t="str">
        <f>IF(AS67="","",IF(AND(AS60="EE à entrada",AS61="Reservatório"),0,IF(AS60="EE à entrada",9.8*AS67*(AS62+AS63-'Dados base'!$G$8)/3600,0)))</f>
        <v/>
      </c>
      <c r="AT69" s="120" t="str">
        <f>IF(AT67="","",IF(AND(AT60="EE à entrada",AT61="Reservatório"),0,IF(AT60="EE à entrada",9.8*AT67*(AT62+AT63-'Dados base'!$G$8)/3600,0)))</f>
        <v/>
      </c>
      <c r="AU69" s="120" t="str">
        <f>IF(AU67="","",IF(AND(AU60="EE à entrada",AU61="Reservatório"),0,IF(AU60="EE à entrada",9.8*AU67*(AU62+AU63-'Dados base'!$G$8)/3600,0)))</f>
        <v/>
      </c>
      <c r="AV69" s="120" t="str">
        <f>IF(AV67="","",IF(AND(AV60="EE à entrada",AV61="Reservatório"),0,IF(AV60="EE à entrada",9.8*AV67*(AV62+AV63-'Dados base'!$G$8)/3600,0)))</f>
        <v/>
      </c>
      <c r="AW69" s="120" t="str">
        <f>IF(AW67="","",IF(AND(AW60="EE à entrada",AW61="Reservatório"),0,IF(AW60="EE à entrada",9.8*AW67*(AW62+AW63-'Dados base'!$G$8)/3600,0)))</f>
        <v/>
      </c>
      <c r="AX69" s="120" t="str">
        <f>IF(AX67="","",IF(AND(AX60="EE à entrada",AX61="Reservatório"),0,IF(AX60="EE à entrada",9.8*AX67*(AX62+AX63-'Dados base'!$G$8)/3600,0)))</f>
        <v/>
      </c>
      <c r="AY69" s="120" t="str">
        <f>IF(AY67="","",IF(AND(AY60="EE à entrada",AY61="Reservatório"),0,IF(AY60="EE à entrada",9.8*AY67*(AY62+AY63-'Dados base'!$G$8)/3600,0)))</f>
        <v/>
      </c>
      <c r="AZ69" s="120" t="str">
        <f>IF(AZ67="","",IF(AND(AZ60="EE à entrada",AZ61="Reservatório"),0,IF(AZ60="EE à entrada",9.8*AZ67*(AZ62+AZ63-'Dados base'!$G$8)/3600,0)))</f>
        <v/>
      </c>
      <c r="BA69" s="291"/>
      <c r="BB69" s="291"/>
      <c r="BC69" s="291"/>
      <c r="BD69" s="291"/>
      <c r="BE69" s="291"/>
      <c r="BF69" s="291"/>
      <c r="BG69" s="291"/>
      <c r="BH69" s="291"/>
      <c r="BI69" s="291"/>
      <c r="BJ69" s="291"/>
      <c r="BK69" s="291"/>
      <c r="BL69" s="291"/>
      <c r="BM69" s="291"/>
      <c r="BN69" s="291"/>
      <c r="BO69" s="291"/>
      <c r="BP69" s="291"/>
      <c r="BQ69" s="291"/>
      <c r="BR69" s="291"/>
      <c r="BS69" s="291"/>
      <c r="BT69" s="291"/>
      <c r="BU69" s="291"/>
      <c r="BV69" s="291"/>
      <c r="BW69" s="291"/>
      <c r="BX69" s="291"/>
      <c r="BY69" s="291"/>
      <c r="BZ69" s="291"/>
      <c r="CA69" s="291"/>
      <c r="CB69" s="291"/>
      <c r="CC69" s="291"/>
      <c r="CD69" s="291"/>
      <c r="CE69" s="291"/>
      <c r="CF69" s="291"/>
      <c r="CG69" s="291"/>
      <c r="CH69" s="291"/>
      <c r="CI69" s="291"/>
    </row>
    <row r="70" spans="1:87" s="193" customFormat="1">
      <c r="A70" s="280" t="s">
        <v>291</v>
      </c>
      <c r="B70" s="281" t="s">
        <v>1</v>
      </c>
      <c r="C70" s="282">
        <f>IF(C67="","",IF(C61="Reservatório",0,9.8*C67*(C62+C63-'Dados base'!$G$8)/3600))</f>
        <v>0</v>
      </c>
      <c r="D70" s="282">
        <f>IF(D67="","",IF(D61="Reservatório",0,9.8*D67*(D62+D63-'Dados base'!$G$8)/3600))</f>
        <v>0</v>
      </c>
      <c r="E70" s="282">
        <f>IF(E67="","",IF(E61="Reservatório",0,9.8*E67*(E62+E63-'Dados base'!$G$8)/3600))</f>
        <v>0</v>
      </c>
      <c r="F70" s="282">
        <f>IF(F67="","",IF(F61="Reservatório",0,9.8*F67*(F62+F63-'Dados base'!$G$8)/3600))</f>
        <v>0</v>
      </c>
      <c r="G70" s="282" t="str">
        <f>IF(G67="","",IF(G61="Reservatório",0,9.8*G67*(G62+G63-'Dados base'!$G$8)/3600))</f>
        <v/>
      </c>
      <c r="H70" s="282" t="str">
        <f>IF(H67="","",IF(H61="Reservatório",0,9.8*H67*(H62+H63-'Dados base'!$G$8)/3600))</f>
        <v/>
      </c>
      <c r="I70" s="282" t="str">
        <f>IF(I67="","",IF(I61="Reservatório",0,9.8*I67*(I62+I63-'Dados base'!$G$8)/3600))</f>
        <v/>
      </c>
      <c r="J70" s="282" t="str">
        <f>IF(J67="","",IF(J61="Reservatório",0,9.8*J67*(J62+J63-'Dados base'!$G$8)/3600))</f>
        <v/>
      </c>
      <c r="K70" s="282" t="str">
        <f>IF(K67="","",IF(K61="Reservatório",0,9.8*K67*(K62+K63-'Dados base'!$G$8)/3600))</f>
        <v/>
      </c>
      <c r="L70" s="282" t="str">
        <f>IF(L67="","",IF(L61="Reservatório",0,9.8*L67*(L62+L63-'Dados base'!$G$8)/3600))</f>
        <v/>
      </c>
      <c r="M70" s="282" t="str">
        <f>IF(M67="","",IF(M61="Reservatório",0,9.8*M67*(M62+M63-'Dados base'!$G$8)/3600))</f>
        <v/>
      </c>
      <c r="N70" s="282" t="str">
        <f>IF(N67="","",IF(N61="Reservatório",0,9.8*N67*(N62+N63-'Dados base'!$G$8)/3600))</f>
        <v/>
      </c>
      <c r="O70" s="282" t="str">
        <f>IF(O67="","",IF(O61="Reservatório",0,9.8*O67*(O62+O63-'Dados base'!$G$8)/3600))</f>
        <v/>
      </c>
      <c r="P70" s="282" t="str">
        <f>IF(P67="","",IF(P61="Reservatório",0,9.8*P67*(P62+P63-'Dados base'!$G$8)/3600))</f>
        <v/>
      </c>
      <c r="Q70" s="282" t="str">
        <f>IF(Q67="","",IF(Q61="Reservatório",0,9.8*Q67*(Q62+Q63-'Dados base'!$G$8)/3600))</f>
        <v/>
      </c>
      <c r="R70" s="282" t="str">
        <f>IF(R67="","",IF(R61="Reservatório",0,9.8*R67*(R62+R63-'Dados base'!$G$8)/3600))</f>
        <v/>
      </c>
      <c r="S70" s="282" t="str">
        <f>IF(S67="","",IF(S61="Reservatório",0,9.8*S67*(S62+S63-'Dados base'!$G$8)/3600))</f>
        <v/>
      </c>
      <c r="T70" s="282" t="str">
        <f>IF(T67="","",IF(T61="Reservatório",0,9.8*T67*(T62+T63-'Dados base'!$G$8)/3600))</f>
        <v/>
      </c>
      <c r="U70" s="282" t="str">
        <f>IF(U67="","",IF(U61="Reservatório",0,9.8*U67*(U62+U63-'Dados base'!$G$8)/3600))</f>
        <v/>
      </c>
      <c r="V70" s="282" t="str">
        <f>IF(V67="","",IF(V61="Reservatório",0,9.8*V67*(V62+V63-'Dados base'!$G$8)/3600))</f>
        <v/>
      </c>
      <c r="W70" s="282" t="str">
        <f>IF(W67="","",IF(W61="Reservatório",0,9.8*W67*(W62+W63-'Dados base'!$G$8)/3600))</f>
        <v/>
      </c>
      <c r="X70" s="282" t="str">
        <f>IF(X67="","",IF(X61="Reservatório",0,9.8*X67*(X62+X63-'Dados base'!$G$8)/3600))</f>
        <v/>
      </c>
      <c r="Y70" s="282" t="str">
        <f>IF(Y67="","",IF(Y61="Reservatório",0,9.8*Y67*(Y62+Y63-'Dados base'!$G$8)/3600))</f>
        <v/>
      </c>
      <c r="Z70" s="282" t="str">
        <f>IF(Z67="","",IF(Z61="Reservatório",0,9.8*Z67*(Z62+Z63-'Dados base'!$G$8)/3600))</f>
        <v/>
      </c>
      <c r="AA70" s="282" t="str">
        <f>IF(AA67="","",IF(AA61="Reservatório",0,9.8*AA67*(AA62+AA63-'Dados base'!$G$8)/3600))</f>
        <v/>
      </c>
      <c r="AB70" s="282" t="str">
        <f>IF(AB67="","",IF(AB61="Reservatório",0,9.8*AB67*(AB62+AB63-'Dados base'!$G$8)/3600))</f>
        <v/>
      </c>
      <c r="AC70" s="282" t="str">
        <f>IF(AC67="","",IF(AC61="Reservatório",0,9.8*AC67*(AC62+AC63-'Dados base'!$G$8)/3600))</f>
        <v/>
      </c>
      <c r="AD70" s="282" t="str">
        <f>IF(AD67="","",IF(AD61="Reservatório",0,9.8*AD67*(AD62+AD63-'Dados base'!$G$8)/3600))</f>
        <v/>
      </c>
      <c r="AE70" s="282" t="str">
        <f>IF(AE67="","",IF(AE61="Reservatório",0,9.8*AE67*(AE62+AE63-'Dados base'!$G$8)/3600))</f>
        <v/>
      </c>
      <c r="AF70" s="282" t="str">
        <f>IF(AF67="","",IF(AF61="Reservatório",0,9.8*AF67*(AF62+AF63-'Dados base'!$G$8)/3600))</f>
        <v/>
      </c>
      <c r="AG70" s="282" t="str">
        <f>IF(AG67="","",IF(AG61="Reservatório",0,9.8*AG67*(AG62+AG63-'Dados base'!$G$8)/3600))</f>
        <v/>
      </c>
      <c r="AH70" s="282" t="str">
        <f>IF(AH67="","",IF(AH61="Reservatório",0,9.8*AH67*(AH62+AH63-'Dados base'!$G$8)/3600))</f>
        <v/>
      </c>
      <c r="AI70" s="282" t="str">
        <f>IF(AI67="","",IF(AI61="Reservatório",0,9.8*AI67*(AI62+AI63-'Dados base'!$G$8)/3600))</f>
        <v/>
      </c>
      <c r="AJ70" s="282" t="str">
        <f>IF(AJ67="","",IF(AJ61="Reservatório",0,9.8*AJ67*(AJ62+AJ63-'Dados base'!$G$8)/3600))</f>
        <v/>
      </c>
      <c r="AK70" s="282" t="str">
        <f>IF(AK67="","",IF(AK61="Reservatório",0,9.8*AK67*(AK62+AK63-'Dados base'!$G$8)/3600))</f>
        <v/>
      </c>
      <c r="AL70" s="282" t="str">
        <f>IF(AL67="","",IF(AL61="Reservatório",0,9.8*AL67*(AL62+AL63-'Dados base'!$G$8)/3600))</f>
        <v/>
      </c>
      <c r="AM70" s="282" t="str">
        <f>IF(AM67="","",IF(AM61="Reservatório",0,9.8*AM67*(AM62+AM63-'Dados base'!$G$8)/3600))</f>
        <v/>
      </c>
      <c r="AN70" s="282" t="str">
        <f>IF(AN67="","",IF(AN61="Reservatório",0,9.8*AN67*(AN62+AN63-'Dados base'!$G$8)/3600))</f>
        <v/>
      </c>
      <c r="AO70" s="282" t="str">
        <f>IF(AO67="","",IF(AO61="Reservatório",0,9.8*AO67*(AO62+AO63-'Dados base'!$G$8)/3600))</f>
        <v/>
      </c>
      <c r="AP70" s="282" t="str">
        <f>IF(AP67="","",IF(AP61="Reservatório",0,9.8*AP67*(AP62+AP63-'Dados base'!$G$8)/3600))</f>
        <v/>
      </c>
      <c r="AQ70" s="282" t="str">
        <f>IF(AQ67="","",IF(AQ61="Reservatório",0,9.8*AQ67*(AQ62+AQ63-'Dados base'!$G$8)/3600))</f>
        <v/>
      </c>
      <c r="AR70" s="282" t="str">
        <f>IF(AR67="","",IF(AR61="Reservatório",0,9.8*AR67*(AR62+AR63-'Dados base'!$G$8)/3600))</f>
        <v/>
      </c>
      <c r="AS70" s="282" t="str">
        <f>IF(AS67="","",IF(AS61="Reservatório",0,9.8*AS67*(AS62+AS63-'Dados base'!$G$8)/3600))</f>
        <v/>
      </c>
      <c r="AT70" s="282" t="str">
        <f>IF(AT67="","",IF(AT61="Reservatório",0,9.8*AT67*(AT62+AT63-'Dados base'!$G$8)/3600))</f>
        <v/>
      </c>
      <c r="AU70" s="282" t="str">
        <f>IF(AU67="","",IF(AU61="Reservatório",0,9.8*AU67*(AU62+AU63-'Dados base'!$G$8)/3600))</f>
        <v/>
      </c>
      <c r="AV70" s="282" t="str">
        <f>IF(AV67="","",IF(AV61="Reservatório",0,9.8*AV67*(AV62+AV63-'Dados base'!$G$8)/3600))</f>
        <v/>
      </c>
      <c r="AW70" s="282" t="str">
        <f>IF(AW67="","",IF(AW61="Reservatório",0,9.8*AW67*(AW62+AW63-'Dados base'!$G$8)/3600))</f>
        <v/>
      </c>
      <c r="AX70" s="282" t="str">
        <f>IF(AX67="","",IF(AX61="Reservatório",0,9.8*AX67*(AX62+AX63-'Dados base'!$G$8)/3600))</f>
        <v/>
      </c>
      <c r="AY70" s="282" t="str">
        <f>IF(AY67="","",IF(AY61="Reservatório",0,9.8*AY67*(AY62+AY63-'Dados base'!$G$8)/3600))</f>
        <v/>
      </c>
      <c r="AZ70" s="282" t="str">
        <f>IF(AZ67="","",IF(AZ61="Reservatório",0,9.8*AZ67*(AZ62+AZ63-'Dados base'!$G$8)/3600))</f>
        <v/>
      </c>
      <c r="BA70" s="291"/>
      <c r="BB70" s="291"/>
      <c r="BC70" s="291"/>
      <c r="BD70" s="291"/>
      <c r="BE70" s="291"/>
      <c r="BF70" s="291"/>
      <c r="BG70" s="291"/>
      <c r="BH70" s="291"/>
      <c r="BI70" s="291"/>
      <c r="BJ70" s="291"/>
      <c r="BK70" s="291"/>
      <c r="BL70" s="291"/>
      <c r="BM70" s="291"/>
      <c r="BN70" s="291"/>
      <c r="BO70" s="291"/>
      <c r="BP70" s="291"/>
      <c r="BQ70" s="291"/>
      <c r="BR70" s="291"/>
      <c r="BS70" s="291"/>
      <c r="BT70" s="291"/>
      <c r="BU70" s="291"/>
      <c r="BV70" s="291"/>
      <c r="BW70" s="291"/>
      <c r="BX70" s="291"/>
      <c r="BY70" s="291"/>
      <c r="BZ70" s="291"/>
      <c r="CA70" s="291"/>
      <c r="CB70" s="291"/>
      <c r="CC70" s="291"/>
      <c r="CD70" s="291"/>
      <c r="CE70" s="291"/>
      <c r="CF70" s="291"/>
      <c r="CG70" s="291"/>
      <c r="CH70" s="291"/>
      <c r="CI70" s="291"/>
    </row>
    <row r="71" spans="1:87" s="193" customFormat="1">
      <c r="A71" s="115" t="s">
        <v>142</v>
      </c>
      <c r="B71" s="116" t="s">
        <v>1</v>
      </c>
      <c r="C71" s="116">
        <f>IF(C67="","",9.8*C67*C65/3600)</f>
        <v>70123.420888888897</v>
      </c>
      <c r="D71" s="116">
        <f t="shared" ref="D71:AZ71" si="5">IF(D67="","",9.8*D67*D65/3600)</f>
        <v>23037.554166666665</v>
      </c>
      <c r="E71" s="116">
        <f t="shared" si="5"/>
        <v>929.58444444444444</v>
      </c>
      <c r="F71" s="116">
        <f t="shared" si="5"/>
        <v>3264.4126666666671</v>
      </c>
      <c r="G71" s="116" t="str">
        <f t="shared" si="5"/>
        <v/>
      </c>
      <c r="H71" s="116" t="str">
        <f t="shared" si="5"/>
        <v/>
      </c>
      <c r="I71" s="116" t="str">
        <f t="shared" si="5"/>
        <v/>
      </c>
      <c r="J71" s="116" t="str">
        <f t="shared" si="5"/>
        <v/>
      </c>
      <c r="K71" s="116" t="str">
        <f t="shared" si="5"/>
        <v/>
      </c>
      <c r="L71" s="116" t="str">
        <f t="shared" si="5"/>
        <v/>
      </c>
      <c r="M71" s="116" t="str">
        <f t="shared" si="5"/>
        <v/>
      </c>
      <c r="N71" s="116" t="str">
        <f t="shared" si="5"/>
        <v/>
      </c>
      <c r="O71" s="116" t="str">
        <f t="shared" si="5"/>
        <v/>
      </c>
      <c r="P71" s="116" t="str">
        <f t="shared" si="5"/>
        <v/>
      </c>
      <c r="Q71" s="116" t="str">
        <f t="shared" si="5"/>
        <v/>
      </c>
      <c r="R71" s="116" t="str">
        <f t="shared" si="5"/>
        <v/>
      </c>
      <c r="S71" s="116" t="str">
        <f t="shared" si="5"/>
        <v/>
      </c>
      <c r="T71" s="116" t="str">
        <f t="shared" si="5"/>
        <v/>
      </c>
      <c r="U71" s="116" t="str">
        <f t="shared" si="5"/>
        <v/>
      </c>
      <c r="V71" s="116" t="str">
        <f t="shared" si="5"/>
        <v/>
      </c>
      <c r="W71" s="116" t="str">
        <f t="shared" si="5"/>
        <v/>
      </c>
      <c r="X71" s="116" t="str">
        <f t="shared" si="5"/>
        <v/>
      </c>
      <c r="Y71" s="116" t="str">
        <f t="shared" si="5"/>
        <v/>
      </c>
      <c r="Z71" s="116" t="str">
        <f t="shared" si="5"/>
        <v/>
      </c>
      <c r="AA71" s="116" t="str">
        <f t="shared" si="5"/>
        <v/>
      </c>
      <c r="AB71" s="116" t="str">
        <f t="shared" si="5"/>
        <v/>
      </c>
      <c r="AC71" s="116" t="str">
        <f t="shared" si="5"/>
        <v/>
      </c>
      <c r="AD71" s="116" t="str">
        <f t="shared" si="5"/>
        <v/>
      </c>
      <c r="AE71" s="116" t="str">
        <f t="shared" si="5"/>
        <v/>
      </c>
      <c r="AF71" s="116" t="str">
        <f t="shared" si="5"/>
        <v/>
      </c>
      <c r="AG71" s="116" t="str">
        <f t="shared" si="5"/>
        <v/>
      </c>
      <c r="AH71" s="116" t="str">
        <f t="shared" si="5"/>
        <v/>
      </c>
      <c r="AI71" s="116" t="str">
        <f t="shared" si="5"/>
        <v/>
      </c>
      <c r="AJ71" s="116" t="str">
        <f t="shared" si="5"/>
        <v/>
      </c>
      <c r="AK71" s="116" t="str">
        <f t="shared" si="5"/>
        <v/>
      </c>
      <c r="AL71" s="116" t="str">
        <f t="shared" si="5"/>
        <v/>
      </c>
      <c r="AM71" s="116" t="str">
        <f t="shared" si="5"/>
        <v/>
      </c>
      <c r="AN71" s="116" t="str">
        <f t="shared" si="5"/>
        <v/>
      </c>
      <c r="AO71" s="116" t="str">
        <f t="shared" si="5"/>
        <v/>
      </c>
      <c r="AP71" s="116" t="str">
        <f t="shared" si="5"/>
        <v/>
      </c>
      <c r="AQ71" s="116" t="str">
        <f t="shared" si="5"/>
        <v/>
      </c>
      <c r="AR71" s="116" t="str">
        <f t="shared" si="5"/>
        <v/>
      </c>
      <c r="AS71" s="116" t="str">
        <f t="shared" si="5"/>
        <v/>
      </c>
      <c r="AT71" s="116" t="str">
        <f t="shared" si="5"/>
        <v/>
      </c>
      <c r="AU71" s="116" t="str">
        <f t="shared" si="5"/>
        <v/>
      </c>
      <c r="AV71" s="116" t="str">
        <f t="shared" si="5"/>
        <v/>
      </c>
      <c r="AW71" s="116" t="str">
        <f t="shared" si="5"/>
        <v/>
      </c>
      <c r="AX71" s="116" t="str">
        <f t="shared" si="5"/>
        <v/>
      </c>
      <c r="AY71" s="116" t="str">
        <f t="shared" si="5"/>
        <v/>
      </c>
      <c r="AZ71" s="116" t="str">
        <f t="shared" si="5"/>
        <v/>
      </c>
      <c r="BA71" s="291"/>
      <c r="BB71" s="291"/>
      <c r="BC71" s="291"/>
      <c r="BD71" s="291"/>
      <c r="BE71" s="291"/>
      <c r="BF71" s="291"/>
      <c r="BG71" s="291"/>
      <c r="BH71" s="291"/>
      <c r="BI71" s="291"/>
      <c r="BJ71" s="291"/>
      <c r="BK71" s="291"/>
      <c r="BL71" s="291"/>
      <c r="BM71" s="291"/>
      <c r="BN71" s="291"/>
      <c r="BO71" s="291"/>
      <c r="BP71" s="291"/>
      <c r="BQ71" s="291"/>
      <c r="BR71" s="291"/>
      <c r="BS71" s="291"/>
      <c r="BT71" s="291"/>
      <c r="BU71" s="291"/>
      <c r="BV71" s="291"/>
      <c r="BW71" s="291"/>
      <c r="BX71" s="291"/>
      <c r="BY71" s="291"/>
      <c r="BZ71" s="291"/>
      <c r="CA71" s="291"/>
      <c r="CB71" s="291"/>
      <c r="CC71" s="291"/>
      <c r="CD71" s="291"/>
      <c r="CE71" s="291"/>
      <c r="CF71" s="291"/>
      <c r="CG71" s="291"/>
      <c r="CH71" s="291"/>
      <c r="CI71" s="291"/>
    </row>
    <row r="72" spans="1:87" s="193" customFormat="1">
      <c r="A72" s="115" t="s">
        <v>259</v>
      </c>
      <c r="B72" s="116" t="s">
        <v>1</v>
      </c>
      <c r="C72" s="116">
        <f>IF(C67="","",C69+C71)</f>
        <v>70123.420888888897</v>
      </c>
      <c r="D72" s="116">
        <f t="shared" ref="D72:AZ72" si="6">IF(D67="","",D69+D71)</f>
        <v>23037.554166666665</v>
      </c>
      <c r="E72" s="116">
        <f t="shared" si="6"/>
        <v>929.58444444444444</v>
      </c>
      <c r="F72" s="116">
        <f t="shared" si="6"/>
        <v>3264.4126666666671</v>
      </c>
      <c r="G72" s="116" t="str">
        <f t="shared" si="6"/>
        <v/>
      </c>
      <c r="H72" s="116" t="str">
        <f t="shared" si="6"/>
        <v/>
      </c>
      <c r="I72" s="116" t="str">
        <f t="shared" si="6"/>
        <v/>
      </c>
      <c r="J72" s="116" t="str">
        <f t="shared" si="6"/>
        <v/>
      </c>
      <c r="K72" s="116" t="str">
        <f t="shared" si="6"/>
        <v/>
      </c>
      <c r="L72" s="116" t="str">
        <f t="shared" si="6"/>
        <v/>
      </c>
      <c r="M72" s="116" t="str">
        <f t="shared" si="6"/>
        <v/>
      </c>
      <c r="N72" s="116" t="str">
        <f t="shared" si="6"/>
        <v/>
      </c>
      <c r="O72" s="116" t="str">
        <f t="shared" si="6"/>
        <v/>
      </c>
      <c r="P72" s="116" t="str">
        <f t="shared" si="6"/>
        <v/>
      </c>
      <c r="Q72" s="116" t="str">
        <f t="shared" si="6"/>
        <v/>
      </c>
      <c r="R72" s="116" t="str">
        <f t="shared" si="6"/>
        <v/>
      </c>
      <c r="S72" s="116" t="str">
        <f t="shared" si="6"/>
        <v/>
      </c>
      <c r="T72" s="116" t="str">
        <f t="shared" si="6"/>
        <v/>
      </c>
      <c r="U72" s="116" t="str">
        <f t="shared" si="6"/>
        <v/>
      </c>
      <c r="V72" s="116" t="str">
        <f t="shared" si="6"/>
        <v/>
      </c>
      <c r="W72" s="116" t="str">
        <f t="shared" si="6"/>
        <v/>
      </c>
      <c r="X72" s="116" t="str">
        <f t="shared" si="6"/>
        <v/>
      </c>
      <c r="Y72" s="116" t="str">
        <f t="shared" si="6"/>
        <v/>
      </c>
      <c r="Z72" s="116" t="str">
        <f t="shared" si="6"/>
        <v/>
      </c>
      <c r="AA72" s="116" t="str">
        <f t="shared" si="6"/>
        <v/>
      </c>
      <c r="AB72" s="116" t="str">
        <f t="shared" si="6"/>
        <v/>
      </c>
      <c r="AC72" s="116" t="str">
        <f t="shared" si="6"/>
        <v/>
      </c>
      <c r="AD72" s="116" t="str">
        <f t="shared" si="6"/>
        <v/>
      </c>
      <c r="AE72" s="116" t="str">
        <f t="shared" si="6"/>
        <v/>
      </c>
      <c r="AF72" s="116" t="str">
        <f t="shared" si="6"/>
        <v/>
      </c>
      <c r="AG72" s="116" t="str">
        <f t="shared" si="6"/>
        <v/>
      </c>
      <c r="AH72" s="116" t="str">
        <f t="shared" si="6"/>
        <v/>
      </c>
      <c r="AI72" s="116" t="str">
        <f t="shared" si="6"/>
        <v/>
      </c>
      <c r="AJ72" s="116" t="str">
        <f t="shared" si="6"/>
        <v/>
      </c>
      <c r="AK72" s="116" t="str">
        <f t="shared" si="6"/>
        <v/>
      </c>
      <c r="AL72" s="116" t="str">
        <f t="shared" si="6"/>
        <v/>
      </c>
      <c r="AM72" s="116" t="str">
        <f t="shared" si="6"/>
        <v/>
      </c>
      <c r="AN72" s="116" t="str">
        <f t="shared" si="6"/>
        <v/>
      </c>
      <c r="AO72" s="116" t="str">
        <f t="shared" si="6"/>
        <v/>
      </c>
      <c r="AP72" s="116" t="str">
        <f t="shared" si="6"/>
        <v/>
      </c>
      <c r="AQ72" s="116" t="str">
        <f t="shared" si="6"/>
        <v/>
      </c>
      <c r="AR72" s="116" t="str">
        <f t="shared" si="6"/>
        <v/>
      </c>
      <c r="AS72" s="116" t="str">
        <f t="shared" si="6"/>
        <v/>
      </c>
      <c r="AT72" s="116" t="str">
        <f t="shared" si="6"/>
        <v/>
      </c>
      <c r="AU72" s="116" t="str">
        <f t="shared" si="6"/>
        <v/>
      </c>
      <c r="AV72" s="116" t="str">
        <f t="shared" si="6"/>
        <v/>
      </c>
      <c r="AW72" s="116" t="str">
        <f t="shared" si="6"/>
        <v/>
      </c>
      <c r="AX72" s="116" t="str">
        <f t="shared" si="6"/>
        <v/>
      </c>
      <c r="AY72" s="116" t="str">
        <f t="shared" si="6"/>
        <v/>
      </c>
      <c r="AZ72" s="116" t="str">
        <f t="shared" si="6"/>
        <v/>
      </c>
      <c r="BA72" s="291"/>
      <c r="BB72" s="291"/>
      <c r="BC72" s="291"/>
      <c r="BD72" s="291"/>
      <c r="BE72" s="291"/>
      <c r="BF72" s="291"/>
      <c r="BG72" s="291"/>
      <c r="BH72" s="291"/>
      <c r="BI72" s="291"/>
      <c r="BJ72" s="291"/>
      <c r="BK72" s="291"/>
      <c r="BL72" s="291"/>
      <c r="BM72" s="291"/>
      <c r="BN72" s="291"/>
      <c r="BO72" s="291"/>
      <c r="BP72" s="291"/>
      <c r="BQ72" s="291"/>
      <c r="BR72" s="291"/>
      <c r="BS72" s="291"/>
      <c r="BT72" s="291"/>
      <c r="BU72" s="291"/>
      <c r="BV72" s="291"/>
      <c r="BW72" s="291"/>
      <c r="BX72" s="291"/>
      <c r="BY72" s="291"/>
      <c r="BZ72" s="291"/>
      <c r="CA72" s="291"/>
      <c r="CB72" s="291"/>
      <c r="CC72" s="291"/>
      <c r="CD72" s="291"/>
      <c r="CE72" s="291"/>
      <c r="CF72" s="291"/>
      <c r="CG72" s="291"/>
      <c r="CH72" s="291"/>
      <c r="CI72" s="291"/>
    </row>
    <row r="73" spans="1:87" s="193" customFormat="1">
      <c r="A73" s="115" t="s">
        <v>118</v>
      </c>
      <c r="B73" s="116" t="s">
        <v>23</v>
      </c>
      <c r="C73" s="288">
        <f>IF(C68="","",(C71+D71+E71+F71)/(C68))</f>
        <v>0.50567706969866966</v>
      </c>
      <c r="D73" s="288" t="str">
        <f t="shared" ref="D73:AH73" si="7">IF(D68="","",(D71)/(D68))</f>
        <v/>
      </c>
      <c r="E73" s="288" t="str">
        <f t="shared" si="7"/>
        <v/>
      </c>
      <c r="F73" s="288" t="str">
        <f t="shared" si="7"/>
        <v/>
      </c>
      <c r="G73" s="288" t="str">
        <f t="shared" si="7"/>
        <v/>
      </c>
      <c r="H73" s="288" t="str">
        <f t="shared" si="7"/>
        <v/>
      </c>
      <c r="I73" s="288" t="str">
        <f t="shared" si="7"/>
        <v/>
      </c>
      <c r="J73" s="288" t="str">
        <f t="shared" si="7"/>
        <v/>
      </c>
      <c r="K73" s="288" t="str">
        <f t="shared" si="7"/>
        <v/>
      </c>
      <c r="L73" s="288" t="str">
        <f t="shared" si="7"/>
        <v/>
      </c>
      <c r="M73" s="288" t="str">
        <f t="shared" si="7"/>
        <v/>
      </c>
      <c r="N73" s="288" t="str">
        <f t="shared" si="7"/>
        <v/>
      </c>
      <c r="O73" s="288" t="str">
        <f t="shared" si="7"/>
        <v/>
      </c>
      <c r="P73" s="288" t="str">
        <f t="shared" si="7"/>
        <v/>
      </c>
      <c r="Q73" s="288" t="str">
        <f t="shared" si="7"/>
        <v/>
      </c>
      <c r="R73" s="288" t="str">
        <f t="shared" si="7"/>
        <v/>
      </c>
      <c r="S73" s="288" t="str">
        <f t="shared" si="7"/>
        <v/>
      </c>
      <c r="T73" s="288" t="str">
        <f t="shared" si="7"/>
        <v/>
      </c>
      <c r="U73" s="288" t="str">
        <f t="shared" si="7"/>
        <v/>
      </c>
      <c r="V73" s="288" t="str">
        <f t="shared" si="7"/>
        <v/>
      </c>
      <c r="W73" s="288" t="str">
        <f t="shared" si="7"/>
        <v/>
      </c>
      <c r="X73" s="288" t="str">
        <f t="shared" si="7"/>
        <v/>
      </c>
      <c r="Y73" s="288" t="str">
        <f t="shared" si="7"/>
        <v/>
      </c>
      <c r="Z73" s="288" t="str">
        <f t="shared" si="7"/>
        <v/>
      </c>
      <c r="AA73" s="288" t="str">
        <f t="shared" si="7"/>
        <v/>
      </c>
      <c r="AB73" s="288" t="str">
        <f t="shared" si="7"/>
        <v/>
      </c>
      <c r="AC73" s="288" t="str">
        <f t="shared" si="7"/>
        <v/>
      </c>
      <c r="AD73" s="288" t="str">
        <f t="shared" si="7"/>
        <v/>
      </c>
      <c r="AE73" s="288" t="str">
        <f t="shared" si="7"/>
        <v/>
      </c>
      <c r="AF73" s="288" t="str">
        <f t="shared" si="7"/>
        <v/>
      </c>
      <c r="AG73" s="288" t="str">
        <f t="shared" si="7"/>
        <v/>
      </c>
      <c r="AH73" s="288" t="str">
        <f t="shared" si="7"/>
        <v/>
      </c>
      <c r="AI73" s="288" t="str">
        <f t="shared" ref="AI73:AZ73" si="8">IF(AI68="","",(AI71)/(AI68))</f>
        <v/>
      </c>
      <c r="AJ73" s="288" t="str">
        <f t="shared" si="8"/>
        <v/>
      </c>
      <c r="AK73" s="288" t="str">
        <f t="shared" si="8"/>
        <v/>
      </c>
      <c r="AL73" s="288" t="str">
        <f t="shared" si="8"/>
        <v/>
      </c>
      <c r="AM73" s="288" t="str">
        <f t="shared" si="8"/>
        <v/>
      </c>
      <c r="AN73" s="288" t="str">
        <f t="shared" si="8"/>
        <v/>
      </c>
      <c r="AO73" s="288" t="str">
        <f t="shared" si="8"/>
        <v/>
      </c>
      <c r="AP73" s="288" t="str">
        <f t="shared" si="8"/>
        <v/>
      </c>
      <c r="AQ73" s="288" t="str">
        <f t="shared" si="8"/>
        <v/>
      </c>
      <c r="AR73" s="288" t="str">
        <f t="shared" si="8"/>
        <v/>
      </c>
      <c r="AS73" s="288" t="str">
        <f t="shared" si="8"/>
        <v/>
      </c>
      <c r="AT73" s="288" t="str">
        <f t="shared" si="8"/>
        <v/>
      </c>
      <c r="AU73" s="288" t="str">
        <f t="shared" si="8"/>
        <v/>
      </c>
      <c r="AV73" s="288" t="str">
        <f t="shared" si="8"/>
        <v/>
      </c>
      <c r="AW73" s="288" t="str">
        <f t="shared" si="8"/>
        <v/>
      </c>
      <c r="AX73" s="288" t="str">
        <f t="shared" si="8"/>
        <v/>
      </c>
      <c r="AY73" s="288" t="str">
        <f t="shared" si="8"/>
        <v/>
      </c>
      <c r="AZ73" s="288" t="str">
        <f t="shared" si="8"/>
        <v/>
      </c>
      <c r="BA73" s="291"/>
      <c r="BB73" s="291"/>
      <c r="BC73" s="291"/>
      <c r="BD73" s="291"/>
      <c r="BE73" s="291"/>
      <c r="BF73" s="291"/>
      <c r="BG73" s="291"/>
      <c r="BH73" s="291"/>
      <c r="BI73" s="291"/>
      <c r="BJ73" s="291"/>
      <c r="BK73" s="291"/>
      <c r="BL73" s="291"/>
      <c r="BM73" s="291"/>
      <c r="BN73" s="291"/>
      <c r="BO73" s="291"/>
      <c r="BP73" s="291"/>
      <c r="BQ73" s="291"/>
      <c r="BR73" s="291"/>
      <c r="BS73" s="291"/>
      <c r="BT73" s="291"/>
      <c r="BU73" s="291"/>
      <c r="BV73" s="291"/>
      <c r="BW73" s="291"/>
      <c r="BX73" s="291"/>
      <c r="BY73" s="291"/>
      <c r="BZ73" s="291"/>
      <c r="CA73" s="291"/>
      <c r="CB73" s="291"/>
      <c r="CC73" s="291"/>
      <c r="CD73" s="291"/>
      <c r="CE73" s="291"/>
      <c r="CF73" s="291"/>
      <c r="CG73" s="291"/>
      <c r="CH73" s="291"/>
      <c r="CI73" s="291"/>
    </row>
    <row r="74" spans="1:87" s="291" customFormat="1">
      <c r="A74" s="115" t="s">
        <v>120</v>
      </c>
      <c r="B74" s="116" t="s">
        <v>1</v>
      </c>
      <c r="C74" s="116">
        <f>IF(C68="","",C68-C71)</f>
        <v>122400.5791111111</v>
      </c>
      <c r="D74" s="116" t="str">
        <f t="shared" ref="D74:AZ74" si="9">IF(D68="","",D68-D71)</f>
        <v/>
      </c>
      <c r="E74" s="116" t="str">
        <f t="shared" si="9"/>
        <v/>
      </c>
      <c r="F74" s="116" t="str">
        <f t="shared" si="9"/>
        <v/>
      </c>
      <c r="G74" s="116" t="str">
        <f t="shared" si="9"/>
        <v/>
      </c>
      <c r="H74" s="116" t="str">
        <f t="shared" si="9"/>
        <v/>
      </c>
      <c r="I74" s="116" t="str">
        <f t="shared" si="9"/>
        <v/>
      </c>
      <c r="J74" s="116" t="str">
        <f t="shared" si="9"/>
        <v/>
      </c>
      <c r="K74" s="116" t="str">
        <f t="shared" si="9"/>
        <v/>
      </c>
      <c r="L74" s="116" t="str">
        <f t="shared" si="9"/>
        <v/>
      </c>
      <c r="M74" s="116" t="str">
        <f t="shared" si="9"/>
        <v/>
      </c>
      <c r="N74" s="116" t="str">
        <f t="shared" si="9"/>
        <v/>
      </c>
      <c r="O74" s="116" t="str">
        <f t="shared" si="9"/>
        <v/>
      </c>
      <c r="P74" s="116" t="str">
        <f t="shared" si="9"/>
        <v/>
      </c>
      <c r="Q74" s="116" t="str">
        <f t="shared" si="9"/>
        <v/>
      </c>
      <c r="R74" s="116" t="str">
        <f t="shared" si="9"/>
        <v/>
      </c>
      <c r="S74" s="116" t="str">
        <f t="shared" si="9"/>
        <v/>
      </c>
      <c r="T74" s="116" t="str">
        <f t="shared" si="9"/>
        <v/>
      </c>
      <c r="U74" s="116" t="str">
        <f t="shared" si="9"/>
        <v/>
      </c>
      <c r="V74" s="116" t="str">
        <f t="shared" si="9"/>
        <v/>
      </c>
      <c r="W74" s="116" t="str">
        <f t="shared" si="9"/>
        <v/>
      </c>
      <c r="X74" s="116" t="str">
        <f t="shared" si="9"/>
        <v/>
      </c>
      <c r="Y74" s="116" t="str">
        <f t="shared" si="9"/>
        <v/>
      </c>
      <c r="Z74" s="116" t="str">
        <f t="shared" si="9"/>
        <v/>
      </c>
      <c r="AA74" s="116" t="str">
        <f t="shared" si="9"/>
        <v/>
      </c>
      <c r="AB74" s="116" t="str">
        <f t="shared" si="9"/>
        <v/>
      </c>
      <c r="AC74" s="116" t="str">
        <f t="shared" si="9"/>
        <v/>
      </c>
      <c r="AD74" s="116" t="str">
        <f t="shared" si="9"/>
        <v/>
      </c>
      <c r="AE74" s="116" t="str">
        <f t="shared" si="9"/>
        <v/>
      </c>
      <c r="AF74" s="116" t="str">
        <f t="shared" si="9"/>
        <v/>
      </c>
      <c r="AG74" s="116" t="str">
        <f t="shared" si="9"/>
        <v/>
      </c>
      <c r="AH74" s="116" t="str">
        <f t="shared" si="9"/>
        <v/>
      </c>
      <c r="AI74" s="116" t="str">
        <f t="shared" si="9"/>
        <v/>
      </c>
      <c r="AJ74" s="116" t="str">
        <f t="shared" si="9"/>
        <v/>
      </c>
      <c r="AK74" s="116" t="str">
        <f t="shared" si="9"/>
        <v/>
      </c>
      <c r="AL74" s="116" t="str">
        <f t="shared" si="9"/>
        <v/>
      </c>
      <c r="AM74" s="116" t="str">
        <f t="shared" si="9"/>
        <v/>
      </c>
      <c r="AN74" s="116" t="str">
        <f t="shared" si="9"/>
        <v/>
      </c>
      <c r="AO74" s="116" t="str">
        <f t="shared" si="9"/>
        <v/>
      </c>
      <c r="AP74" s="116" t="str">
        <f t="shared" si="9"/>
        <v/>
      </c>
      <c r="AQ74" s="116" t="str">
        <f t="shared" si="9"/>
        <v/>
      </c>
      <c r="AR74" s="116" t="str">
        <f t="shared" si="9"/>
        <v/>
      </c>
      <c r="AS74" s="116" t="str">
        <f t="shared" si="9"/>
        <v/>
      </c>
      <c r="AT74" s="116" t="str">
        <f t="shared" si="9"/>
        <v/>
      </c>
      <c r="AU74" s="116" t="str">
        <f t="shared" si="9"/>
        <v/>
      </c>
      <c r="AV74" s="116" t="str">
        <f t="shared" si="9"/>
        <v/>
      </c>
      <c r="AW74" s="116" t="str">
        <f t="shared" si="9"/>
        <v/>
      </c>
      <c r="AX74" s="116" t="str">
        <f t="shared" si="9"/>
        <v/>
      </c>
      <c r="AY74" s="116" t="str">
        <f t="shared" si="9"/>
        <v/>
      </c>
      <c r="AZ74" s="116" t="str">
        <f t="shared" si="9"/>
        <v/>
      </c>
    </row>
    <row r="75" spans="1:87" s="291" customFormat="1" ht="16.5">
      <c r="A75" s="115" t="s">
        <v>144</v>
      </c>
      <c r="B75" s="116" t="s">
        <v>145</v>
      </c>
      <c r="C75" s="116">
        <f>IF(C68="","",SUMPRODUCT(C67:F67,C65:F65)/100)</f>
        <v>357630.51</v>
      </c>
      <c r="D75" s="116" t="str">
        <f t="shared" ref="D75:AZ75" si="10">IF(D68="","",D67*D65/100)</f>
        <v/>
      </c>
      <c r="E75" s="116" t="str">
        <f t="shared" si="10"/>
        <v/>
      </c>
      <c r="F75" s="116" t="str">
        <f t="shared" si="10"/>
        <v/>
      </c>
      <c r="G75" s="116" t="str">
        <f t="shared" si="10"/>
        <v/>
      </c>
      <c r="H75" s="116" t="str">
        <f t="shared" si="10"/>
        <v/>
      </c>
      <c r="I75" s="116" t="str">
        <f t="shared" si="10"/>
        <v/>
      </c>
      <c r="J75" s="116" t="str">
        <f t="shared" si="10"/>
        <v/>
      </c>
      <c r="K75" s="116" t="str">
        <f t="shared" si="10"/>
        <v/>
      </c>
      <c r="L75" s="116" t="str">
        <f t="shared" si="10"/>
        <v/>
      </c>
      <c r="M75" s="116" t="str">
        <f t="shared" si="10"/>
        <v/>
      </c>
      <c r="N75" s="116" t="str">
        <f t="shared" si="10"/>
        <v/>
      </c>
      <c r="O75" s="116" t="str">
        <f t="shared" si="10"/>
        <v/>
      </c>
      <c r="P75" s="116" t="str">
        <f t="shared" si="10"/>
        <v/>
      </c>
      <c r="Q75" s="116" t="str">
        <f t="shared" si="10"/>
        <v/>
      </c>
      <c r="R75" s="116" t="str">
        <f t="shared" si="10"/>
        <v/>
      </c>
      <c r="S75" s="116" t="str">
        <f t="shared" si="10"/>
        <v/>
      </c>
      <c r="T75" s="116" t="str">
        <f t="shared" si="10"/>
        <v/>
      </c>
      <c r="U75" s="116" t="str">
        <f t="shared" si="10"/>
        <v/>
      </c>
      <c r="V75" s="116" t="str">
        <f t="shared" si="10"/>
        <v/>
      </c>
      <c r="W75" s="116" t="str">
        <f t="shared" si="10"/>
        <v/>
      </c>
      <c r="X75" s="116" t="str">
        <f t="shared" si="10"/>
        <v/>
      </c>
      <c r="Y75" s="116" t="str">
        <f t="shared" si="10"/>
        <v/>
      </c>
      <c r="Z75" s="116" t="str">
        <f t="shared" si="10"/>
        <v/>
      </c>
      <c r="AA75" s="116" t="str">
        <f t="shared" si="10"/>
        <v/>
      </c>
      <c r="AB75" s="116" t="str">
        <f t="shared" si="10"/>
        <v/>
      </c>
      <c r="AC75" s="116" t="str">
        <f t="shared" si="10"/>
        <v/>
      </c>
      <c r="AD75" s="116" t="str">
        <f t="shared" si="10"/>
        <v/>
      </c>
      <c r="AE75" s="116" t="str">
        <f t="shared" si="10"/>
        <v/>
      </c>
      <c r="AF75" s="116" t="str">
        <f t="shared" si="10"/>
        <v/>
      </c>
      <c r="AG75" s="116" t="str">
        <f t="shared" si="10"/>
        <v/>
      </c>
      <c r="AH75" s="116" t="str">
        <f t="shared" si="10"/>
        <v/>
      </c>
      <c r="AI75" s="116" t="str">
        <f t="shared" si="10"/>
        <v/>
      </c>
      <c r="AJ75" s="116" t="str">
        <f t="shared" si="10"/>
        <v/>
      </c>
      <c r="AK75" s="116" t="str">
        <f t="shared" si="10"/>
        <v/>
      </c>
      <c r="AL75" s="116" t="str">
        <f t="shared" si="10"/>
        <v/>
      </c>
      <c r="AM75" s="116" t="str">
        <f t="shared" si="10"/>
        <v/>
      </c>
      <c r="AN75" s="116" t="str">
        <f t="shared" si="10"/>
        <v/>
      </c>
      <c r="AO75" s="116" t="str">
        <f t="shared" si="10"/>
        <v/>
      </c>
      <c r="AP75" s="116" t="str">
        <f t="shared" si="10"/>
        <v/>
      </c>
      <c r="AQ75" s="116" t="str">
        <f t="shared" si="10"/>
        <v/>
      </c>
      <c r="AR75" s="116" t="str">
        <f t="shared" si="10"/>
        <v/>
      </c>
      <c r="AS75" s="116" t="str">
        <f t="shared" si="10"/>
        <v/>
      </c>
      <c r="AT75" s="116" t="str">
        <f t="shared" si="10"/>
        <v/>
      </c>
      <c r="AU75" s="116" t="str">
        <f t="shared" si="10"/>
        <v/>
      </c>
      <c r="AV75" s="116" t="str">
        <f t="shared" si="10"/>
        <v/>
      </c>
      <c r="AW75" s="116" t="str">
        <f t="shared" si="10"/>
        <v/>
      </c>
      <c r="AX75" s="116" t="str">
        <f t="shared" si="10"/>
        <v/>
      </c>
      <c r="AY75" s="116" t="str">
        <f t="shared" si="10"/>
        <v/>
      </c>
      <c r="AZ75" s="116" t="str">
        <f t="shared" si="10"/>
        <v/>
      </c>
    </row>
    <row r="76" spans="1:87" s="291" customFormat="1" ht="16.5">
      <c r="A76" s="115" t="s">
        <v>187</v>
      </c>
      <c r="B76" s="116" t="s">
        <v>140</v>
      </c>
      <c r="C76" s="136">
        <f>IF(C68="","",C68/C75)</f>
        <v>0.53833214621425896</v>
      </c>
      <c r="D76" s="137" t="str">
        <f t="shared" ref="D76:AH76" si="11">IF(D68="","",D68/D75)</f>
        <v/>
      </c>
      <c r="E76" s="137" t="str">
        <f t="shared" si="11"/>
        <v/>
      </c>
      <c r="F76" s="116" t="str">
        <f t="shared" si="11"/>
        <v/>
      </c>
      <c r="G76" s="116" t="str">
        <f t="shared" si="11"/>
        <v/>
      </c>
      <c r="H76" s="116" t="str">
        <f t="shared" si="11"/>
        <v/>
      </c>
      <c r="I76" s="116" t="str">
        <f t="shared" si="11"/>
        <v/>
      </c>
      <c r="J76" s="116" t="str">
        <f t="shared" si="11"/>
        <v/>
      </c>
      <c r="K76" s="116" t="str">
        <f t="shared" si="11"/>
        <v/>
      </c>
      <c r="L76" s="116" t="str">
        <f t="shared" si="11"/>
        <v/>
      </c>
      <c r="M76" s="116" t="str">
        <f t="shared" si="11"/>
        <v/>
      </c>
      <c r="N76" s="116" t="str">
        <f t="shared" si="11"/>
        <v/>
      </c>
      <c r="O76" s="116" t="str">
        <f t="shared" si="11"/>
        <v/>
      </c>
      <c r="P76" s="116" t="str">
        <f t="shared" si="11"/>
        <v/>
      </c>
      <c r="Q76" s="116" t="str">
        <f t="shared" si="11"/>
        <v/>
      </c>
      <c r="R76" s="116" t="str">
        <f t="shared" si="11"/>
        <v/>
      </c>
      <c r="S76" s="116" t="str">
        <f t="shared" si="11"/>
        <v/>
      </c>
      <c r="T76" s="116" t="str">
        <f t="shared" si="11"/>
        <v/>
      </c>
      <c r="U76" s="116" t="str">
        <f t="shared" si="11"/>
        <v/>
      </c>
      <c r="V76" s="116" t="str">
        <f t="shared" si="11"/>
        <v/>
      </c>
      <c r="W76" s="116" t="str">
        <f t="shared" si="11"/>
        <v/>
      </c>
      <c r="X76" s="116" t="str">
        <f t="shared" si="11"/>
        <v/>
      </c>
      <c r="Y76" s="116" t="str">
        <f t="shared" si="11"/>
        <v/>
      </c>
      <c r="Z76" s="116" t="str">
        <f t="shared" si="11"/>
        <v/>
      </c>
      <c r="AA76" s="116" t="str">
        <f t="shared" si="11"/>
        <v/>
      </c>
      <c r="AB76" s="116" t="str">
        <f t="shared" si="11"/>
        <v/>
      </c>
      <c r="AC76" s="116" t="str">
        <f t="shared" si="11"/>
        <v/>
      </c>
      <c r="AD76" s="116" t="str">
        <f t="shared" si="11"/>
        <v/>
      </c>
      <c r="AE76" s="116" t="str">
        <f t="shared" si="11"/>
        <v/>
      </c>
      <c r="AF76" s="116" t="str">
        <f t="shared" si="11"/>
        <v/>
      </c>
      <c r="AG76" s="116" t="str">
        <f t="shared" si="11"/>
        <v/>
      </c>
      <c r="AH76" s="116" t="str">
        <f t="shared" si="11"/>
        <v/>
      </c>
      <c r="AI76" s="116" t="str">
        <f t="shared" ref="AI76:AZ76" si="12">IF(AI68="","",AI68/AI75)</f>
        <v/>
      </c>
      <c r="AJ76" s="116" t="str">
        <f t="shared" si="12"/>
        <v/>
      </c>
      <c r="AK76" s="116" t="str">
        <f t="shared" si="12"/>
        <v/>
      </c>
      <c r="AL76" s="116" t="str">
        <f t="shared" si="12"/>
        <v/>
      </c>
      <c r="AM76" s="116" t="str">
        <f t="shared" si="12"/>
        <v/>
      </c>
      <c r="AN76" s="116" t="str">
        <f t="shared" si="12"/>
        <v/>
      </c>
      <c r="AO76" s="116" t="str">
        <f t="shared" si="12"/>
        <v/>
      </c>
      <c r="AP76" s="116" t="str">
        <f t="shared" si="12"/>
        <v/>
      </c>
      <c r="AQ76" s="116" t="str">
        <f t="shared" si="12"/>
        <v/>
      </c>
      <c r="AR76" s="116" t="str">
        <f t="shared" si="12"/>
        <v/>
      </c>
      <c r="AS76" s="116" t="str">
        <f t="shared" si="12"/>
        <v/>
      </c>
      <c r="AT76" s="116" t="str">
        <f t="shared" si="12"/>
        <v/>
      </c>
      <c r="AU76" s="116" t="str">
        <f t="shared" si="12"/>
        <v/>
      </c>
      <c r="AV76" s="116" t="str">
        <f t="shared" si="12"/>
        <v/>
      </c>
      <c r="AW76" s="116" t="str">
        <f t="shared" si="12"/>
        <v/>
      </c>
      <c r="AX76" s="116" t="str">
        <f t="shared" si="12"/>
        <v/>
      </c>
      <c r="AY76" s="116" t="str">
        <f t="shared" si="12"/>
        <v/>
      </c>
      <c r="AZ76" s="116" t="str">
        <f t="shared" si="12"/>
        <v/>
      </c>
    </row>
    <row r="77" spans="1:87" s="291" customFormat="1" ht="16.5">
      <c r="A77" s="138" t="s">
        <v>147</v>
      </c>
      <c r="B77" s="116" t="s">
        <v>25</v>
      </c>
      <c r="C77" s="116">
        <f>IF(C60="","",IF(AND(C60="EE à entrada",C61="Reservatório"),0,IF(C60="EE à entrada",C67,0)))</f>
        <v>0</v>
      </c>
      <c r="D77" s="116">
        <f t="shared" ref="D77:AZ77" si="13">IF(D60="","",IF(AND(D60="EE à entrada",D61="Reservatório"),0,IF(D60="EE à entrada",D67,0)))</f>
        <v>0</v>
      </c>
      <c r="E77" s="116">
        <f t="shared" si="13"/>
        <v>0</v>
      </c>
      <c r="F77" s="116">
        <f t="shared" si="13"/>
        <v>0</v>
      </c>
      <c r="G77" s="116" t="str">
        <f t="shared" si="13"/>
        <v/>
      </c>
      <c r="H77" s="116" t="str">
        <f t="shared" si="13"/>
        <v/>
      </c>
      <c r="I77" s="116" t="str">
        <f t="shared" si="13"/>
        <v/>
      </c>
      <c r="J77" s="116" t="str">
        <f t="shared" si="13"/>
        <v/>
      </c>
      <c r="K77" s="116" t="str">
        <f t="shared" si="13"/>
        <v/>
      </c>
      <c r="L77" s="116" t="str">
        <f t="shared" si="13"/>
        <v/>
      </c>
      <c r="M77" s="116" t="str">
        <f t="shared" si="13"/>
        <v/>
      </c>
      <c r="N77" s="116" t="str">
        <f t="shared" si="13"/>
        <v/>
      </c>
      <c r="O77" s="116" t="str">
        <f t="shared" si="13"/>
        <v/>
      </c>
      <c r="P77" s="116" t="str">
        <f t="shared" si="13"/>
        <v/>
      </c>
      <c r="Q77" s="116" t="str">
        <f t="shared" si="13"/>
        <v/>
      </c>
      <c r="R77" s="116" t="str">
        <f t="shared" si="13"/>
        <v/>
      </c>
      <c r="S77" s="116" t="str">
        <f t="shared" si="13"/>
        <v/>
      </c>
      <c r="T77" s="116" t="str">
        <f t="shared" si="13"/>
        <v/>
      </c>
      <c r="U77" s="116" t="str">
        <f t="shared" si="13"/>
        <v/>
      </c>
      <c r="V77" s="116" t="str">
        <f t="shared" si="13"/>
        <v/>
      </c>
      <c r="W77" s="116" t="str">
        <f t="shared" si="13"/>
        <v/>
      </c>
      <c r="X77" s="116" t="str">
        <f t="shared" si="13"/>
        <v/>
      </c>
      <c r="Y77" s="116" t="str">
        <f t="shared" si="13"/>
        <v/>
      </c>
      <c r="Z77" s="116" t="str">
        <f t="shared" si="13"/>
        <v/>
      </c>
      <c r="AA77" s="116" t="str">
        <f t="shared" si="13"/>
        <v/>
      </c>
      <c r="AB77" s="116" t="str">
        <f t="shared" si="13"/>
        <v/>
      </c>
      <c r="AC77" s="116" t="str">
        <f t="shared" si="13"/>
        <v/>
      </c>
      <c r="AD77" s="116" t="str">
        <f t="shared" si="13"/>
        <v/>
      </c>
      <c r="AE77" s="116" t="str">
        <f t="shared" si="13"/>
        <v/>
      </c>
      <c r="AF77" s="116" t="str">
        <f t="shared" si="13"/>
        <v/>
      </c>
      <c r="AG77" s="116" t="str">
        <f t="shared" si="13"/>
        <v/>
      </c>
      <c r="AH77" s="116" t="str">
        <f t="shared" si="13"/>
        <v/>
      </c>
      <c r="AI77" s="116" t="str">
        <f t="shared" si="13"/>
        <v/>
      </c>
      <c r="AJ77" s="116" t="str">
        <f t="shared" si="13"/>
        <v/>
      </c>
      <c r="AK77" s="116" t="str">
        <f t="shared" si="13"/>
        <v/>
      </c>
      <c r="AL77" s="116" t="str">
        <f t="shared" si="13"/>
        <v/>
      </c>
      <c r="AM77" s="116" t="str">
        <f t="shared" si="13"/>
        <v/>
      </c>
      <c r="AN77" s="116" t="str">
        <f t="shared" si="13"/>
        <v/>
      </c>
      <c r="AO77" s="116" t="str">
        <f t="shared" si="13"/>
        <v/>
      </c>
      <c r="AP77" s="116" t="str">
        <f t="shared" si="13"/>
        <v/>
      </c>
      <c r="AQ77" s="116" t="str">
        <f t="shared" si="13"/>
        <v/>
      </c>
      <c r="AR77" s="116" t="str">
        <f t="shared" si="13"/>
        <v/>
      </c>
      <c r="AS77" s="116" t="str">
        <f t="shared" si="13"/>
        <v/>
      </c>
      <c r="AT77" s="116" t="str">
        <f t="shared" si="13"/>
        <v/>
      </c>
      <c r="AU77" s="116" t="str">
        <f t="shared" si="13"/>
        <v/>
      </c>
      <c r="AV77" s="116" t="str">
        <f t="shared" si="13"/>
        <v/>
      </c>
      <c r="AW77" s="116" t="str">
        <f t="shared" si="13"/>
        <v/>
      </c>
      <c r="AX77" s="116" t="str">
        <f t="shared" si="13"/>
        <v/>
      </c>
      <c r="AY77" s="116" t="str">
        <f t="shared" si="13"/>
        <v/>
      </c>
      <c r="AZ77" s="116" t="str">
        <f t="shared" si="13"/>
        <v/>
      </c>
    </row>
    <row r="78" spans="1:87" ht="33.75">
      <c r="A78" s="139" t="s">
        <v>174</v>
      </c>
      <c r="B78" s="121"/>
      <c r="C78" s="154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</row>
    <row r="79" spans="1:87">
      <c r="A79" s="139" t="s">
        <v>146</v>
      </c>
      <c r="B79" s="121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</row>
    <row r="80" spans="1:87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</row>
    <row r="81" spans="1:22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</row>
    <row r="82" spans="1:2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</row>
    <row r="83" spans="1:22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</row>
    <row r="84" spans="1:22">
      <c r="A84" s="90"/>
      <c r="B84" s="90"/>
      <c r="C84" s="90"/>
      <c r="D84" s="90"/>
      <c r="E84" s="90"/>
      <c r="Q84" s="90"/>
      <c r="R84" s="90"/>
    </row>
    <row r="85" spans="1:22">
      <c r="A85" s="90"/>
      <c r="B85" s="90"/>
      <c r="C85" s="90"/>
      <c r="D85" s="90"/>
      <c r="E85" s="90"/>
    </row>
    <row r="86" spans="1:22">
      <c r="A86" s="90"/>
      <c r="B86" s="90"/>
      <c r="C86" s="90"/>
      <c r="D86" s="90"/>
      <c r="E86" s="90"/>
    </row>
    <row r="87" spans="1:22">
      <c r="A87" s="90"/>
      <c r="B87" s="90"/>
      <c r="C87" s="90"/>
      <c r="D87" s="90"/>
      <c r="E87" s="90"/>
    </row>
    <row r="88" spans="1:22">
      <c r="A88" s="90"/>
      <c r="B88" s="90"/>
      <c r="C88" s="90"/>
      <c r="D88" s="90"/>
      <c r="E88" s="90"/>
    </row>
    <row r="89" spans="1:22">
      <c r="A89" s="90"/>
      <c r="B89" s="90"/>
      <c r="C89" s="90"/>
      <c r="D89" s="90"/>
      <c r="E89" s="90"/>
    </row>
    <row r="90" spans="1:22">
      <c r="A90" s="90"/>
      <c r="B90" s="90"/>
      <c r="C90" s="90"/>
      <c r="D90" s="90"/>
      <c r="E90" s="90"/>
    </row>
    <row r="91" spans="1:22">
      <c r="A91" s="90"/>
      <c r="B91" s="90"/>
      <c r="C91" s="90"/>
      <c r="D91" s="90"/>
      <c r="E91" s="90"/>
    </row>
    <row r="92" spans="1:22">
      <c r="A92" s="90"/>
      <c r="B92" s="90"/>
      <c r="C92" s="90"/>
      <c r="D92" s="90"/>
      <c r="E92" s="90"/>
    </row>
    <row r="93" spans="1:22">
      <c r="A93" s="90"/>
      <c r="B93" s="90"/>
      <c r="C93" s="90"/>
      <c r="D93" s="90"/>
      <c r="E93" s="90"/>
    </row>
    <row r="94" spans="1:22">
      <c r="A94" s="90"/>
      <c r="B94" s="90"/>
      <c r="C94" s="90"/>
      <c r="D94" s="90"/>
      <c r="E94" s="90"/>
    </row>
    <row r="95" spans="1:22">
      <c r="A95" s="90"/>
      <c r="B95" s="90"/>
      <c r="C95" s="90"/>
      <c r="D95" s="90"/>
      <c r="E95" s="90"/>
    </row>
    <row r="96" spans="1:22">
      <c r="A96" s="90"/>
      <c r="B96" s="90"/>
      <c r="C96" s="90"/>
      <c r="D96" s="90"/>
      <c r="E96" s="90"/>
    </row>
    <row r="97" spans="1:5">
      <c r="A97" s="90"/>
      <c r="B97" s="90"/>
      <c r="C97" s="90"/>
      <c r="D97" s="90"/>
      <c r="E97" s="90"/>
    </row>
    <row r="98" spans="1:5">
      <c r="A98" s="90"/>
      <c r="B98" s="90"/>
      <c r="C98" s="90"/>
      <c r="D98" s="90"/>
      <c r="E98" s="90"/>
    </row>
    <row r="99" spans="1:5">
      <c r="A99" s="90"/>
      <c r="B99" s="90"/>
      <c r="C99" s="90"/>
      <c r="D99" s="90"/>
      <c r="E99" s="90"/>
    </row>
    <row r="100" spans="1:5">
      <c r="A100" s="90"/>
      <c r="B100" s="90"/>
      <c r="C100" s="90"/>
    </row>
    <row r="101" spans="1:5">
      <c r="A101" s="90"/>
      <c r="B101" s="90"/>
      <c r="C101" s="90"/>
    </row>
    <row r="102" spans="1:5">
      <c r="A102" s="90"/>
      <c r="B102" s="90"/>
      <c r="C102" s="90"/>
    </row>
    <row r="103" spans="1:5">
      <c r="A103" s="90"/>
      <c r="B103" s="90"/>
      <c r="C103" s="90"/>
    </row>
    <row r="104" spans="1:5">
      <c r="A104" s="90"/>
      <c r="B104" s="90"/>
      <c r="C104" s="90"/>
    </row>
    <row r="105" spans="1:5">
      <c r="A105" s="90"/>
      <c r="B105" s="90"/>
      <c r="C105" s="90"/>
    </row>
    <row r="106" spans="1:5">
      <c r="A106" s="90"/>
      <c r="B106" s="90"/>
      <c r="C106" s="90"/>
    </row>
    <row r="107" spans="1:5">
      <c r="A107" s="90"/>
      <c r="B107" s="90"/>
      <c r="C107" s="90"/>
    </row>
    <row r="108" spans="1:5">
      <c r="A108" s="90"/>
      <c r="B108" s="90"/>
      <c r="C108" s="90"/>
    </row>
    <row r="109" spans="1:5">
      <c r="A109" s="90"/>
      <c r="B109" s="90"/>
      <c r="C109" s="90"/>
    </row>
    <row r="110" spans="1:5">
      <c r="A110" s="90"/>
      <c r="B110" s="90"/>
      <c r="C110" s="90"/>
    </row>
    <row r="111" spans="1:5">
      <c r="A111" s="90"/>
      <c r="B111" s="90"/>
      <c r="C111" s="90"/>
    </row>
    <row r="112" spans="1:5">
      <c r="A112" s="90"/>
      <c r="B112" s="90"/>
      <c r="C112" s="90"/>
    </row>
    <row r="113" spans="1:6">
      <c r="A113" s="90"/>
      <c r="B113" s="90"/>
      <c r="C113" s="90"/>
    </row>
    <row r="114" spans="1:6">
      <c r="A114" s="90"/>
      <c r="B114" s="90"/>
      <c r="C114" s="90"/>
    </row>
    <row r="115" spans="1:6">
      <c r="A115" s="90"/>
      <c r="B115" s="90"/>
      <c r="C115" s="90"/>
    </row>
    <row r="116" spans="1:6">
      <c r="A116" s="90"/>
      <c r="B116" s="90"/>
      <c r="C116" s="90"/>
    </row>
    <row r="117" spans="1:6">
      <c r="A117" s="90"/>
      <c r="B117" s="90"/>
      <c r="C117" s="90"/>
    </row>
    <row r="118" spans="1:6">
      <c r="A118" s="90"/>
      <c r="B118" s="90"/>
      <c r="C118" s="90"/>
    </row>
    <row r="119" spans="1:6">
      <c r="A119" s="90"/>
      <c r="B119" s="90"/>
      <c r="C119" s="90"/>
    </row>
    <row r="120" spans="1:6">
      <c r="A120" s="90"/>
      <c r="B120" s="90"/>
      <c r="C120" s="90"/>
    </row>
    <row r="121" spans="1:6">
      <c r="A121" s="90"/>
      <c r="B121" s="90"/>
      <c r="C121" s="90"/>
    </row>
    <row r="122" spans="1:6">
      <c r="A122" s="90"/>
      <c r="B122" s="90"/>
      <c r="C122" s="90"/>
      <c r="D122" s="90"/>
      <c r="E122" s="90"/>
      <c r="F122" s="90"/>
    </row>
    <row r="123" spans="1:6">
      <c r="A123" s="90"/>
      <c r="B123" s="90"/>
      <c r="C123" s="90"/>
      <c r="D123" s="90"/>
      <c r="E123" s="90"/>
      <c r="F123" s="90"/>
    </row>
    <row r="124" spans="1:6">
      <c r="A124" s="90"/>
      <c r="B124" s="90"/>
      <c r="C124" s="90"/>
      <c r="D124" s="90"/>
      <c r="E124" s="90"/>
      <c r="F124" s="90"/>
    </row>
    <row r="125" spans="1:6">
      <c r="A125" s="90"/>
      <c r="B125" s="90"/>
      <c r="C125" s="90"/>
      <c r="D125" s="90"/>
      <c r="E125" s="90"/>
      <c r="F125" s="90"/>
    </row>
    <row r="126" spans="1:6">
      <c r="A126" s="90"/>
      <c r="B126" s="90"/>
      <c r="C126" s="90"/>
      <c r="D126" s="90"/>
      <c r="E126" s="90"/>
      <c r="F126" s="90"/>
    </row>
    <row r="127" spans="1:6">
      <c r="A127" s="90"/>
      <c r="B127" s="90"/>
      <c r="C127" s="90"/>
      <c r="D127" s="90"/>
      <c r="E127" s="90"/>
      <c r="F127" s="90"/>
    </row>
  </sheetData>
  <sheetProtection algorithmName="SHA-512" hashValue="B16x4W8BYC95B5eYOwsIHWm4EvEMxoc/RJ9gapbgMHHKhSoQpveBuY0c7BoxeQjDigjxl2XFymcgN9vfUwxlCA==" saltValue="VIwG+VmWS09QhjNkV9Jsxw==" spinCount="100000" sheet="1" objects="1" scenarios="1" formatCells="0" formatColumns="0" formatRows="0" insertColumns="0" insertRows="0" insertHyperlinks="0" sort="0" autoFilter="0" pivotTables="0"/>
  <dataConsolidate/>
  <conditionalFormatting sqref="C73:AZ73">
    <cfRule type="cellIs" dxfId="3" priority="1" operator="lessThanOrEqual">
      <formula>0.5</formula>
    </cfRule>
    <cfRule type="cellIs" dxfId="2" priority="4" operator="greaterThan">
      <formula>0.99</formula>
    </cfRule>
  </conditionalFormatting>
  <conditionalFormatting sqref="C74:AZ75">
    <cfRule type="cellIs" dxfId="1" priority="3" operator="lessThan">
      <formula>0</formula>
    </cfRule>
  </conditionalFormatting>
  <conditionalFormatting sqref="C77:AZ77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base'!$G$1:$G$2</xm:f>
          </x14:formula1>
          <xm:sqref>C60:XFD60</xm:sqref>
        </x14:dataValidation>
        <x14:dataValidation type="list" allowBlank="1" showInputMessage="1" showErrorMessage="1">
          <x14:formula1>
            <xm:f>'Dados base'!$G$3:$G$5</xm:f>
          </x14:formula1>
          <xm:sqref>C61:XFD61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Z75"/>
  <sheetViews>
    <sheetView zoomScale="70" zoomScaleNormal="70" workbookViewId="0">
      <selection activeCell="R3" sqref="R3"/>
    </sheetView>
  </sheetViews>
  <sheetFormatPr defaultColWidth="11.7109375" defaultRowHeight="15"/>
  <cols>
    <col min="1" max="1" width="71.42578125" style="90" customWidth="1"/>
    <col min="2" max="2" width="15.140625" style="90" bestFit="1" customWidth="1"/>
    <col min="3" max="3" width="17.140625" style="90" customWidth="1"/>
    <col min="4" max="5" width="15.42578125" style="90" bestFit="1" customWidth="1"/>
    <col min="6" max="52" width="11.7109375" style="90"/>
    <col min="53" max="16384" width="11.7109375" style="142"/>
  </cols>
  <sheetData>
    <row r="1" spans="1:52" ht="15.75">
      <c r="A1" s="92" t="s">
        <v>6</v>
      </c>
      <c r="B1" s="102" t="s">
        <v>1</v>
      </c>
      <c r="C1" s="94">
        <f>SUM(C14:MR14)</f>
        <v>153234.11495528891</v>
      </c>
      <c r="D1" s="145"/>
      <c r="E1" s="145"/>
      <c r="F1" s="145"/>
      <c r="G1" s="145"/>
      <c r="H1" s="145"/>
      <c r="I1" s="145"/>
      <c r="J1" s="145"/>
    </row>
    <row r="2" spans="1:52" ht="15.75">
      <c r="A2" s="92" t="s">
        <v>84</v>
      </c>
      <c r="B2" s="96" t="s">
        <v>2</v>
      </c>
      <c r="C2" s="94">
        <f>'Dados base'!$G$8</f>
        <v>3.0726</v>
      </c>
      <c r="D2" s="145"/>
      <c r="E2" s="145"/>
      <c r="F2" s="145"/>
      <c r="G2" s="145"/>
      <c r="H2" s="145"/>
      <c r="I2" s="145"/>
      <c r="J2" s="145"/>
    </row>
    <row r="3" spans="1:52" ht="18.75">
      <c r="A3" s="92" t="s">
        <v>206</v>
      </c>
      <c r="B3" s="96" t="s">
        <v>122</v>
      </c>
      <c r="C3" s="94">
        <f>SUM(C13:AZ13)</f>
        <v>1549452</v>
      </c>
      <c r="D3" s="145"/>
      <c r="E3" s="145"/>
      <c r="F3" s="145"/>
      <c r="G3" s="145"/>
      <c r="H3" s="145"/>
      <c r="I3" s="145"/>
      <c r="J3" s="145"/>
    </row>
    <row r="5" spans="1:52">
      <c r="A5" s="146"/>
      <c r="B5" s="146"/>
      <c r="C5" s="142"/>
      <c r="D5" s="147"/>
      <c r="E5" s="147"/>
      <c r="F5" s="147"/>
      <c r="G5" s="147"/>
      <c r="H5" s="147"/>
      <c r="I5" s="147"/>
      <c r="J5" s="147"/>
      <c r="K5" s="147"/>
      <c r="L5" s="147"/>
      <c r="M5" s="147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06" t="s">
        <v>151</v>
      </c>
      <c r="B6" s="155" t="s">
        <v>117</v>
      </c>
      <c r="C6" s="313"/>
      <c r="D6" s="313"/>
      <c r="E6" s="313"/>
      <c r="F6" s="313"/>
      <c r="G6" s="313"/>
      <c r="H6" s="313"/>
      <c r="I6" s="313"/>
      <c r="J6" s="313"/>
      <c r="K6" s="313"/>
      <c r="L6" s="318"/>
      <c r="M6" s="318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</row>
    <row r="7" spans="1:52">
      <c r="A7" s="156" t="s">
        <v>148</v>
      </c>
      <c r="B7" s="111" t="s">
        <v>23</v>
      </c>
      <c r="C7" s="287" t="s">
        <v>301</v>
      </c>
      <c r="D7" s="287" t="s">
        <v>302</v>
      </c>
      <c r="E7" s="287" t="s">
        <v>303</v>
      </c>
      <c r="F7" s="287" t="s">
        <v>304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326"/>
      <c r="X7" s="326"/>
      <c r="Y7" s="47"/>
      <c r="Z7" s="326"/>
      <c r="AA7" s="326"/>
      <c r="AB7" s="47"/>
      <c r="AC7" s="47"/>
      <c r="AD7" s="47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>
      <c r="A8" s="156" t="s">
        <v>127</v>
      </c>
      <c r="B8" s="11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>
      <c r="A9" s="131" t="s">
        <v>137</v>
      </c>
      <c r="B9" s="111" t="s">
        <v>2</v>
      </c>
      <c r="C9" s="338">
        <v>18</v>
      </c>
      <c r="D9" s="60">
        <v>20</v>
      </c>
      <c r="E9" s="347">
        <v>41.28</v>
      </c>
      <c r="F9" s="67">
        <f>(25.95+32.75)/2</f>
        <v>29.35</v>
      </c>
      <c r="G9" s="329"/>
      <c r="H9" s="327"/>
      <c r="I9" s="327"/>
      <c r="J9" s="327"/>
      <c r="K9" s="327"/>
      <c r="L9" s="327"/>
      <c r="M9" s="32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>
      <c r="A10" s="131" t="s">
        <v>255</v>
      </c>
      <c r="B10" s="111" t="s">
        <v>2</v>
      </c>
      <c r="C10" s="338"/>
      <c r="D10" s="338"/>
      <c r="E10" s="53"/>
      <c r="F10" s="53"/>
      <c r="G10" s="53"/>
      <c r="H10" s="53"/>
      <c r="I10" s="53"/>
      <c r="J10" s="53"/>
      <c r="K10" s="53"/>
      <c r="L10" s="53"/>
      <c r="M10" s="53"/>
      <c r="N10" s="48"/>
      <c r="O10" s="47"/>
      <c r="P10" s="47"/>
      <c r="Q10" s="47"/>
      <c r="R10" s="48"/>
      <c r="S10" s="48"/>
      <c r="T10" s="48"/>
      <c r="U10" s="47"/>
      <c r="V10" s="47"/>
      <c r="W10" s="47"/>
      <c r="X10" s="47"/>
      <c r="Y10" s="47"/>
      <c r="Z10" s="47"/>
      <c r="AA10" s="47"/>
      <c r="AB10" s="48"/>
      <c r="AC10" s="47"/>
      <c r="AD10" s="47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>
      <c r="A11" s="131" t="s">
        <v>256</v>
      </c>
      <c r="B11" s="111" t="s">
        <v>2</v>
      </c>
      <c r="C11" s="338"/>
      <c r="D11" s="338"/>
      <c r="E11" s="53"/>
      <c r="F11" s="53"/>
      <c r="G11" s="53"/>
      <c r="H11" s="53"/>
      <c r="I11" s="53"/>
      <c r="J11" s="53"/>
      <c r="K11" s="53"/>
      <c r="L11" s="53"/>
      <c r="M11" s="53"/>
      <c r="N11" s="48"/>
      <c r="O11" s="47"/>
      <c r="P11" s="47"/>
      <c r="Q11" s="47"/>
      <c r="R11" s="48"/>
      <c r="S11" s="48"/>
      <c r="T11" s="48"/>
      <c r="U11" s="48"/>
      <c r="V11" s="47"/>
      <c r="W11" s="47"/>
      <c r="X11" s="47"/>
      <c r="Y11" s="47"/>
      <c r="Z11" s="47"/>
      <c r="AA11" s="47"/>
      <c r="AB11" s="48"/>
      <c r="AC11" s="47"/>
      <c r="AD11" s="47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>
      <c r="A12" s="131" t="s">
        <v>139</v>
      </c>
      <c r="B12" s="111" t="s">
        <v>58</v>
      </c>
      <c r="C12" s="60">
        <v>20</v>
      </c>
      <c r="D12" s="60">
        <v>20</v>
      </c>
      <c r="E12" s="60">
        <v>20</v>
      </c>
      <c r="F12" s="52">
        <v>20</v>
      </c>
      <c r="G12" s="328"/>
      <c r="H12" s="328"/>
      <c r="I12" s="328"/>
      <c r="J12" s="328"/>
      <c r="K12" s="328"/>
      <c r="L12" s="328"/>
      <c r="M12" s="328"/>
      <c r="N12" s="329"/>
      <c r="O12" s="47"/>
      <c r="P12" s="329"/>
      <c r="Q12" s="329"/>
      <c r="R12" s="329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7"/>
      <c r="AD12" s="47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ht="16.5">
      <c r="A13" s="131" t="s">
        <v>207</v>
      </c>
      <c r="B13" s="111" t="s">
        <v>25</v>
      </c>
      <c r="C13" s="348">
        <f>1086165+96148</f>
        <v>1182313</v>
      </c>
      <c r="D13" s="348">
        <v>275086</v>
      </c>
      <c r="E13" s="348">
        <v>48347</v>
      </c>
      <c r="F13" s="348">
        <v>43706</v>
      </c>
      <c r="G13" s="50"/>
      <c r="H13" s="50"/>
      <c r="I13" s="50"/>
      <c r="J13" s="50"/>
      <c r="K13" s="50"/>
      <c r="L13" s="50"/>
      <c r="M13" s="50"/>
      <c r="N13" s="50"/>
      <c r="O13" s="48"/>
      <c r="P13" s="50"/>
      <c r="Q13" s="50"/>
      <c r="R13" s="50"/>
      <c r="S13" s="47"/>
      <c r="T13" s="47"/>
      <c r="U13" s="47"/>
      <c r="V13" s="47"/>
      <c r="W13" s="47"/>
      <c r="X13" s="47"/>
      <c r="Y13" s="47"/>
      <c r="Z13" s="48"/>
      <c r="AA13" s="48"/>
      <c r="AB13" s="48"/>
      <c r="AC13" s="48"/>
      <c r="AD13" s="47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>
      <c r="A14" s="157" t="s">
        <v>64</v>
      </c>
      <c r="B14" s="158" t="s">
        <v>1</v>
      </c>
      <c r="C14" s="116">
        <f>IF(C9="","",9.8*C13*(C12+C9-'Dados base'!$G$8)/(3600))</f>
        <v>112414.49081854445</v>
      </c>
      <c r="D14" s="116">
        <f>IF(D9="","",9.8*D13*(D12+D9-'Dados base'!$G$8)/(3600))</f>
        <v>27652.907059088891</v>
      </c>
      <c r="E14" s="116">
        <f>IF(E9="","",9.8*E13*(E12+E9-'Dados base'!$G$8)/(3600))</f>
        <v>7660.7502901222224</v>
      </c>
      <c r="F14" s="116">
        <f>IF(F9="","",9.8*F13*(F12+F9-'Dados base'!$G$8)/(3600))</f>
        <v>5505.9667875333334</v>
      </c>
      <c r="G14" s="116" t="str">
        <f>IF(G9="","",9.8*G13*(G12+G9-'Dados base'!$G$8)/(3600))</f>
        <v/>
      </c>
      <c r="H14" s="116" t="str">
        <f>IF(H9="","",9.8*H13*(H12+H9-'Dados base'!$G$8)/(3600))</f>
        <v/>
      </c>
      <c r="I14" s="116" t="str">
        <f>IF(I9="","",9.8*I13*(I12+I9-'Dados base'!$G$8)/(3600))</f>
        <v/>
      </c>
      <c r="J14" s="116" t="str">
        <f>IF(J9="","",9.8*J13*(J12+J9-'Dados base'!$G$8)/(3600))</f>
        <v/>
      </c>
      <c r="K14" s="116" t="str">
        <f>IF(K9="","",9.8*K13*(K12+K9-'Dados base'!$G$8)/(3600))</f>
        <v/>
      </c>
      <c r="L14" s="116" t="str">
        <f>IF(L9="","",9.8*L13*(L12+L9-'Dados base'!$G$8)/(3600))</f>
        <v/>
      </c>
      <c r="M14" s="116" t="str">
        <f>IF(M9="","",9.8*M13*(M12+M9-'Dados base'!$G$8)/(3600))</f>
        <v/>
      </c>
      <c r="N14" s="116" t="str">
        <f>IF(N9="","",9.8*N13*(N12+N9-'Dados base'!$G$8)/(3600))</f>
        <v/>
      </c>
      <c r="O14" s="116" t="str">
        <f>IF(O9="","",9.8*O13*(O12+O9-'Dados base'!$G$8)/(3600))</f>
        <v/>
      </c>
      <c r="P14" s="116" t="str">
        <f>IF(P9="","",9.8*P13*(P12+P9-'Dados base'!$G$8)/(3600))</f>
        <v/>
      </c>
      <c r="Q14" s="116" t="str">
        <f>IF(Q9="","",9.8*Q13*(Q12+Q9-'Dados base'!$G$8)/(3600))</f>
        <v/>
      </c>
      <c r="R14" s="116" t="str">
        <f>IF(R9="","",9.8*R13*(R12+R9-'Dados base'!$G$8)/(3600))</f>
        <v/>
      </c>
      <c r="S14" s="116" t="str">
        <f>IF(S9="","",9.8*S13*(S12+S9-'Dados base'!$G$8)/(3600))</f>
        <v/>
      </c>
      <c r="T14" s="116" t="str">
        <f>IF(T9="","",9.8*T13*(T12+T9-'Dados base'!$G$8)/(3600))</f>
        <v/>
      </c>
      <c r="U14" s="116" t="str">
        <f>IF(U9="","",9.8*U13*(U12+U9-'Dados base'!$G$8)/(3600))</f>
        <v/>
      </c>
      <c r="V14" s="116" t="str">
        <f>IF(V9="","",9.8*V13*(V12+V9-'Dados base'!$G$8)/(3600))</f>
        <v/>
      </c>
      <c r="W14" s="116" t="str">
        <f>IF(W9="","",9.8*W13*(W12+W9-'Dados base'!$G$8)/(3600))</f>
        <v/>
      </c>
      <c r="X14" s="116" t="str">
        <f>IF(X9="","",9.8*X13*(X12+X9-'Dados base'!$G$8)/(3600))</f>
        <v/>
      </c>
      <c r="Y14" s="116" t="str">
        <f>IF(Y9="","",9.8*Y13*(Y12+Y9-'Dados base'!$G$8)/(3600))</f>
        <v/>
      </c>
      <c r="Z14" s="116" t="str">
        <f>IF(Z9="","",9.8*Z13*(Z12+Z9-'Dados base'!$G$8)/(3600))</f>
        <v/>
      </c>
      <c r="AA14" s="116" t="str">
        <f>IF(AA9="","",9.8*AA13*(AA12+AA9-'Dados base'!$G$8)/(3600))</f>
        <v/>
      </c>
      <c r="AB14" s="116" t="str">
        <f>IF(AB9="","",9.8*AB13*(AB12+AB9-'Dados base'!$G$8)/(3600))</f>
        <v/>
      </c>
      <c r="AC14" s="116" t="str">
        <f>IF(AC9="","",9.8*AC13*(AC12+AC9-'Dados base'!$G$8)/(3600))</f>
        <v/>
      </c>
      <c r="AD14" s="116" t="str">
        <f>IF(AD9="","",9.8*AD13*(AD12+AD9-'Dados base'!$G$8)/(3600))</f>
        <v/>
      </c>
      <c r="AE14" s="116" t="str">
        <f>IF(AE9="","",9.8*AE13*(AE12+AE9-'Dados base'!$G$8)/(3600))</f>
        <v/>
      </c>
      <c r="AF14" s="116" t="str">
        <f>IF(AF9="","",9.8*AF13*(AF12+AF9-'Dados base'!$G$8)/(3600))</f>
        <v/>
      </c>
      <c r="AG14" s="116" t="str">
        <f>IF(AG9="","",9.8*AG13*(AG12+AG9-'Dados base'!$G$8)/(3600))</f>
        <v/>
      </c>
      <c r="AH14" s="116" t="str">
        <f>IF(AH9="","",9.8*AH13*(AH12+AH9-'Dados base'!$G$8)/(3600))</f>
        <v/>
      </c>
      <c r="AI14" s="116" t="str">
        <f>IF(AI9="","",9.8*AI13*(AI12+AI9-'Dados base'!$G$8)/(3600))</f>
        <v/>
      </c>
      <c r="AJ14" s="116" t="str">
        <f>IF(AJ9="","",9.8*AJ13*(AJ12+AJ9-'Dados base'!$G$8)/(3600))</f>
        <v/>
      </c>
      <c r="AK14" s="116" t="str">
        <f>IF(AK9="","",9.8*AK13*(AK12+AK9-'Dados base'!$G$8)/(3600))</f>
        <v/>
      </c>
      <c r="AL14" s="116" t="str">
        <f>IF(AL9="","",9.8*AL13*(AL12+AL9-'Dados base'!$G$8)/(3600))</f>
        <v/>
      </c>
      <c r="AM14" s="116" t="str">
        <f>IF(AM9="","",9.8*AM13*(AM12+AM9-'Dados base'!$G$8)/(3600))</f>
        <v/>
      </c>
      <c r="AN14" s="116" t="str">
        <f>IF(AN9="","",9.8*AN13*(AN12+AN9-'Dados base'!$G$8)/(3600))</f>
        <v/>
      </c>
      <c r="AO14" s="116" t="str">
        <f>IF(AO9="","",9.8*AO13*(AO12+AO9-'Dados base'!$G$8)/(3600))</f>
        <v/>
      </c>
      <c r="AP14" s="116" t="str">
        <f>IF(AP9="","",9.8*AP13*(AP12+AP9-'Dados base'!$G$8)/(3600))</f>
        <v/>
      </c>
      <c r="AQ14" s="116" t="str">
        <f>IF(AQ9="","",9.8*AQ13*(AQ12+AQ9-'Dados base'!$G$8)/(3600))</f>
        <v/>
      </c>
      <c r="AR14" s="116" t="str">
        <f>IF(AR9="","",9.8*AR13*(AR12+AR9-'Dados base'!$G$8)/(3600))</f>
        <v/>
      </c>
      <c r="AS14" s="116" t="str">
        <f>IF(AS9="","",9.8*AS13*(AS12+AS9-'Dados base'!$G$8)/(3600))</f>
        <v/>
      </c>
      <c r="AT14" s="116" t="str">
        <f>IF(AT9="","",9.8*AT13*(AT12+AT9-'Dados base'!$G$8)/(3600))</f>
        <v/>
      </c>
      <c r="AU14" s="116" t="str">
        <f>IF(AU9="","",9.8*AU13*(AU12+AU9-'Dados base'!$G$8)/(3600))</f>
        <v/>
      </c>
      <c r="AV14" s="116" t="str">
        <f>IF(AV9="","",9.8*AV13*(AV12+AV9-'Dados base'!$G$8)/(3600))</f>
        <v/>
      </c>
      <c r="AW14" s="116" t="str">
        <f>IF(AW9="","",9.8*AW13*(AW12+AW9-'Dados base'!$G$8)/(3600))</f>
        <v/>
      </c>
      <c r="AX14" s="116" t="str">
        <f>IF(AX9="","",9.8*AX13*(AX12+AX9-'Dados base'!$G$8)/(3600))</f>
        <v/>
      </c>
      <c r="AY14" s="116" t="str">
        <f>IF(AY9="","",9.8*AY13*(AY12+AY9-'Dados base'!$G$8)/(3600))</f>
        <v/>
      </c>
      <c r="AZ14" s="116" t="str">
        <f>IF(AZ9="","",9.8*AZ13*(AZ12+AZ9-'Dados base'!$G$8)/(3600))</f>
        <v/>
      </c>
    </row>
    <row r="15" spans="1:52">
      <c r="A15" s="121"/>
      <c r="B15" s="121"/>
    </row>
    <row r="16" spans="1:52" ht="42.75">
      <c r="A16" s="194" t="s">
        <v>138</v>
      </c>
      <c r="B16" s="195"/>
      <c r="C16" s="148"/>
      <c r="D16" s="148"/>
      <c r="E16" s="148"/>
      <c r="L16"/>
      <c r="M16"/>
      <c r="N16"/>
    </row>
    <row r="17" spans="1:52">
      <c r="A17" s="195"/>
      <c r="B17" s="195"/>
      <c r="C17"/>
      <c r="D17" s="148"/>
      <c r="E17" s="148"/>
    </row>
    <row r="18" spans="1:52">
      <c r="A18" s="159" t="s">
        <v>151</v>
      </c>
      <c r="B18" s="160" t="s">
        <v>117</v>
      </c>
      <c r="C18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</row>
    <row r="19" spans="1:52">
      <c r="A19" s="161" t="s">
        <v>148</v>
      </c>
      <c r="B19" s="162" t="s">
        <v>23</v>
      </c>
      <c r="C19" s="287"/>
      <c r="D19" s="287"/>
      <c r="E19" s="287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83"/>
      <c r="AX19" s="33"/>
      <c r="AY19" s="33"/>
      <c r="AZ19" s="33"/>
    </row>
    <row r="20" spans="1:52">
      <c r="A20" s="161" t="s">
        <v>127</v>
      </c>
      <c r="B20" s="162"/>
      <c r="C20" s="50"/>
      <c r="D20" s="50"/>
      <c r="E20" s="50"/>
      <c r="F20" s="50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83"/>
      <c r="AX20" s="33"/>
      <c r="AY20" s="33"/>
      <c r="AZ20" s="33"/>
    </row>
    <row r="21" spans="1:52">
      <c r="A21" s="163" t="s">
        <v>137</v>
      </c>
      <c r="B21" s="162" t="s">
        <v>2</v>
      </c>
      <c r="C21" s="60"/>
      <c r="D21" s="60"/>
      <c r="E21" s="61"/>
      <c r="F21" s="52"/>
      <c r="G21" s="52"/>
      <c r="H21" s="52"/>
      <c r="I21" s="52"/>
      <c r="J21" s="52"/>
      <c r="K21" s="52"/>
      <c r="L21" s="52"/>
      <c r="M21" s="53"/>
      <c r="N21" s="53"/>
      <c r="O21" s="53"/>
      <c r="P21" s="53"/>
      <c r="Q21" s="53"/>
      <c r="R21" s="5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83"/>
      <c r="AX21" s="33"/>
      <c r="AY21" s="33"/>
      <c r="AZ21" s="33"/>
    </row>
    <row r="22" spans="1:52">
      <c r="A22" s="163" t="s">
        <v>139</v>
      </c>
      <c r="B22" s="162" t="s">
        <v>58</v>
      </c>
      <c r="C22" s="60"/>
      <c r="D22" s="60"/>
      <c r="E22" s="66"/>
      <c r="F22" s="67"/>
      <c r="G22" s="52"/>
      <c r="H22" s="52"/>
      <c r="I22" s="52"/>
      <c r="J22" s="52"/>
      <c r="K22" s="52"/>
      <c r="L22" s="52"/>
      <c r="M22" s="53"/>
      <c r="N22" s="53"/>
      <c r="O22" s="53"/>
      <c r="P22" s="53"/>
      <c r="Q22" s="53"/>
      <c r="R22" s="5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83"/>
      <c r="AX22" s="33"/>
      <c r="AY22" s="33"/>
      <c r="AZ22" s="33"/>
    </row>
    <row r="23" spans="1:52" ht="28.5">
      <c r="A23" s="163" t="s">
        <v>160</v>
      </c>
      <c r="B23" s="119" t="s">
        <v>156</v>
      </c>
      <c r="C23" s="67"/>
      <c r="D23" s="66"/>
      <c r="E23" s="66"/>
      <c r="F23" s="84"/>
      <c r="G23" s="85"/>
      <c r="H23" s="85"/>
      <c r="I23" s="85"/>
      <c r="J23" s="85"/>
      <c r="K23" s="86"/>
      <c r="L23" s="85"/>
      <c r="M23" s="85"/>
      <c r="N23" s="85"/>
      <c r="O23" s="85"/>
      <c r="P23" s="85"/>
      <c r="Q23" s="85"/>
      <c r="R23" s="85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3"/>
      <c r="AX23" s="33"/>
      <c r="AY23" s="33"/>
      <c r="AZ23" s="33"/>
    </row>
    <row r="24" spans="1:52" ht="16.5">
      <c r="A24" s="163" t="s">
        <v>207</v>
      </c>
      <c r="B24" s="119" t="s">
        <v>156</v>
      </c>
      <c r="C24" s="67"/>
      <c r="D24" s="60"/>
      <c r="E24" s="66"/>
      <c r="F24" s="67"/>
      <c r="G24" s="52"/>
      <c r="H24" s="52"/>
      <c r="I24" s="52"/>
      <c r="J24" s="52"/>
      <c r="K24" s="52"/>
      <c r="L24" s="52"/>
      <c r="M24" s="53"/>
      <c r="N24" s="53"/>
      <c r="O24" s="53"/>
      <c r="P24" s="53"/>
      <c r="Q24" s="53"/>
      <c r="R24" s="5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ht="28.5">
      <c r="A25" s="164" t="s">
        <v>161</v>
      </c>
      <c r="B25" s="165" t="s">
        <v>1</v>
      </c>
      <c r="C25" s="295" t="str">
        <f>IF(C21="","",9.8*C24*(C22+C21-'Dados base'!$G$8)/(3600))</f>
        <v/>
      </c>
      <c r="D25" s="295" t="str">
        <f>IF(D21="","",9.8*D24*(D22+D21-'Dados base'!$G$8)/(3600))</f>
        <v/>
      </c>
      <c r="E25" s="295" t="str">
        <f>IF(E21="","",9.8*E24*(E22+E21-'Dados base'!$G$8)/(3600))</f>
        <v/>
      </c>
      <c r="F25" s="295" t="str">
        <f>IF(F21="","",9.8*F24*(F22+F21-'Dados base'!$G$8)/(3600))</f>
        <v/>
      </c>
      <c r="G25" s="295" t="str">
        <f>IF(G21="","",9.8*G24*(G22+G21-'Dados base'!$G$8)/(3600))</f>
        <v/>
      </c>
      <c r="H25" s="295" t="str">
        <f>IF(H21="","",9.8*H24*(H22+H21-'Dados base'!$G$8)/(3600))</f>
        <v/>
      </c>
      <c r="I25" s="295" t="str">
        <f>IF(I21="","",9.8*I24*(I22+I21-'Dados base'!$G$8)/(3600))</f>
        <v/>
      </c>
      <c r="J25" s="295" t="str">
        <f>IF(J21="","",9.8*J24*(J22+J21-'Dados base'!$G$8)/(3600))</f>
        <v/>
      </c>
      <c r="K25" s="295" t="str">
        <f>IF(K21="","",9.8*K24*(K22+K21-'Dados base'!$G$8)/(3600))</f>
        <v/>
      </c>
      <c r="L25" s="295" t="str">
        <f>IF(L21="","",9.8*L24*(L22+L21-'Dados base'!$G$8)/(3600))</f>
        <v/>
      </c>
      <c r="M25" s="295" t="str">
        <f>IF(M21="","",9.8*M24*(M22+M21-'Dados base'!$G$8)/(3600))</f>
        <v/>
      </c>
      <c r="N25" s="295" t="str">
        <f>IF(N21="","",9.8*N24*(N22+N21-'Dados base'!$G$8)/(3600))</f>
        <v/>
      </c>
      <c r="O25" s="295" t="str">
        <f>IF(O21="","",9.8*O24*(O22+O21-'Dados base'!$G$8)/(3600))</f>
        <v/>
      </c>
      <c r="P25" s="295" t="str">
        <f>IF(P21="","",9.8*P24*(P22+P21-'Dados base'!$G$8)/(3600))</f>
        <v/>
      </c>
      <c r="Q25" s="295" t="str">
        <f>IF(Q21="","",9.8*Q24*(Q22+Q21-'Dados base'!$G$8)/(3600))</f>
        <v/>
      </c>
      <c r="R25" s="295" t="str">
        <f>IF(R21="","",9.8*R24*(R22+R21-'Dados base'!$G$8)/(3600))</f>
        <v/>
      </c>
      <c r="S25" s="295" t="str">
        <f>IF(S21="","",9.8*S24*(S22+S21-'Dados base'!$G$8)/(3600))</f>
        <v/>
      </c>
      <c r="T25" s="295" t="str">
        <f>IF(T21="","",9.8*T24*(T22+T21-'Dados base'!$G$8)/(3600))</f>
        <v/>
      </c>
      <c r="U25" s="295" t="str">
        <f>IF(U21="","",9.8*U24*(U22+U21-'Dados base'!$G$8)/(3600))</f>
        <v/>
      </c>
      <c r="V25" s="295" t="str">
        <f>IF(V21="","",9.8*V24*(V22+V21-'Dados base'!$G$8)/(3600))</f>
        <v/>
      </c>
      <c r="W25" s="295" t="str">
        <f>IF(W21="","",9.8*W24*(W22+W21-'Dados base'!$G$8)/(3600))</f>
        <v/>
      </c>
      <c r="X25" s="295" t="str">
        <f>IF(X21="","",9.8*X24*(X22+X21-'Dados base'!$G$8)/(3600))</f>
        <v/>
      </c>
      <c r="Y25" s="295" t="str">
        <f>IF(Y21="","",9.8*Y24*(Y22+Y21-'Dados base'!$G$8)/(3600))</f>
        <v/>
      </c>
      <c r="Z25" s="295" t="str">
        <f>IF(Z21="","",9.8*Z24*(Z22+Z21-'Dados base'!$G$8)/(3600))</f>
        <v/>
      </c>
      <c r="AA25" s="295" t="str">
        <f>IF(AA21="","",9.8*AA24*(AA22+AA21-'Dados base'!$G$8)/(3600))</f>
        <v/>
      </c>
      <c r="AB25" s="295" t="str">
        <f>IF(AB21="","",9.8*AB24*(AB22+AB21-'Dados base'!$G$8)/(3600))</f>
        <v/>
      </c>
      <c r="AC25" s="295" t="str">
        <f>IF(AC21="","",9.8*AC24*(AC22+AC21-'Dados base'!$G$8)/(3600))</f>
        <v/>
      </c>
      <c r="AD25" s="295" t="str">
        <f>IF(AD21="","",9.8*AD24*(AD22+AD21-'Dados base'!$G$8)/(3600))</f>
        <v/>
      </c>
      <c r="AE25" s="295" t="str">
        <f>IF(AE21="","",9.8*AE24*(AE22+AE21-'Dados base'!$G$8)/(3600))</f>
        <v/>
      </c>
      <c r="AF25" s="295" t="str">
        <f>IF(AF21="","",9.8*AF24*(AF22+AF21-'Dados base'!$G$8)/(3600))</f>
        <v/>
      </c>
      <c r="AG25" s="295" t="str">
        <f>IF(AG21="","",9.8*AG24*(AG22+AG21-'Dados base'!$G$8)/(3600))</f>
        <v/>
      </c>
      <c r="AH25" s="295" t="str">
        <f>IF(AH21="","",9.8*AH24*(AH22+AH21-'Dados base'!$G$8)/(3600))</f>
        <v/>
      </c>
      <c r="AI25" s="295" t="str">
        <f>IF(AI21="","",9.8*AI24*(AI22+AI21-'Dados base'!$G$8)/(3600))</f>
        <v/>
      </c>
      <c r="AJ25" s="295" t="str">
        <f>IF(AJ21="","",9.8*AJ24*(AJ22+AJ21-'Dados base'!$G$8)/(3600))</f>
        <v/>
      </c>
      <c r="AK25" s="295" t="str">
        <f>IF(AK21="","",9.8*AK24*(AK22+AK21-'Dados base'!$G$8)/(3600))</f>
        <v/>
      </c>
      <c r="AL25" s="295" t="str">
        <f>IF(AL21="","",9.8*AL24*(AL22+AL21-'Dados base'!$G$8)/(3600))</f>
        <v/>
      </c>
      <c r="AM25" s="295" t="str">
        <f>IF(AM21="","",9.8*AM24*(AM22+AM21-'Dados base'!$G$8)/(3600))</f>
        <v/>
      </c>
      <c r="AN25" s="295" t="str">
        <f>IF(AN21="","",9.8*AN24*(AN22+AN21-'Dados base'!$G$8)/(3600))</f>
        <v/>
      </c>
      <c r="AO25" s="295" t="str">
        <f>IF(AO21="","",9.8*AO24*(AO22+AO21-'Dados base'!$G$8)/(3600))</f>
        <v/>
      </c>
      <c r="AP25" s="295" t="str">
        <f>IF(AP21="","",9.8*AP24*(AP22+AP21-'Dados base'!$G$8)/(3600))</f>
        <v/>
      </c>
      <c r="AQ25" s="295" t="str">
        <f>IF(AQ21="","",9.8*AQ24*(AQ22+AQ21-'Dados base'!$G$8)/(3600))</f>
        <v/>
      </c>
      <c r="AR25" s="295" t="str">
        <f>IF(AR21="","",9.8*AR24*(AR22+AR21-'Dados base'!$G$8)/(3600))</f>
        <v/>
      </c>
      <c r="AS25" s="295" t="str">
        <f>IF(AS21="","",9.8*AS24*(AS22+AS21-'Dados base'!$G$8)/(3600))</f>
        <v/>
      </c>
      <c r="AT25" s="295" t="str">
        <f>IF(AT21="","",9.8*AT24*(AT22+AT21-'Dados base'!$G$8)/(3600))</f>
        <v/>
      </c>
      <c r="AU25" s="295" t="str">
        <f>IF(AU21="","",9.8*AU24*(AU22+AU21-'Dados base'!$G$8)/(3600))</f>
        <v/>
      </c>
      <c r="AV25" s="295" t="str">
        <f>IF(AV21="","",9.8*AV24*(AV22+AV21-'Dados base'!$G$8)/(3600))</f>
        <v/>
      </c>
      <c r="AW25" s="295" t="str">
        <f>IF(AW21="","",9.8*AW24*(AW22+AW21-'Dados base'!$G$8)/(3600))</f>
        <v/>
      </c>
      <c r="AX25" s="295" t="str">
        <f>IF(AX21="","",9.8*AX24*(AX22+AX21-'Dados base'!$G$8)/(3600))</f>
        <v/>
      </c>
      <c r="AY25" s="295" t="str">
        <f>IF(AY21="","",9.8*AY24*(AY22+AY21-'Dados base'!$G$8)/(3600))</f>
        <v/>
      </c>
      <c r="AZ25" s="295" t="str">
        <f>IF(AZ21="","",9.8*AZ24*(AZ22+AZ21-'Dados base'!$G$8)/(3600))</f>
        <v/>
      </c>
    </row>
    <row r="26" spans="1:52">
      <c r="A26" s="195"/>
      <c r="B26" s="195"/>
      <c r="C26" s="149"/>
      <c r="D26" s="149"/>
      <c r="E26" s="149"/>
    </row>
    <row r="27" spans="1:52">
      <c r="A27" s="195"/>
      <c r="B27" s="195"/>
      <c r="C27" s="336"/>
      <c r="D27" s="149"/>
      <c r="E27" s="149"/>
    </row>
    <row r="28" spans="1:52" ht="30" customHeight="1">
      <c r="A28" s="196" t="s">
        <v>267</v>
      </c>
      <c r="B28" s="160" t="s">
        <v>117</v>
      </c>
      <c r="C28" s="337"/>
      <c r="D28"/>
      <c r="E28"/>
    </row>
    <row r="29" spans="1:52" ht="27.75" customHeight="1">
      <c r="A29" s="161" t="s">
        <v>148</v>
      </c>
      <c r="B29" s="162" t="s">
        <v>23</v>
      </c>
      <c r="C29" s="277"/>
      <c r="D29" s="277"/>
      <c r="E29" s="277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83"/>
      <c r="AX29" s="33"/>
      <c r="AY29" s="33"/>
      <c r="AZ29" s="33"/>
    </row>
    <row r="30" spans="1:52">
      <c r="A30" s="161" t="s">
        <v>127</v>
      </c>
      <c r="B30" s="162"/>
      <c r="C30" s="50"/>
      <c r="D30" s="50"/>
      <c r="E30" s="50"/>
      <c r="F30" s="50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83"/>
      <c r="AX30" s="33"/>
      <c r="AY30" s="33"/>
      <c r="AZ30" s="33"/>
    </row>
    <row r="31" spans="1:52">
      <c r="A31" s="197" t="s">
        <v>154</v>
      </c>
      <c r="B31" s="160" t="s">
        <v>3</v>
      </c>
      <c r="C31" s="151"/>
      <c r="D31" s="151"/>
      <c r="E31" s="151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</row>
    <row r="32" spans="1:52">
      <c r="A32" s="197" t="s">
        <v>281</v>
      </c>
      <c r="B32" s="198" t="s">
        <v>1</v>
      </c>
      <c r="C32" s="61"/>
      <c r="D32" s="61"/>
      <c r="E32" s="61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</row>
    <row r="33" spans="1:52">
      <c r="A33" s="197" t="s">
        <v>266</v>
      </c>
      <c r="B33" s="198" t="s">
        <v>1</v>
      </c>
      <c r="C33" s="61"/>
      <c r="D33" s="61"/>
      <c r="E33" s="61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</row>
    <row r="34" spans="1:52" ht="16.5">
      <c r="A34" s="197" t="s">
        <v>144</v>
      </c>
      <c r="B34" s="198" t="s">
        <v>145</v>
      </c>
      <c r="C34" s="61"/>
      <c r="D34" s="61"/>
      <c r="E34" s="61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</row>
    <row r="35" spans="1:52">
      <c r="A35" s="199" t="s">
        <v>275</v>
      </c>
      <c r="B35" s="198" t="s">
        <v>1</v>
      </c>
      <c r="C35" s="66"/>
      <c r="D35" s="66"/>
      <c r="E35" s="66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</row>
    <row r="36" spans="1:52" ht="16.5">
      <c r="A36" s="276" t="s">
        <v>283</v>
      </c>
      <c r="B36" s="59" t="s">
        <v>156</v>
      </c>
      <c r="C36" s="66"/>
      <c r="D36" s="66"/>
      <c r="E36" s="66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</row>
    <row r="37" spans="1:52" ht="16.5">
      <c r="A37" s="276" t="s">
        <v>282</v>
      </c>
      <c r="B37" s="59" t="s">
        <v>156</v>
      </c>
      <c r="C37" s="66"/>
      <c r="D37" s="66"/>
      <c r="E37" s="66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</row>
    <row r="38" spans="1:52" ht="18" customHeight="1">
      <c r="A38" s="167" t="s">
        <v>187</v>
      </c>
      <c r="B38" s="268" t="s">
        <v>140</v>
      </c>
      <c r="C38" s="296" t="str">
        <f>IF(C33="","",C33/C34)</f>
        <v/>
      </c>
      <c r="D38" s="296" t="str">
        <f t="shared" ref="D38:AZ38" si="0">IF(D33="","",D33/D34)</f>
        <v/>
      </c>
      <c r="E38" s="296" t="str">
        <f t="shared" si="0"/>
        <v/>
      </c>
      <c r="F38" s="296" t="str">
        <f t="shared" si="0"/>
        <v/>
      </c>
      <c r="G38" s="296" t="str">
        <f t="shared" si="0"/>
        <v/>
      </c>
      <c r="H38" s="296" t="str">
        <f t="shared" si="0"/>
        <v/>
      </c>
      <c r="I38" s="296" t="str">
        <f t="shared" si="0"/>
        <v/>
      </c>
      <c r="J38" s="296" t="str">
        <f t="shared" si="0"/>
        <v/>
      </c>
      <c r="K38" s="296" t="str">
        <f t="shared" si="0"/>
        <v/>
      </c>
      <c r="L38" s="296" t="str">
        <f t="shared" si="0"/>
        <v/>
      </c>
      <c r="M38" s="296" t="str">
        <f t="shared" si="0"/>
        <v/>
      </c>
      <c r="N38" s="296" t="str">
        <f t="shared" si="0"/>
        <v/>
      </c>
      <c r="O38" s="296" t="str">
        <f t="shared" si="0"/>
        <v/>
      </c>
      <c r="P38" s="296" t="str">
        <f t="shared" si="0"/>
        <v/>
      </c>
      <c r="Q38" s="296" t="str">
        <f t="shared" si="0"/>
        <v/>
      </c>
      <c r="R38" s="296" t="str">
        <f t="shared" si="0"/>
        <v/>
      </c>
      <c r="S38" s="296" t="str">
        <f t="shared" si="0"/>
        <v/>
      </c>
      <c r="T38" s="296" t="str">
        <f t="shared" si="0"/>
        <v/>
      </c>
      <c r="U38" s="296" t="str">
        <f t="shared" si="0"/>
        <v/>
      </c>
      <c r="V38" s="296" t="str">
        <f t="shared" si="0"/>
        <v/>
      </c>
      <c r="W38" s="296" t="str">
        <f t="shared" si="0"/>
        <v/>
      </c>
      <c r="X38" s="296" t="str">
        <f t="shared" si="0"/>
        <v/>
      </c>
      <c r="Y38" s="296" t="str">
        <f t="shared" si="0"/>
        <v/>
      </c>
      <c r="Z38" s="296" t="str">
        <f t="shared" si="0"/>
        <v/>
      </c>
      <c r="AA38" s="296" t="str">
        <f t="shared" si="0"/>
        <v/>
      </c>
      <c r="AB38" s="296" t="str">
        <f t="shared" si="0"/>
        <v/>
      </c>
      <c r="AC38" s="296" t="str">
        <f t="shared" si="0"/>
        <v/>
      </c>
      <c r="AD38" s="296" t="str">
        <f t="shared" si="0"/>
        <v/>
      </c>
      <c r="AE38" s="296" t="str">
        <f t="shared" si="0"/>
        <v/>
      </c>
      <c r="AF38" s="296" t="str">
        <f t="shared" si="0"/>
        <v/>
      </c>
      <c r="AG38" s="296" t="str">
        <f t="shared" si="0"/>
        <v/>
      </c>
      <c r="AH38" s="296" t="str">
        <f t="shared" si="0"/>
        <v/>
      </c>
      <c r="AI38" s="296" t="str">
        <f t="shared" si="0"/>
        <v/>
      </c>
      <c r="AJ38" s="296" t="str">
        <f t="shared" si="0"/>
        <v/>
      </c>
      <c r="AK38" s="296" t="str">
        <f t="shared" si="0"/>
        <v/>
      </c>
      <c r="AL38" s="296" t="str">
        <f t="shared" si="0"/>
        <v/>
      </c>
      <c r="AM38" s="296" t="str">
        <f t="shared" si="0"/>
        <v/>
      </c>
      <c r="AN38" s="296" t="str">
        <f t="shared" si="0"/>
        <v/>
      </c>
      <c r="AO38" s="296" t="str">
        <f t="shared" si="0"/>
        <v/>
      </c>
      <c r="AP38" s="296" t="str">
        <f t="shared" si="0"/>
        <v/>
      </c>
      <c r="AQ38" s="296" t="str">
        <f t="shared" si="0"/>
        <v/>
      </c>
      <c r="AR38" s="296" t="str">
        <f t="shared" si="0"/>
        <v/>
      </c>
      <c r="AS38" s="296" t="str">
        <f t="shared" si="0"/>
        <v/>
      </c>
      <c r="AT38" s="296" t="str">
        <f t="shared" si="0"/>
        <v/>
      </c>
      <c r="AU38" s="296" t="str">
        <f t="shared" si="0"/>
        <v/>
      </c>
      <c r="AV38" s="296" t="str">
        <f t="shared" si="0"/>
        <v/>
      </c>
      <c r="AW38" s="296" t="str">
        <f t="shared" si="0"/>
        <v/>
      </c>
      <c r="AX38" s="296" t="str">
        <f t="shared" si="0"/>
        <v/>
      </c>
      <c r="AY38" s="296" t="str">
        <f t="shared" si="0"/>
        <v/>
      </c>
      <c r="AZ38" s="296" t="str">
        <f t="shared" si="0"/>
        <v/>
      </c>
    </row>
    <row r="39" spans="1:52" ht="18" customHeight="1">
      <c r="A39" s="167" t="s">
        <v>158</v>
      </c>
      <c r="B39" s="166" t="s">
        <v>157</v>
      </c>
      <c r="C39" s="296" t="str">
        <f>IF(C35="","",(C32+C33-C35)/C$36)</f>
        <v/>
      </c>
      <c r="D39" s="296" t="str">
        <f t="shared" ref="D39:AZ39" si="1">IF(D35="","",(D32+D33-D35)/D$36)</f>
        <v/>
      </c>
      <c r="E39" s="296" t="str">
        <f t="shared" si="1"/>
        <v/>
      </c>
      <c r="F39" s="296" t="str">
        <f t="shared" si="1"/>
        <v/>
      </c>
      <c r="G39" s="296" t="str">
        <f t="shared" si="1"/>
        <v/>
      </c>
      <c r="H39" s="296" t="str">
        <f t="shared" si="1"/>
        <v/>
      </c>
      <c r="I39" s="296" t="str">
        <f t="shared" si="1"/>
        <v/>
      </c>
      <c r="J39" s="296" t="str">
        <f t="shared" si="1"/>
        <v/>
      </c>
      <c r="K39" s="296" t="str">
        <f t="shared" si="1"/>
        <v/>
      </c>
      <c r="L39" s="296" t="str">
        <f t="shared" si="1"/>
        <v/>
      </c>
      <c r="M39" s="296" t="str">
        <f t="shared" si="1"/>
        <v/>
      </c>
      <c r="N39" s="296" t="str">
        <f t="shared" si="1"/>
        <v/>
      </c>
      <c r="O39" s="296" t="str">
        <f t="shared" si="1"/>
        <v/>
      </c>
      <c r="P39" s="296" t="str">
        <f t="shared" si="1"/>
        <v/>
      </c>
      <c r="Q39" s="296" t="str">
        <f t="shared" si="1"/>
        <v/>
      </c>
      <c r="R39" s="296" t="str">
        <f t="shared" si="1"/>
        <v/>
      </c>
      <c r="S39" s="296" t="str">
        <f t="shared" si="1"/>
        <v/>
      </c>
      <c r="T39" s="296" t="str">
        <f t="shared" si="1"/>
        <v/>
      </c>
      <c r="U39" s="296" t="str">
        <f t="shared" si="1"/>
        <v/>
      </c>
      <c r="V39" s="296" t="str">
        <f t="shared" si="1"/>
        <v/>
      </c>
      <c r="W39" s="296" t="str">
        <f t="shared" si="1"/>
        <v/>
      </c>
      <c r="X39" s="296" t="str">
        <f t="shared" si="1"/>
        <v/>
      </c>
      <c r="Y39" s="296" t="str">
        <f t="shared" si="1"/>
        <v/>
      </c>
      <c r="Z39" s="296" t="str">
        <f t="shared" si="1"/>
        <v/>
      </c>
      <c r="AA39" s="296" t="str">
        <f t="shared" si="1"/>
        <v/>
      </c>
      <c r="AB39" s="296" t="str">
        <f t="shared" si="1"/>
        <v/>
      </c>
      <c r="AC39" s="296" t="str">
        <f t="shared" si="1"/>
        <v/>
      </c>
      <c r="AD39" s="296" t="str">
        <f t="shared" si="1"/>
        <v/>
      </c>
      <c r="AE39" s="296" t="str">
        <f t="shared" si="1"/>
        <v/>
      </c>
      <c r="AF39" s="296" t="str">
        <f t="shared" si="1"/>
        <v/>
      </c>
      <c r="AG39" s="296" t="str">
        <f t="shared" si="1"/>
        <v/>
      </c>
      <c r="AH39" s="296" t="str">
        <f t="shared" si="1"/>
        <v/>
      </c>
      <c r="AI39" s="296" t="str">
        <f t="shared" si="1"/>
        <v/>
      </c>
      <c r="AJ39" s="296" t="str">
        <f t="shared" si="1"/>
        <v/>
      </c>
      <c r="AK39" s="296" t="str">
        <f t="shared" si="1"/>
        <v/>
      </c>
      <c r="AL39" s="296" t="str">
        <f t="shared" si="1"/>
        <v/>
      </c>
      <c r="AM39" s="296" t="str">
        <f t="shared" si="1"/>
        <v/>
      </c>
      <c r="AN39" s="296" t="str">
        <f t="shared" si="1"/>
        <v/>
      </c>
      <c r="AO39" s="296" t="str">
        <f t="shared" si="1"/>
        <v/>
      </c>
      <c r="AP39" s="296" t="str">
        <f t="shared" si="1"/>
        <v/>
      </c>
      <c r="AQ39" s="296" t="str">
        <f t="shared" si="1"/>
        <v/>
      </c>
      <c r="AR39" s="296" t="str">
        <f t="shared" si="1"/>
        <v/>
      </c>
      <c r="AS39" s="296" t="str">
        <f t="shared" si="1"/>
        <v/>
      </c>
      <c r="AT39" s="296" t="str">
        <f t="shared" si="1"/>
        <v/>
      </c>
      <c r="AU39" s="296" t="str">
        <f t="shared" si="1"/>
        <v/>
      </c>
      <c r="AV39" s="296" t="str">
        <f t="shared" si="1"/>
        <v/>
      </c>
      <c r="AW39" s="296" t="str">
        <f t="shared" si="1"/>
        <v/>
      </c>
      <c r="AX39" s="296" t="str">
        <f t="shared" si="1"/>
        <v/>
      </c>
      <c r="AY39" s="296" t="str">
        <f t="shared" si="1"/>
        <v/>
      </c>
      <c r="AZ39" s="296" t="str">
        <f t="shared" si="1"/>
        <v/>
      </c>
    </row>
    <row r="40" spans="1:52" ht="18" customHeight="1">
      <c r="A40" s="167" t="s">
        <v>203</v>
      </c>
      <c r="B40" s="166" t="s">
        <v>157</v>
      </c>
      <c r="C40" s="296" t="str">
        <f>IF(C35="","",(C32+C33-C35)/C$37)</f>
        <v/>
      </c>
      <c r="D40" s="296" t="str">
        <f t="shared" ref="D40:AZ40" si="2">IF(D35="","",(D32+D33-D35)/D$37)</f>
        <v/>
      </c>
      <c r="E40" s="296" t="str">
        <f t="shared" si="2"/>
        <v/>
      </c>
      <c r="F40" s="296" t="str">
        <f t="shared" si="2"/>
        <v/>
      </c>
      <c r="G40" s="296" t="str">
        <f t="shared" si="2"/>
        <v/>
      </c>
      <c r="H40" s="296" t="str">
        <f t="shared" si="2"/>
        <v/>
      </c>
      <c r="I40" s="296" t="str">
        <f t="shared" si="2"/>
        <v/>
      </c>
      <c r="J40" s="296" t="str">
        <f t="shared" si="2"/>
        <v/>
      </c>
      <c r="K40" s="296" t="str">
        <f t="shared" si="2"/>
        <v/>
      </c>
      <c r="L40" s="296" t="str">
        <f t="shared" si="2"/>
        <v/>
      </c>
      <c r="M40" s="296" t="str">
        <f t="shared" si="2"/>
        <v/>
      </c>
      <c r="N40" s="296" t="str">
        <f t="shared" si="2"/>
        <v/>
      </c>
      <c r="O40" s="296" t="str">
        <f t="shared" si="2"/>
        <v/>
      </c>
      <c r="P40" s="296" t="str">
        <f t="shared" si="2"/>
        <v/>
      </c>
      <c r="Q40" s="296" t="str">
        <f t="shared" si="2"/>
        <v/>
      </c>
      <c r="R40" s="296" t="str">
        <f t="shared" si="2"/>
        <v/>
      </c>
      <c r="S40" s="296" t="str">
        <f t="shared" si="2"/>
        <v/>
      </c>
      <c r="T40" s="296" t="str">
        <f t="shared" si="2"/>
        <v/>
      </c>
      <c r="U40" s="296" t="str">
        <f t="shared" si="2"/>
        <v/>
      </c>
      <c r="V40" s="296" t="str">
        <f t="shared" si="2"/>
        <v/>
      </c>
      <c r="W40" s="296" t="str">
        <f t="shared" si="2"/>
        <v/>
      </c>
      <c r="X40" s="296" t="str">
        <f t="shared" si="2"/>
        <v/>
      </c>
      <c r="Y40" s="296" t="str">
        <f t="shared" si="2"/>
        <v/>
      </c>
      <c r="Z40" s="296" t="str">
        <f t="shared" si="2"/>
        <v/>
      </c>
      <c r="AA40" s="296" t="str">
        <f t="shared" si="2"/>
        <v/>
      </c>
      <c r="AB40" s="296" t="str">
        <f t="shared" si="2"/>
        <v/>
      </c>
      <c r="AC40" s="296" t="str">
        <f t="shared" si="2"/>
        <v/>
      </c>
      <c r="AD40" s="296" t="str">
        <f t="shared" si="2"/>
        <v/>
      </c>
      <c r="AE40" s="296" t="str">
        <f t="shared" si="2"/>
        <v/>
      </c>
      <c r="AF40" s="296" t="str">
        <f t="shared" si="2"/>
        <v/>
      </c>
      <c r="AG40" s="296" t="str">
        <f t="shared" si="2"/>
        <v/>
      </c>
      <c r="AH40" s="296" t="str">
        <f t="shared" si="2"/>
        <v/>
      </c>
      <c r="AI40" s="296" t="str">
        <f t="shared" si="2"/>
        <v/>
      </c>
      <c r="AJ40" s="296" t="str">
        <f t="shared" si="2"/>
        <v/>
      </c>
      <c r="AK40" s="296" t="str">
        <f t="shared" si="2"/>
        <v/>
      </c>
      <c r="AL40" s="296" t="str">
        <f t="shared" si="2"/>
        <v/>
      </c>
      <c r="AM40" s="296" t="str">
        <f t="shared" si="2"/>
        <v/>
      </c>
      <c r="AN40" s="296" t="str">
        <f t="shared" si="2"/>
        <v/>
      </c>
      <c r="AO40" s="296" t="str">
        <f t="shared" si="2"/>
        <v/>
      </c>
      <c r="AP40" s="296" t="str">
        <f t="shared" si="2"/>
        <v/>
      </c>
      <c r="AQ40" s="296" t="str">
        <f t="shared" si="2"/>
        <v/>
      </c>
      <c r="AR40" s="296" t="str">
        <f t="shared" si="2"/>
        <v/>
      </c>
      <c r="AS40" s="296" t="str">
        <f t="shared" si="2"/>
        <v/>
      </c>
      <c r="AT40" s="296" t="str">
        <f t="shared" si="2"/>
        <v/>
      </c>
      <c r="AU40" s="296" t="str">
        <f t="shared" si="2"/>
        <v/>
      </c>
      <c r="AV40" s="296" t="str">
        <f t="shared" si="2"/>
        <v/>
      </c>
      <c r="AW40" s="296" t="str">
        <f t="shared" si="2"/>
        <v/>
      </c>
      <c r="AX40" s="296" t="str">
        <f t="shared" si="2"/>
        <v/>
      </c>
      <c r="AY40" s="296" t="str">
        <f t="shared" si="2"/>
        <v/>
      </c>
      <c r="AZ40" s="296" t="str">
        <f t="shared" si="2"/>
        <v/>
      </c>
    </row>
    <row r="41" spans="1:52" ht="18" customHeight="1">
      <c r="A41" s="167" t="s">
        <v>159</v>
      </c>
      <c r="B41" s="168" t="s">
        <v>23</v>
      </c>
      <c r="C41" s="296" t="str">
        <f>IF(C35="","",(C32+C33)/C35)</f>
        <v/>
      </c>
      <c r="D41" s="296" t="str">
        <f t="shared" ref="D41:AZ41" si="3">IF(D35="","",(D32+D33)/D35)</f>
        <v/>
      </c>
      <c r="E41" s="296" t="str">
        <f t="shared" si="3"/>
        <v/>
      </c>
      <c r="F41" s="296" t="str">
        <f t="shared" si="3"/>
        <v/>
      </c>
      <c r="G41" s="296" t="str">
        <f t="shared" si="3"/>
        <v/>
      </c>
      <c r="H41" s="296" t="str">
        <f t="shared" si="3"/>
        <v/>
      </c>
      <c r="I41" s="296" t="str">
        <f t="shared" si="3"/>
        <v/>
      </c>
      <c r="J41" s="296" t="str">
        <f t="shared" si="3"/>
        <v/>
      </c>
      <c r="K41" s="296" t="str">
        <f t="shared" si="3"/>
        <v/>
      </c>
      <c r="L41" s="296" t="str">
        <f t="shared" si="3"/>
        <v/>
      </c>
      <c r="M41" s="296" t="str">
        <f t="shared" si="3"/>
        <v/>
      </c>
      <c r="N41" s="296" t="str">
        <f t="shared" si="3"/>
        <v/>
      </c>
      <c r="O41" s="296" t="str">
        <f t="shared" si="3"/>
        <v/>
      </c>
      <c r="P41" s="296" t="str">
        <f t="shared" si="3"/>
        <v/>
      </c>
      <c r="Q41" s="296" t="str">
        <f t="shared" si="3"/>
        <v/>
      </c>
      <c r="R41" s="296" t="str">
        <f t="shared" si="3"/>
        <v/>
      </c>
      <c r="S41" s="296" t="str">
        <f t="shared" si="3"/>
        <v/>
      </c>
      <c r="T41" s="296" t="str">
        <f t="shared" si="3"/>
        <v/>
      </c>
      <c r="U41" s="296" t="str">
        <f t="shared" si="3"/>
        <v/>
      </c>
      <c r="V41" s="296" t="str">
        <f t="shared" si="3"/>
        <v/>
      </c>
      <c r="W41" s="296" t="str">
        <f t="shared" si="3"/>
        <v/>
      </c>
      <c r="X41" s="296" t="str">
        <f t="shared" si="3"/>
        <v/>
      </c>
      <c r="Y41" s="296" t="str">
        <f t="shared" si="3"/>
        <v/>
      </c>
      <c r="Z41" s="296" t="str">
        <f t="shared" si="3"/>
        <v/>
      </c>
      <c r="AA41" s="296" t="str">
        <f t="shared" si="3"/>
        <v/>
      </c>
      <c r="AB41" s="296" t="str">
        <f t="shared" si="3"/>
        <v/>
      </c>
      <c r="AC41" s="296" t="str">
        <f t="shared" si="3"/>
        <v/>
      </c>
      <c r="AD41" s="296" t="str">
        <f t="shared" si="3"/>
        <v/>
      </c>
      <c r="AE41" s="296" t="str">
        <f t="shared" si="3"/>
        <v/>
      </c>
      <c r="AF41" s="296" t="str">
        <f t="shared" si="3"/>
        <v/>
      </c>
      <c r="AG41" s="296" t="str">
        <f t="shared" si="3"/>
        <v/>
      </c>
      <c r="AH41" s="296" t="str">
        <f t="shared" si="3"/>
        <v/>
      </c>
      <c r="AI41" s="296" t="str">
        <f t="shared" si="3"/>
        <v/>
      </c>
      <c r="AJ41" s="296" t="str">
        <f t="shared" si="3"/>
        <v/>
      </c>
      <c r="AK41" s="296" t="str">
        <f t="shared" si="3"/>
        <v/>
      </c>
      <c r="AL41" s="296" t="str">
        <f t="shared" si="3"/>
        <v/>
      </c>
      <c r="AM41" s="296" t="str">
        <f t="shared" si="3"/>
        <v/>
      </c>
      <c r="AN41" s="296" t="str">
        <f t="shared" si="3"/>
        <v/>
      </c>
      <c r="AO41" s="296" t="str">
        <f t="shared" si="3"/>
        <v/>
      </c>
      <c r="AP41" s="296" t="str">
        <f t="shared" si="3"/>
        <v/>
      </c>
      <c r="AQ41" s="296" t="str">
        <f t="shared" si="3"/>
        <v/>
      </c>
      <c r="AR41" s="296" t="str">
        <f t="shared" si="3"/>
        <v/>
      </c>
      <c r="AS41" s="296" t="str">
        <f t="shared" si="3"/>
        <v/>
      </c>
      <c r="AT41" s="296" t="str">
        <f t="shared" si="3"/>
        <v/>
      </c>
      <c r="AU41" s="296" t="str">
        <f t="shared" si="3"/>
        <v/>
      </c>
      <c r="AV41" s="296" t="str">
        <f t="shared" si="3"/>
        <v/>
      </c>
      <c r="AW41" s="296" t="str">
        <f t="shared" si="3"/>
        <v/>
      </c>
      <c r="AX41" s="296" t="str">
        <f t="shared" si="3"/>
        <v/>
      </c>
      <c r="AY41" s="296" t="str">
        <f t="shared" si="3"/>
        <v/>
      </c>
      <c r="AZ41" s="296" t="str">
        <f t="shared" si="3"/>
        <v/>
      </c>
    </row>
    <row r="42" spans="1:52" ht="18" customHeight="1">
      <c r="A42" s="167" t="s">
        <v>191</v>
      </c>
      <c r="B42" s="168" t="s">
        <v>23</v>
      </c>
      <c r="C42" s="296" t="str">
        <f>IF(C35="","",C$41*C$37/C$36)</f>
        <v/>
      </c>
      <c r="D42" s="296" t="str">
        <f t="shared" ref="D42:AZ42" si="4">IF(D35="","",D$41*D$37/D$36)</f>
        <v/>
      </c>
      <c r="E42" s="296" t="str">
        <f t="shared" si="4"/>
        <v/>
      </c>
      <c r="F42" s="296" t="str">
        <f t="shared" si="4"/>
        <v/>
      </c>
      <c r="G42" s="296" t="str">
        <f t="shared" si="4"/>
        <v/>
      </c>
      <c r="H42" s="296" t="str">
        <f t="shared" si="4"/>
        <v/>
      </c>
      <c r="I42" s="296" t="str">
        <f t="shared" si="4"/>
        <v/>
      </c>
      <c r="J42" s="296" t="str">
        <f t="shared" si="4"/>
        <v/>
      </c>
      <c r="K42" s="296" t="str">
        <f t="shared" si="4"/>
        <v/>
      </c>
      <c r="L42" s="296" t="str">
        <f t="shared" si="4"/>
        <v/>
      </c>
      <c r="M42" s="296" t="str">
        <f t="shared" si="4"/>
        <v/>
      </c>
      <c r="N42" s="296" t="str">
        <f t="shared" si="4"/>
        <v/>
      </c>
      <c r="O42" s="296" t="str">
        <f t="shared" si="4"/>
        <v/>
      </c>
      <c r="P42" s="296" t="str">
        <f t="shared" si="4"/>
        <v/>
      </c>
      <c r="Q42" s="296" t="str">
        <f t="shared" si="4"/>
        <v/>
      </c>
      <c r="R42" s="296" t="str">
        <f t="shared" si="4"/>
        <v/>
      </c>
      <c r="S42" s="296" t="str">
        <f t="shared" si="4"/>
        <v/>
      </c>
      <c r="T42" s="296" t="str">
        <f t="shared" si="4"/>
        <v/>
      </c>
      <c r="U42" s="296" t="str">
        <f t="shared" si="4"/>
        <v/>
      </c>
      <c r="V42" s="296" t="str">
        <f t="shared" si="4"/>
        <v/>
      </c>
      <c r="W42" s="296" t="str">
        <f t="shared" si="4"/>
        <v/>
      </c>
      <c r="X42" s="296" t="str">
        <f t="shared" si="4"/>
        <v/>
      </c>
      <c r="Y42" s="296" t="str">
        <f t="shared" si="4"/>
        <v/>
      </c>
      <c r="Z42" s="296" t="str">
        <f t="shared" si="4"/>
        <v/>
      </c>
      <c r="AA42" s="296" t="str">
        <f t="shared" si="4"/>
        <v/>
      </c>
      <c r="AB42" s="296" t="str">
        <f t="shared" si="4"/>
        <v/>
      </c>
      <c r="AC42" s="296" t="str">
        <f t="shared" si="4"/>
        <v/>
      </c>
      <c r="AD42" s="296" t="str">
        <f t="shared" si="4"/>
        <v/>
      </c>
      <c r="AE42" s="296" t="str">
        <f t="shared" si="4"/>
        <v/>
      </c>
      <c r="AF42" s="296" t="str">
        <f t="shared" si="4"/>
        <v/>
      </c>
      <c r="AG42" s="296" t="str">
        <f t="shared" si="4"/>
        <v/>
      </c>
      <c r="AH42" s="296" t="str">
        <f t="shared" si="4"/>
        <v/>
      </c>
      <c r="AI42" s="296" t="str">
        <f t="shared" si="4"/>
        <v/>
      </c>
      <c r="AJ42" s="296" t="str">
        <f t="shared" si="4"/>
        <v/>
      </c>
      <c r="AK42" s="296" t="str">
        <f t="shared" si="4"/>
        <v/>
      </c>
      <c r="AL42" s="296" t="str">
        <f t="shared" si="4"/>
        <v/>
      </c>
      <c r="AM42" s="296" t="str">
        <f t="shared" si="4"/>
        <v/>
      </c>
      <c r="AN42" s="296" t="str">
        <f t="shared" si="4"/>
        <v/>
      </c>
      <c r="AO42" s="296" t="str">
        <f t="shared" si="4"/>
        <v/>
      </c>
      <c r="AP42" s="296" t="str">
        <f t="shared" si="4"/>
        <v/>
      </c>
      <c r="AQ42" s="296" t="str">
        <f t="shared" si="4"/>
        <v/>
      </c>
      <c r="AR42" s="296" t="str">
        <f t="shared" si="4"/>
        <v/>
      </c>
      <c r="AS42" s="296" t="str">
        <f t="shared" si="4"/>
        <v/>
      </c>
      <c r="AT42" s="296" t="str">
        <f t="shared" si="4"/>
        <v/>
      </c>
      <c r="AU42" s="296" t="str">
        <f t="shared" si="4"/>
        <v/>
      </c>
      <c r="AV42" s="296" t="str">
        <f t="shared" si="4"/>
        <v/>
      </c>
      <c r="AW42" s="296" t="str">
        <f t="shared" si="4"/>
        <v/>
      </c>
      <c r="AX42" s="296" t="str">
        <f t="shared" si="4"/>
        <v/>
      </c>
      <c r="AY42" s="296" t="str">
        <f t="shared" si="4"/>
        <v/>
      </c>
      <c r="AZ42" s="296" t="str">
        <f t="shared" si="4"/>
        <v/>
      </c>
    </row>
    <row r="43" spans="1:52" ht="18" customHeight="1">
      <c r="A43" s="167" t="s">
        <v>192</v>
      </c>
      <c r="B43" s="168" t="s">
        <v>23</v>
      </c>
      <c r="C43" s="296" t="str">
        <f>IF(C35="","",C$41-C$42)</f>
        <v/>
      </c>
      <c r="D43" s="296" t="str">
        <f t="shared" ref="D43:AZ43" si="5">IF(D35="","",D$41-D$42)</f>
        <v/>
      </c>
      <c r="E43" s="296" t="str">
        <f t="shared" si="5"/>
        <v/>
      </c>
      <c r="F43" s="296" t="str">
        <f t="shared" si="5"/>
        <v/>
      </c>
      <c r="G43" s="296" t="str">
        <f t="shared" si="5"/>
        <v/>
      </c>
      <c r="H43" s="296" t="str">
        <f t="shared" si="5"/>
        <v/>
      </c>
      <c r="I43" s="296" t="str">
        <f t="shared" si="5"/>
        <v/>
      </c>
      <c r="J43" s="296" t="str">
        <f t="shared" si="5"/>
        <v/>
      </c>
      <c r="K43" s="296" t="str">
        <f t="shared" si="5"/>
        <v/>
      </c>
      <c r="L43" s="296" t="str">
        <f t="shared" si="5"/>
        <v/>
      </c>
      <c r="M43" s="296" t="str">
        <f t="shared" si="5"/>
        <v/>
      </c>
      <c r="N43" s="296" t="str">
        <f t="shared" si="5"/>
        <v/>
      </c>
      <c r="O43" s="296" t="str">
        <f t="shared" si="5"/>
        <v/>
      </c>
      <c r="P43" s="296" t="str">
        <f t="shared" si="5"/>
        <v/>
      </c>
      <c r="Q43" s="296" t="str">
        <f t="shared" si="5"/>
        <v/>
      </c>
      <c r="R43" s="296" t="str">
        <f t="shared" si="5"/>
        <v/>
      </c>
      <c r="S43" s="296" t="str">
        <f t="shared" si="5"/>
        <v/>
      </c>
      <c r="T43" s="296" t="str">
        <f t="shared" si="5"/>
        <v/>
      </c>
      <c r="U43" s="296" t="str">
        <f t="shared" si="5"/>
        <v/>
      </c>
      <c r="V43" s="296" t="str">
        <f t="shared" si="5"/>
        <v/>
      </c>
      <c r="W43" s="296" t="str">
        <f t="shared" si="5"/>
        <v/>
      </c>
      <c r="X43" s="296" t="str">
        <f t="shared" si="5"/>
        <v/>
      </c>
      <c r="Y43" s="296" t="str">
        <f t="shared" si="5"/>
        <v/>
      </c>
      <c r="Z43" s="296" t="str">
        <f t="shared" si="5"/>
        <v/>
      </c>
      <c r="AA43" s="296" t="str">
        <f t="shared" si="5"/>
        <v/>
      </c>
      <c r="AB43" s="296" t="str">
        <f t="shared" si="5"/>
        <v/>
      </c>
      <c r="AC43" s="296" t="str">
        <f t="shared" si="5"/>
        <v/>
      </c>
      <c r="AD43" s="296" t="str">
        <f t="shared" si="5"/>
        <v/>
      </c>
      <c r="AE43" s="296" t="str">
        <f t="shared" si="5"/>
        <v/>
      </c>
      <c r="AF43" s="296" t="str">
        <f t="shared" si="5"/>
        <v/>
      </c>
      <c r="AG43" s="296" t="str">
        <f t="shared" si="5"/>
        <v/>
      </c>
      <c r="AH43" s="296" t="str">
        <f t="shared" si="5"/>
        <v/>
      </c>
      <c r="AI43" s="296" t="str">
        <f t="shared" si="5"/>
        <v/>
      </c>
      <c r="AJ43" s="296" t="str">
        <f t="shared" si="5"/>
        <v/>
      </c>
      <c r="AK43" s="296" t="str">
        <f t="shared" si="5"/>
        <v/>
      </c>
      <c r="AL43" s="296" t="str">
        <f t="shared" si="5"/>
        <v/>
      </c>
      <c r="AM43" s="296" t="str">
        <f t="shared" si="5"/>
        <v/>
      </c>
      <c r="AN43" s="296" t="str">
        <f t="shared" si="5"/>
        <v/>
      </c>
      <c r="AO43" s="296" t="str">
        <f t="shared" si="5"/>
        <v/>
      </c>
      <c r="AP43" s="296" t="str">
        <f t="shared" si="5"/>
        <v/>
      </c>
      <c r="AQ43" s="296" t="str">
        <f t="shared" si="5"/>
        <v/>
      </c>
      <c r="AR43" s="296" t="str">
        <f t="shared" si="5"/>
        <v/>
      </c>
      <c r="AS43" s="296" t="str">
        <f t="shared" si="5"/>
        <v/>
      </c>
      <c r="AT43" s="296" t="str">
        <f t="shared" si="5"/>
        <v/>
      </c>
      <c r="AU43" s="296" t="str">
        <f t="shared" si="5"/>
        <v/>
      </c>
      <c r="AV43" s="296" t="str">
        <f t="shared" si="5"/>
        <v/>
      </c>
      <c r="AW43" s="296" t="str">
        <f t="shared" si="5"/>
        <v/>
      </c>
      <c r="AX43" s="296" t="str">
        <f t="shared" si="5"/>
        <v/>
      </c>
      <c r="AY43" s="296" t="str">
        <f t="shared" si="5"/>
        <v/>
      </c>
      <c r="AZ43" s="296" t="str">
        <f t="shared" si="5"/>
        <v/>
      </c>
    </row>
    <row r="44" spans="1:52" ht="18" customHeight="1">
      <c r="A44" s="167" t="s">
        <v>193</v>
      </c>
      <c r="B44" s="168" t="s">
        <v>23</v>
      </c>
      <c r="C44" s="296" t="str">
        <f>IF(C35="","",C$41*C$32/(C$32+C$33))</f>
        <v/>
      </c>
      <c r="D44" s="296" t="str">
        <f t="shared" ref="D44:AZ44" si="6">IF(D35="","",D$41*D$32/(D$32+D$33))</f>
        <v/>
      </c>
      <c r="E44" s="296" t="str">
        <f t="shared" si="6"/>
        <v/>
      </c>
      <c r="F44" s="296" t="str">
        <f t="shared" si="6"/>
        <v/>
      </c>
      <c r="G44" s="296" t="str">
        <f t="shared" si="6"/>
        <v/>
      </c>
      <c r="H44" s="296" t="str">
        <f t="shared" si="6"/>
        <v/>
      </c>
      <c r="I44" s="296" t="str">
        <f t="shared" si="6"/>
        <v/>
      </c>
      <c r="J44" s="296" t="str">
        <f t="shared" si="6"/>
        <v/>
      </c>
      <c r="K44" s="296" t="str">
        <f t="shared" si="6"/>
        <v/>
      </c>
      <c r="L44" s="296" t="str">
        <f t="shared" si="6"/>
        <v/>
      </c>
      <c r="M44" s="296" t="str">
        <f t="shared" si="6"/>
        <v/>
      </c>
      <c r="N44" s="296" t="str">
        <f t="shared" si="6"/>
        <v/>
      </c>
      <c r="O44" s="296" t="str">
        <f t="shared" si="6"/>
        <v/>
      </c>
      <c r="P44" s="296" t="str">
        <f t="shared" si="6"/>
        <v/>
      </c>
      <c r="Q44" s="296" t="str">
        <f t="shared" si="6"/>
        <v/>
      </c>
      <c r="R44" s="296" t="str">
        <f t="shared" si="6"/>
        <v/>
      </c>
      <c r="S44" s="296" t="str">
        <f t="shared" si="6"/>
        <v/>
      </c>
      <c r="T44" s="296" t="str">
        <f t="shared" si="6"/>
        <v/>
      </c>
      <c r="U44" s="296" t="str">
        <f t="shared" si="6"/>
        <v/>
      </c>
      <c r="V44" s="296" t="str">
        <f t="shared" si="6"/>
        <v/>
      </c>
      <c r="W44" s="296" t="str">
        <f t="shared" si="6"/>
        <v/>
      </c>
      <c r="X44" s="296" t="str">
        <f t="shared" si="6"/>
        <v/>
      </c>
      <c r="Y44" s="296" t="str">
        <f t="shared" si="6"/>
        <v/>
      </c>
      <c r="Z44" s="296" t="str">
        <f t="shared" si="6"/>
        <v/>
      </c>
      <c r="AA44" s="296" t="str">
        <f t="shared" si="6"/>
        <v/>
      </c>
      <c r="AB44" s="296" t="str">
        <f t="shared" si="6"/>
        <v/>
      </c>
      <c r="AC44" s="296" t="str">
        <f t="shared" si="6"/>
        <v/>
      </c>
      <c r="AD44" s="296" t="str">
        <f t="shared" si="6"/>
        <v/>
      </c>
      <c r="AE44" s="296" t="str">
        <f t="shared" si="6"/>
        <v/>
      </c>
      <c r="AF44" s="296" t="str">
        <f t="shared" si="6"/>
        <v/>
      </c>
      <c r="AG44" s="296" t="str">
        <f t="shared" si="6"/>
        <v/>
      </c>
      <c r="AH44" s="296" t="str">
        <f t="shared" si="6"/>
        <v/>
      </c>
      <c r="AI44" s="296" t="str">
        <f t="shared" si="6"/>
        <v/>
      </c>
      <c r="AJ44" s="296" t="str">
        <f t="shared" si="6"/>
        <v/>
      </c>
      <c r="AK44" s="296" t="str">
        <f t="shared" si="6"/>
        <v/>
      </c>
      <c r="AL44" s="296" t="str">
        <f t="shared" si="6"/>
        <v/>
      </c>
      <c r="AM44" s="296" t="str">
        <f t="shared" si="6"/>
        <v/>
      </c>
      <c r="AN44" s="296" t="str">
        <f t="shared" si="6"/>
        <v/>
      </c>
      <c r="AO44" s="296" t="str">
        <f t="shared" si="6"/>
        <v/>
      </c>
      <c r="AP44" s="296" t="str">
        <f t="shared" si="6"/>
        <v/>
      </c>
      <c r="AQ44" s="296" t="str">
        <f t="shared" si="6"/>
        <v/>
      </c>
      <c r="AR44" s="296" t="str">
        <f t="shared" si="6"/>
        <v/>
      </c>
      <c r="AS44" s="296" t="str">
        <f t="shared" si="6"/>
        <v/>
      </c>
      <c r="AT44" s="296" t="str">
        <f t="shared" si="6"/>
        <v/>
      </c>
      <c r="AU44" s="296" t="str">
        <f t="shared" si="6"/>
        <v/>
      </c>
      <c r="AV44" s="296" t="str">
        <f t="shared" si="6"/>
        <v/>
      </c>
      <c r="AW44" s="296" t="str">
        <f t="shared" si="6"/>
        <v/>
      </c>
      <c r="AX44" s="296" t="str">
        <f t="shared" si="6"/>
        <v/>
      </c>
      <c r="AY44" s="296" t="str">
        <f t="shared" si="6"/>
        <v/>
      </c>
      <c r="AZ44" s="296" t="str">
        <f t="shared" si="6"/>
        <v/>
      </c>
    </row>
    <row r="45" spans="1:52" ht="18" customHeight="1">
      <c r="A45" s="167" t="s">
        <v>194</v>
      </c>
      <c r="B45" s="168" t="s">
        <v>23</v>
      </c>
      <c r="C45" s="296" t="str">
        <f>IF(C35="","",C$41-C$44)</f>
        <v/>
      </c>
      <c r="D45" s="296" t="str">
        <f t="shared" ref="D45:AZ45" si="7">IF(D35="","",D$41-D$44)</f>
        <v/>
      </c>
      <c r="E45" s="296" t="str">
        <f t="shared" si="7"/>
        <v/>
      </c>
      <c r="F45" s="296" t="str">
        <f t="shared" si="7"/>
        <v/>
      </c>
      <c r="G45" s="296" t="str">
        <f t="shared" si="7"/>
        <v/>
      </c>
      <c r="H45" s="296" t="str">
        <f t="shared" si="7"/>
        <v/>
      </c>
      <c r="I45" s="296" t="str">
        <f t="shared" si="7"/>
        <v/>
      </c>
      <c r="J45" s="296" t="str">
        <f t="shared" si="7"/>
        <v/>
      </c>
      <c r="K45" s="296" t="str">
        <f t="shared" si="7"/>
        <v/>
      </c>
      <c r="L45" s="296" t="str">
        <f t="shared" si="7"/>
        <v/>
      </c>
      <c r="M45" s="296" t="str">
        <f t="shared" si="7"/>
        <v/>
      </c>
      <c r="N45" s="296" t="str">
        <f t="shared" si="7"/>
        <v/>
      </c>
      <c r="O45" s="296" t="str">
        <f t="shared" si="7"/>
        <v/>
      </c>
      <c r="P45" s="296" t="str">
        <f t="shared" si="7"/>
        <v/>
      </c>
      <c r="Q45" s="296" t="str">
        <f t="shared" si="7"/>
        <v/>
      </c>
      <c r="R45" s="296" t="str">
        <f t="shared" si="7"/>
        <v/>
      </c>
      <c r="S45" s="296" t="str">
        <f t="shared" si="7"/>
        <v/>
      </c>
      <c r="T45" s="296" t="str">
        <f t="shared" si="7"/>
        <v/>
      </c>
      <c r="U45" s="296" t="str">
        <f t="shared" si="7"/>
        <v/>
      </c>
      <c r="V45" s="296" t="str">
        <f t="shared" si="7"/>
        <v/>
      </c>
      <c r="W45" s="296" t="str">
        <f t="shared" si="7"/>
        <v/>
      </c>
      <c r="X45" s="296" t="str">
        <f t="shared" si="7"/>
        <v/>
      </c>
      <c r="Y45" s="296" t="str">
        <f t="shared" si="7"/>
        <v/>
      </c>
      <c r="Z45" s="296" t="str">
        <f t="shared" si="7"/>
        <v/>
      </c>
      <c r="AA45" s="296" t="str">
        <f t="shared" si="7"/>
        <v/>
      </c>
      <c r="AB45" s="296" t="str">
        <f t="shared" si="7"/>
        <v/>
      </c>
      <c r="AC45" s="296" t="str">
        <f t="shared" si="7"/>
        <v/>
      </c>
      <c r="AD45" s="296" t="str">
        <f t="shared" si="7"/>
        <v/>
      </c>
      <c r="AE45" s="296" t="str">
        <f t="shared" si="7"/>
        <v/>
      </c>
      <c r="AF45" s="296" t="str">
        <f t="shared" si="7"/>
        <v/>
      </c>
      <c r="AG45" s="296" t="str">
        <f t="shared" si="7"/>
        <v/>
      </c>
      <c r="AH45" s="296" t="str">
        <f t="shared" si="7"/>
        <v/>
      </c>
      <c r="AI45" s="296" t="str">
        <f t="shared" si="7"/>
        <v/>
      </c>
      <c r="AJ45" s="296" t="str">
        <f t="shared" si="7"/>
        <v/>
      </c>
      <c r="AK45" s="296" t="str">
        <f t="shared" si="7"/>
        <v/>
      </c>
      <c r="AL45" s="296" t="str">
        <f t="shared" si="7"/>
        <v/>
      </c>
      <c r="AM45" s="296" t="str">
        <f t="shared" si="7"/>
        <v/>
      </c>
      <c r="AN45" s="296" t="str">
        <f t="shared" si="7"/>
        <v/>
      </c>
      <c r="AO45" s="296" t="str">
        <f t="shared" si="7"/>
        <v/>
      </c>
      <c r="AP45" s="296" t="str">
        <f t="shared" si="7"/>
        <v/>
      </c>
      <c r="AQ45" s="296" t="str">
        <f t="shared" si="7"/>
        <v/>
      </c>
      <c r="AR45" s="296" t="str">
        <f t="shared" si="7"/>
        <v/>
      </c>
      <c r="AS45" s="296" t="str">
        <f t="shared" si="7"/>
        <v/>
      </c>
      <c r="AT45" s="296" t="str">
        <f t="shared" si="7"/>
        <v/>
      </c>
      <c r="AU45" s="296" t="str">
        <f t="shared" si="7"/>
        <v/>
      </c>
      <c r="AV45" s="296" t="str">
        <f t="shared" si="7"/>
        <v/>
      </c>
      <c r="AW45" s="296" t="str">
        <f t="shared" si="7"/>
        <v/>
      </c>
      <c r="AX45" s="296" t="str">
        <f t="shared" si="7"/>
        <v/>
      </c>
      <c r="AY45" s="296" t="str">
        <f t="shared" si="7"/>
        <v/>
      </c>
      <c r="AZ45" s="296" t="str">
        <f t="shared" si="7"/>
        <v/>
      </c>
    </row>
    <row r="46" spans="1:52">
      <c r="A46" s="200"/>
      <c r="B46" s="201"/>
      <c r="C46" s="152"/>
      <c r="D46" s="152"/>
      <c r="E46" s="152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</row>
    <row r="47" spans="1:52" ht="30" customHeight="1">
      <c r="A47" s="202" t="s">
        <v>268</v>
      </c>
      <c r="B47" s="160" t="s">
        <v>117</v>
      </c>
      <c r="C47" s="336"/>
      <c r="D47" s="142"/>
      <c r="E47" s="142"/>
    </row>
    <row r="48" spans="1:52" ht="31.5" customHeight="1">
      <c r="A48" s="161" t="s">
        <v>148</v>
      </c>
      <c r="B48" s="119" t="s">
        <v>23</v>
      </c>
      <c r="C48" s="50"/>
      <c r="D48" s="50"/>
      <c r="E48" s="50"/>
      <c r="F48" s="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</row>
    <row r="49" spans="1:52">
      <c r="A49" s="197" t="s">
        <v>154</v>
      </c>
      <c r="B49" s="160" t="s">
        <v>3</v>
      </c>
      <c r="C49" s="151"/>
      <c r="D49" s="151"/>
      <c r="E49" s="151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</row>
    <row r="50" spans="1:52">
      <c r="A50" s="197" t="s">
        <v>281</v>
      </c>
      <c r="B50" s="198" t="s">
        <v>1</v>
      </c>
      <c r="C50" s="61"/>
      <c r="D50" s="61"/>
      <c r="E50" s="61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</row>
    <row r="51" spans="1:52">
      <c r="A51" s="197" t="s">
        <v>266</v>
      </c>
      <c r="B51" s="198" t="s">
        <v>1</v>
      </c>
      <c r="C51" s="61"/>
      <c r="D51" s="61"/>
      <c r="E51" s="61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</row>
    <row r="52" spans="1:52" ht="16.5">
      <c r="A52" s="197" t="s">
        <v>144</v>
      </c>
      <c r="B52" s="198" t="s">
        <v>145</v>
      </c>
      <c r="C52" s="61"/>
      <c r="D52" s="61"/>
      <c r="E52" s="61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</row>
    <row r="53" spans="1:52">
      <c r="A53" s="199" t="s">
        <v>275</v>
      </c>
      <c r="B53" s="198" t="s">
        <v>1</v>
      </c>
      <c r="C53" s="66"/>
      <c r="D53" s="66"/>
      <c r="E53" s="66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</row>
    <row r="54" spans="1:52" ht="16.5">
      <c r="A54" s="276" t="s">
        <v>283</v>
      </c>
      <c r="B54" s="59" t="s">
        <v>156</v>
      </c>
      <c r="C54" s="67"/>
      <c r="D54" s="66"/>
      <c r="E54" s="66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</row>
    <row r="55" spans="1:52" ht="16.5">
      <c r="A55" s="276" t="s">
        <v>282</v>
      </c>
      <c r="B55" s="59" t="s">
        <v>156</v>
      </c>
      <c r="C55" s="67"/>
      <c r="D55" s="60"/>
      <c r="E55" s="66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</row>
    <row r="56" spans="1:52" ht="18" customHeight="1">
      <c r="A56" s="167" t="s">
        <v>187</v>
      </c>
      <c r="B56" s="268" t="s">
        <v>140</v>
      </c>
      <c r="C56" s="296" t="str">
        <f>IF(C51="","",C51/C52)</f>
        <v/>
      </c>
      <c r="D56" s="296" t="str">
        <f t="shared" ref="D56:AZ56" si="8">IF(D51="","",D51/D52)</f>
        <v/>
      </c>
      <c r="E56" s="296" t="str">
        <f t="shared" si="8"/>
        <v/>
      </c>
      <c r="F56" s="296" t="str">
        <f t="shared" si="8"/>
        <v/>
      </c>
      <c r="G56" s="296" t="str">
        <f t="shared" si="8"/>
        <v/>
      </c>
      <c r="H56" s="296" t="str">
        <f t="shared" si="8"/>
        <v/>
      </c>
      <c r="I56" s="296" t="str">
        <f t="shared" si="8"/>
        <v/>
      </c>
      <c r="J56" s="296" t="str">
        <f t="shared" si="8"/>
        <v/>
      </c>
      <c r="K56" s="296" t="str">
        <f t="shared" si="8"/>
        <v/>
      </c>
      <c r="L56" s="296" t="str">
        <f t="shared" si="8"/>
        <v/>
      </c>
      <c r="M56" s="296" t="str">
        <f t="shared" si="8"/>
        <v/>
      </c>
      <c r="N56" s="296" t="str">
        <f t="shared" si="8"/>
        <v/>
      </c>
      <c r="O56" s="296" t="str">
        <f t="shared" si="8"/>
        <v/>
      </c>
      <c r="P56" s="296" t="str">
        <f t="shared" si="8"/>
        <v/>
      </c>
      <c r="Q56" s="296" t="str">
        <f t="shared" si="8"/>
        <v/>
      </c>
      <c r="R56" s="296" t="str">
        <f t="shared" si="8"/>
        <v/>
      </c>
      <c r="S56" s="296" t="str">
        <f t="shared" si="8"/>
        <v/>
      </c>
      <c r="T56" s="296" t="str">
        <f t="shared" si="8"/>
        <v/>
      </c>
      <c r="U56" s="296" t="str">
        <f t="shared" si="8"/>
        <v/>
      </c>
      <c r="V56" s="296" t="str">
        <f t="shared" si="8"/>
        <v/>
      </c>
      <c r="W56" s="296" t="str">
        <f t="shared" si="8"/>
        <v/>
      </c>
      <c r="X56" s="296" t="str">
        <f t="shared" si="8"/>
        <v/>
      </c>
      <c r="Y56" s="296" t="str">
        <f t="shared" si="8"/>
        <v/>
      </c>
      <c r="Z56" s="296" t="str">
        <f t="shared" si="8"/>
        <v/>
      </c>
      <c r="AA56" s="296" t="str">
        <f t="shared" si="8"/>
        <v/>
      </c>
      <c r="AB56" s="296" t="str">
        <f t="shared" si="8"/>
        <v/>
      </c>
      <c r="AC56" s="296" t="str">
        <f t="shared" si="8"/>
        <v/>
      </c>
      <c r="AD56" s="296" t="str">
        <f t="shared" si="8"/>
        <v/>
      </c>
      <c r="AE56" s="296" t="str">
        <f t="shared" si="8"/>
        <v/>
      </c>
      <c r="AF56" s="296" t="str">
        <f t="shared" si="8"/>
        <v/>
      </c>
      <c r="AG56" s="296" t="str">
        <f t="shared" si="8"/>
        <v/>
      </c>
      <c r="AH56" s="296" t="str">
        <f t="shared" si="8"/>
        <v/>
      </c>
      <c r="AI56" s="296" t="str">
        <f t="shared" si="8"/>
        <v/>
      </c>
      <c r="AJ56" s="296" t="str">
        <f t="shared" si="8"/>
        <v/>
      </c>
      <c r="AK56" s="296" t="str">
        <f t="shared" si="8"/>
        <v/>
      </c>
      <c r="AL56" s="296" t="str">
        <f t="shared" si="8"/>
        <v/>
      </c>
      <c r="AM56" s="296" t="str">
        <f t="shared" si="8"/>
        <v/>
      </c>
      <c r="AN56" s="296" t="str">
        <f t="shared" si="8"/>
        <v/>
      </c>
      <c r="AO56" s="296" t="str">
        <f t="shared" si="8"/>
        <v/>
      </c>
      <c r="AP56" s="296" t="str">
        <f t="shared" si="8"/>
        <v/>
      </c>
      <c r="AQ56" s="296" t="str">
        <f t="shared" si="8"/>
        <v/>
      </c>
      <c r="AR56" s="296" t="str">
        <f t="shared" si="8"/>
        <v/>
      </c>
      <c r="AS56" s="296" t="str">
        <f t="shared" si="8"/>
        <v/>
      </c>
      <c r="AT56" s="296" t="str">
        <f t="shared" si="8"/>
        <v/>
      </c>
      <c r="AU56" s="296" t="str">
        <f t="shared" si="8"/>
        <v/>
      </c>
      <c r="AV56" s="296" t="str">
        <f t="shared" si="8"/>
        <v/>
      </c>
      <c r="AW56" s="296" t="str">
        <f t="shared" si="8"/>
        <v/>
      </c>
      <c r="AX56" s="296" t="str">
        <f t="shared" si="8"/>
        <v/>
      </c>
      <c r="AY56" s="296" t="str">
        <f t="shared" si="8"/>
        <v/>
      </c>
      <c r="AZ56" s="296" t="str">
        <f t="shared" si="8"/>
        <v/>
      </c>
    </row>
    <row r="57" spans="1:52" ht="18" customHeight="1">
      <c r="A57" s="167" t="s">
        <v>158</v>
      </c>
      <c r="B57" s="166" t="s">
        <v>157</v>
      </c>
      <c r="C57" s="296" t="str">
        <f>IF(C53="","",(C50+C51-C53)/C$23)</f>
        <v/>
      </c>
      <c r="D57" s="296" t="str">
        <f t="shared" ref="D57:AZ57" si="9">IF(D53="","",(D50+D51-D53)/D$23)</f>
        <v/>
      </c>
      <c r="E57" s="296" t="str">
        <f t="shared" si="9"/>
        <v/>
      </c>
      <c r="F57" s="296" t="str">
        <f t="shared" si="9"/>
        <v/>
      </c>
      <c r="G57" s="296" t="str">
        <f t="shared" si="9"/>
        <v/>
      </c>
      <c r="H57" s="296" t="str">
        <f t="shared" si="9"/>
        <v/>
      </c>
      <c r="I57" s="296" t="str">
        <f t="shared" si="9"/>
        <v/>
      </c>
      <c r="J57" s="296" t="str">
        <f t="shared" si="9"/>
        <v/>
      </c>
      <c r="K57" s="296" t="str">
        <f t="shared" si="9"/>
        <v/>
      </c>
      <c r="L57" s="296" t="str">
        <f t="shared" si="9"/>
        <v/>
      </c>
      <c r="M57" s="296" t="str">
        <f t="shared" si="9"/>
        <v/>
      </c>
      <c r="N57" s="296" t="str">
        <f t="shared" si="9"/>
        <v/>
      </c>
      <c r="O57" s="296" t="str">
        <f t="shared" si="9"/>
        <v/>
      </c>
      <c r="P57" s="296" t="str">
        <f t="shared" si="9"/>
        <v/>
      </c>
      <c r="Q57" s="296" t="str">
        <f t="shared" si="9"/>
        <v/>
      </c>
      <c r="R57" s="296" t="str">
        <f t="shared" si="9"/>
        <v/>
      </c>
      <c r="S57" s="296" t="str">
        <f t="shared" si="9"/>
        <v/>
      </c>
      <c r="T57" s="296" t="str">
        <f t="shared" si="9"/>
        <v/>
      </c>
      <c r="U57" s="296" t="str">
        <f t="shared" si="9"/>
        <v/>
      </c>
      <c r="V57" s="296" t="str">
        <f t="shared" si="9"/>
        <v/>
      </c>
      <c r="W57" s="296" t="str">
        <f t="shared" si="9"/>
        <v/>
      </c>
      <c r="X57" s="296" t="str">
        <f t="shared" si="9"/>
        <v/>
      </c>
      <c r="Y57" s="296" t="str">
        <f t="shared" si="9"/>
        <v/>
      </c>
      <c r="Z57" s="296" t="str">
        <f t="shared" si="9"/>
        <v/>
      </c>
      <c r="AA57" s="296" t="str">
        <f t="shared" si="9"/>
        <v/>
      </c>
      <c r="AB57" s="296" t="str">
        <f t="shared" si="9"/>
        <v/>
      </c>
      <c r="AC57" s="296" t="str">
        <f t="shared" si="9"/>
        <v/>
      </c>
      <c r="AD57" s="296" t="str">
        <f t="shared" si="9"/>
        <v/>
      </c>
      <c r="AE57" s="296" t="str">
        <f t="shared" si="9"/>
        <v/>
      </c>
      <c r="AF57" s="296" t="str">
        <f t="shared" si="9"/>
        <v/>
      </c>
      <c r="AG57" s="296" t="str">
        <f t="shared" si="9"/>
        <v/>
      </c>
      <c r="AH57" s="296" t="str">
        <f t="shared" si="9"/>
        <v/>
      </c>
      <c r="AI57" s="296" t="str">
        <f t="shared" si="9"/>
        <v/>
      </c>
      <c r="AJ57" s="296" t="str">
        <f t="shared" si="9"/>
        <v/>
      </c>
      <c r="AK57" s="296" t="str">
        <f t="shared" si="9"/>
        <v/>
      </c>
      <c r="AL57" s="296" t="str">
        <f t="shared" si="9"/>
        <v/>
      </c>
      <c r="AM57" s="296" t="str">
        <f t="shared" si="9"/>
        <v/>
      </c>
      <c r="AN57" s="296" t="str">
        <f t="shared" si="9"/>
        <v/>
      </c>
      <c r="AO57" s="296" t="str">
        <f t="shared" si="9"/>
        <v/>
      </c>
      <c r="AP57" s="296" t="str">
        <f t="shared" si="9"/>
        <v/>
      </c>
      <c r="AQ57" s="296" t="str">
        <f t="shared" si="9"/>
        <v/>
      </c>
      <c r="AR57" s="296" t="str">
        <f t="shared" si="9"/>
        <v/>
      </c>
      <c r="AS57" s="296" t="str">
        <f t="shared" si="9"/>
        <v/>
      </c>
      <c r="AT57" s="296" t="str">
        <f t="shared" si="9"/>
        <v/>
      </c>
      <c r="AU57" s="296" t="str">
        <f t="shared" si="9"/>
        <v/>
      </c>
      <c r="AV57" s="296" t="str">
        <f t="shared" si="9"/>
        <v/>
      </c>
      <c r="AW57" s="296" t="str">
        <f t="shared" si="9"/>
        <v/>
      </c>
      <c r="AX57" s="296" t="str">
        <f t="shared" si="9"/>
        <v/>
      </c>
      <c r="AY57" s="296" t="str">
        <f t="shared" si="9"/>
        <v/>
      </c>
      <c r="AZ57" s="296" t="str">
        <f t="shared" si="9"/>
        <v/>
      </c>
    </row>
    <row r="58" spans="1:52" ht="18" customHeight="1">
      <c r="A58" s="167" t="s">
        <v>203</v>
      </c>
      <c r="B58" s="166" t="s">
        <v>157</v>
      </c>
      <c r="C58" s="296" t="str">
        <f>IF(C53="","",(C50+C51-C53)/C$24)</f>
        <v/>
      </c>
      <c r="D58" s="296" t="str">
        <f t="shared" ref="D58:AZ58" si="10">IF(D53="","",(D50+D51-D53)/D$24)</f>
        <v/>
      </c>
      <c r="E58" s="296" t="str">
        <f t="shared" si="10"/>
        <v/>
      </c>
      <c r="F58" s="296" t="str">
        <f t="shared" si="10"/>
        <v/>
      </c>
      <c r="G58" s="296" t="str">
        <f t="shared" si="10"/>
        <v/>
      </c>
      <c r="H58" s="296" t="str">
        <f t="shared" si="10"/>
        <v/>
      </c>
      <c r="I58" s="296" t="str">
        <f t="shared" si="10"/>
        <v/>
      </c>
      <c r="J58" s="296" t="str">
        <f t="shared" si="10"/>
        <v/>
      </c>
      <c r="K58" s="296" t="str">
        <f t="shared" si="10"/>
        <v/>
      </c>
      <c r="L58" s="296" t="str">
        <f t="shared" si="10"/>
        <v/>
      </c>
      <c r="M58" s="296" t="str">
        <f t="shared" si="10"/>
        <v/>
      </c>
      <c r="N58" s="296" t="str">
        <f t="shared" si="10"/>
        <v/>
      </c>
      <c r="O58" s="296" t="str">
        <f t="shared" si="10"/>
        <v/>
      </c>
      <c r="P58" s="296" t="str">
        <f t="shared" si="10"/>
        <v/>
      </c>
      <c r="Q58" s="296" t="str">
        <f t="shared" si="10"/>
        <v/>
      </c>
      <c r="R58" s="296" t="str">
        <f t="shared" si="10"/>
        <v/>
      </c>
      <c r="S58" s="296" t="str">
        <f t="shared" si="10"/>
        <v/>
      </c>
      <c r="T58" s="296" t="str">
        <f t="shared" si="10"/>
        <v/>
      </c>
      <c r="U58" s="296" t="str">
        <f t="shared" si="10"/>
        <v/>
      </c>
      <c r="V58" s="296" t="str">
        <f t="shared" si="10"/>
        <v/>
      </c>
      <c r="W58" s="296" t="str">
        <f t="shared" si="10"/>
        <v/>
      </c>
      <c r="X58" s="296" t="str">
        <f t="shared" si="10"/>
        <v/>
      </c>
      <c r="Y58" s="296" t="str">
        <f t="shared" si="10"/>
        <v/>
      </c>
      <c r="Z58" s="296" t="str">
        <f t="shared" si="10"/>
        <v/>
      </c>
      <c r="AA58" s="296" t="str">
        <f t="shared" si="10"/>
        <v/>
      </c>
      <c r="AB58" s="296" t="str">
        <f t="shared" si="10"/>
        <v/>
      </c>
      <c r="AC58" s="296" t="str">
        <f t="shared" si="10"/>
        <v/>
      </c>
      <c r="AD58" s="296" t="str">
        <f t="shared" si="10"/>
        <v/>
      </c>
      <c r="AE58" s="296" t="str">
        <f t="shared" si="10"/>
        <v/>
      </c>
      <c r="AF58" s="296" t="str">
        <f t="shared" si="10"/>
        <v/>
      </c>
      <c r="AG58" s="296" t="str">
        <f t="shared" si="10"/>
        <v/>
      </c>
      <c r="AH58" s="296" t="str">
        <f t="shared" si="10"/>
        <v/>
      </c>
      <c r="AI58" s="296" t="str">
        <f t="shared" si="10"/>
        <v/>
      </c>
      <c r="AJ58" s="296" t="str">
        <f t="shared" si="10"/>
        <v/>
      </c>
      <c r="AK58" s="296" t="str">
        <f t="shared" si="10"/>
        <v/>
      </c>
      <c r="AL58" s="296" t="str">
        <f t="shared" si="10"/>
        <v/>
      </c>
      <c r="AM58" s="296" t="str">
        <f t="shared" si="10"/>
        <v/>
      </c>
      <c r="AN58" s="296" t="str">
        <f t="shared" si="10"/>
        <v/>
      </c>
      <c r="AO58" s="296" t="str">
        <f t="shared" si="10"/>
        <v/>
      </c>
      <c r="AP58" s="296" t="str">
        <f t="shared" si="10"/>
        <v/>
      </c>
      <c r="AQ58" s="296" t="str">
        <f t="shared" si="10"/>
        <v/>
      </c>
      <c r="AR58" s="296" t="str">
        <f t="shared" si="10"/>
        <v/>
      </c>
      <c r="AS58" s="296" t="str">
        <f t="shared" si="10"/>
        <v/>
      </c>
      <c r="AT58" s="296" t="str">
        <f t="shared" si="10"/>
        <v/>
      </c>
      <c r="AU58" s="296" t="str">
        <f t="shared" si="10"/>
        <v/>
      </c>
      <c r="AV58" s="296" t="str">
        <f t="shared" si="10"/>
        <v/>
      </c>
      <c r="AW58" s="296" t="str">
        <f t="shared" si="10"/>
        <v/>
      </c>
      <c r="AX58" s="296" t="str">
        <f t="shared" si="10"/>
        <v/>
      </c>
      <c r="AY58" s="296" t="str">
        <f t="shared" si="10"/>
        <v/>
      </c>
      <c r="AZ58" s="296" t="str">
        <f t="shared" si="10"/>
        <v/>
      </c>
    </row>
    <row r="59" spans="1:52" ht="18" customHeight="1">
      <c r="A59" s="167" t="s">
        <v>159</v>
      </c>
      <c r="B59" s="168" t="s">
        <v>23</v>
      </c>
      <c r="C59" s="296" t="str">
        <f>IF(C53="","",(C50+C51)/C53)</f>
        <v/>
      </c>
      <c r="D59" s="296" t="str">
        <f t="shared" ref="D59:AZ59" si="11">IF(D53="","",(D50+D51)/D53)</f>
        <v/>
      </c>
      <c r="E59" s="296" t="str">
        <f t="shared" si="11"/>
        <v/>
      </c>
      <c r="F59" s="296" t="str">
        <f t="shared" si="11"/>
        <v/>
      </c>
      <c r="G59" s="296" t="str">
        <f t="shared" si="11"/>
        <v/>
      </c>
      <c r="H59" s="296" t="str">
        <f t="shared" si="11"/>
        <v/>
      </c>
      <c r="I59" s="296" t="str">
        <f t="shared" si="11"/>
        <v/>
      </c>
      <c r="J59" s="296" t="str">
        <f t="shared" si="11"/>
        <v/>
      </c>
      <c r="K59" s="296" t="str">
        <f t="shared" si="11"/>
        <v/>
      </c>
      <c r="L59" s="296" t="str">
        <f t="shared" si="11"/>
        <v/>
      </c>
      <c r="M59" s="296" t="str">
        <f t="shared" si="11"/>
        <v/>
      </c>
      <c r="N59" s="296" t="str">
        <f t="shared" si="11"/>
        <v/>
      </c>
      <c r="O59" s="296" t="str">
        <f t="shared" si="11"/>
        <v/>
      </c>
      <c r="P59" s="296" t="str">
        <f t="shared" si="11"/>
        <v/>
      </c>
      <c r="Q59" s="296" t="str">
        <f t="shared" si="11"/>
        <v/>
      </c>
      <c r="R59" s="296" t="str">
        <f t="shared" si="11"/>
        <v/>
      </c>
      <c r="S59" s="296" t="str">
        <f t="shared" si="11"/>
        <v/>
      </c>
      <c r="T59" s="296" t="str">
        <f t="shared" si="11"/>
        <v/>
      </c>
      <c r="U59" s="296" t="str">
        <f t="shared" si="11"/>
        <v/>
      </c>
      <c r="V59" s="296" t="str">
        <f t="shared" si="11"/>
        <v/>
      </c>
      <c r="W59" s="296" t="str">
        <f t="shared" si="11"/>
        <v/>
      </c>
      <c r="X59" s="296" t="str">
        <f t="shared" si="11"/>
        <v/>
      </c>
      <c r="Y59" s="296" t="str">
        <f t="shared" si="11"/>
        <v/>
      </c>
      <c r="Z59" s="296" t="str">
        <f t="shared" si="11"/>
        <v/>
      </c>
      <c r="AA59" s="296" t="str">
        <f t="shared" si="11"/>
        <v/>
      </c>
      <c r="AB59" s="296" t="str">
        <f t="shared" si="11"/>
        <v/>
      </c>
      <c r="AC59" s="296" t="str">
        <f t="shared" si="11"/>
        <v/>
      </c>
      <c r="AD59" s="296" t="str">
        <f t="shared" si="11"/>
        <v/>
      </c>
      <c r="AE59" s="296" t="str">
        <f t="shared" si="11"/>
        <v/>
      </c>
      <c r="AF59" s="296" t="str">
        <f t="shared" si="11"/>
        <v/>
      </c>
      <c r="AG59" s="296" t="str">
        <f t="shared" si="11"/>
        <v/>
      </c>
      <c r="AH59" s="296" t="str">
        <f t="shared" si="11"/>
        <v/>
      </c>
      <c r="AI59" s="296" t="str">
        <f t="shared" si="11"/>
        <v/>
      </c>
      <c r="AJ59" s="296" t="str">
        <f t="shared" si="11"/>
        <v/>
      </c>
      <c r="AK59" s="296" t="str">
        <f t="shared" si="11"/>
        <v/>
      </c>
      <c r="AL59" s="296" t="str">
        <f t="shared" si="11"/>
        <v/>
      </c>
      <c r="AM59" s="296" t="str">
        <f t="shared" si="11"/>
        <v/>
      </c>
      <c r="AN59" s="296" t="str">
        <f t="shared" si="11"/>
        <v/>
      </c>
      <c r="AO59" s="296" t="str">
        <f t="shared" si="11"/>
        <v/>
      </c>
      <c r="AP59" s="296" t="str">
        <f t="shared" si="11"/>
        <v/>
      </c>
      <c r="AQ59" s="296" t="str">
        <f t="shared" si="11"/>
        <v/>
      </c>
      <c r="AR59" s="296" t="str">
        <f t="shared" si="11"/>
        <v/>
      </c>
      <c r="AS59" s="296" t="str">
        <f t="shared" si="11"/>
        <v/>
      </c>
      <c r="AT59" s="296" t="str">
        <f t="shared" si="11"/>
        <v/>
      </c>
      <c r="AU59" s="296" t="str">
        <f t="shared" si="11"/>
        <v/>
      </c>
      <c r="AV59" s="296" t="str">
        <f t="shared" si="11"/>
        <v/>
      </c>
      <c r="AW59" s="296" t="str">
        <f t="shared" si="11"/>
        <v/>
      </c>
      <c r="AX59" s="296" t="str">
        <f t="shared" si="11"/>
        <v/>
      </c>
      <c r="AY59" s="296" t="str">
        <f t="shared" si="11"/>
        <v/>
      </c>
      <c r="AZ59" s="296" t="str">
        <f t="shared" si="11"/>
        <v/>
      </c>
    </row>
    <row r="60" spans="1:52" ht="18" customHeight="1">
      <c r="A60" s="167" t="s">
        <v>191</v>
      </c>
      <c r="B60" s="168" t="s">
        <v>23</v>
      </c>
      <c r="C60" s="296" t="str">
        <f t="shared" ref="C60:AH60" si="12">IF(C53="","",C$59*C$24/C$23)</f>
        <v/>
      </c>
      <c r="D60" s="296" t="str">
        <f>IF(D53="","",D$59*D$24/D$23)</f>
        <v/>
      </c>
      <c r="E60" s="296" t="str">
        <f t="shared" si="12"/>
        <v/>
      </c>
      <c r="F60" s="296" t="str">
        <f t="shared" si="12"/>
        <v/>
      </c>
      <c r="G60" s="296" t="str">
        <f t="shared" si="12"/>
        <v/>
      </c>
      <c r="H60" s="296" t="str">
        <f t="shared" si="12"/>
        <v/>
      </c>
      <c r="I60" s="296" t="str">
        <f t="shared" si="12"/>
        <v/>
      </c>
      <c r="J60" s="296" t="str">
        <f t="shared" si="12"/>
        <v/>
      </c>
      <c r="K60" s="296" t="str">
        <f t="shared" si="12"/>
        <v/>
      </c>
      <c r="L60" s="296" t="str">
        <f t="shared" si="12"/>
        <v/>
      </c>
      <c r="M60" s="296" t="str">
        <f t="shared" si="12"/>
        <v/>
      </c>
      <c r="N60" s="296" t="str">
        <f t="shared" si="12"/>
        <v/>
      </c>
      <c r="O60" s="296" t="str">
        <f t="shared" si="12"/>
        <v/>
      </c>
      <c r="P60" s="296" t="str">
        <f t="shared" si="12"/>
        <v/>
      </c>
      <c r="Q60" s="296" t="str">
        <f t="shared" si="12"/>
        <v/>
      </c>
      <c r="R60" s="296" t="str">
        <f t="shared" si="12"/>
        <v/>
      </c>
      <c r="S60" s="296" t="str">
        <f t="shared" si="12"/>
        <v/>
      </c>
      <c r="T60" s="296" t="str">
        <f t="shared" si="12"/>
        <v/>
      </c>
      <c r="U60" s="296" t="str">
        <f t="shared" si="12"/>
        <v/>
      </c>
      <c r="V60" s="296" t="str">
        <f t="shared" si="12"/>
        <v/>
      </c>
      <c r="W60" s="296" t="str">
        <f t="shared" si="12"/>
        <v/>
      </c>
      <c r="X60" s="296" t="str">
        <f t="shared" si="12"/>
        <v/>
      </c>
      <c r="Y60" s="296" t="str">
        <f t="shared" si="12"/>
        <v/>
      </c>
      <c r="Z60" s="296" t="str">
        <f t="shared" si="12"/>
        <v/>
      </c>
      <c r="AA60" s="296" t="str">
        <f t="shared" si="12"/>
        <v/>
      </c>
      <c r="AB60" s="296" t="str">
        <f t="shared" si="12"/>
        <v/>
      </c>
      <c r="AC60" s="296" t="str">
        <f t="shared" si="12"/>
        <v/>
      </c>
      <c r="AD60" s="296" t="str">
        <f t="shared" si="12"/>
        <v/>
      </c>
      <c r="AE60" s="296" t="str">
        <f t="shared" si="12"/>
        <v/>
      </c>
      <c r="AF60" s="296" t="str">
        <f t="shared" si="12"/>
        <v/>
      </c>
      <c r="AG60" s="296" t="str">
        <f t="shared" si="12"/>
        <v/>
      </c>
      <c r="AH60" s="296" t="str">
        <f t="shared" si="12"/>
        <v/>
      </c>
      <c r="AI60" s="296" t="str">
        <f t="shared" ref="AI60:AZ60" si="13">IF(AI53="","",AI$59*AI$24/AI$23)</f>
        <v/>
      </c>
      <c r="AJ60" s="296" t="str">
        <f t="shared" si="13"/>
        <v/>
      </c>
      <c r="AK60" s="296" t="str">
        <f t="shared" si="13"/>
        <v/>
      </c>
      <c r="AL60" s="296" t="str">
        <f t="shared" si="13"/>
        <v/>
      </c>
      <c r="AM60" s="296" t="str">
        <f t="shared" si="13"/>
        <v/>
      </c>
      <c r="AN60" s="296" t="str">
        <f t="shared" si="13"/>
        <v/>
      </c>
      <c r="AO60" s="296" t="str">
        <f t="shared" si="13"/>
        <v/>
      </c>
      <c r="AP60" s="296" t="str">
        <f t="shared" si="13"/>
        <v/>
      </c>
      <c r="AQ60" s="296" t="str">
        <f t="shared" si="13"/>
        <v/>
      </c>
      <c r="AR60" s="296" t="str">
        <f t="shared" si="13"/>
        <v/>
      </c>
      <c r="AS60" s="296" t="str">
        <f t="shared" si="13"/>
        <v/>
      </c>
      <c r="AT60" s="296" t="str">
        <f t="shared" si="13"/>
        <v/>
      </c>
      <c r="AU60" s="296" t="str">
        <f t="shared" si="13"/>
        <v/>
      </c>
      <c r="AV60" s="296" t="str">
        <f t="shared" si="13"/>
        <v/>
      </c>
      <c r="AW60" s="296" t="str">
        <f t="shared" si="13"/>
        <v/>
      </c>
      <c r="AX60" s="296" t="str">
        <f t="shared" si="13"/>
        <v/>
      </c>
      <c r="AY60" s="296" t="str">
        <f t="shared" si="13"/>
        <v/>
      </c>
      <c r="AZ60" s="296" t="str">
        <f t="shared" si="13"/>
        <v/>
      </c>
    </row>
    <row r="61" spans="1:52" ht="18" customHeight="1">
      <c r="A61" s="167" t="s">
        <v>192</v>
      </c>
      <c r="B61" s="168" t="s">
        <v>23</v>
      </c>
      <c r="C61" s="296" t="str">
        <f>IF(C53="","",C$59-C$60)</f>
        <v/>
      </c>
      <c r="D61" s="296" t="str">
        <f t="shared" ref="D61:AZ61" si="14">IF(D53="","",D$59-D$60)</f>
        <v/>
      </c>
      <c r="E61" s="296" t="str">
        <f t="shared" si="14"/>
        <v/>
      </c>
      <c r="F61" s="296" t="str">
        <f t="shared" si="14"/>
        <v/>
      </c>
      <c r="G61" s="296" t="str">
        <f t="shared" si="14"/>
        <v/>
      </c>
      <c r="H61" s="296" t="str">
        <f t="shared" si="14"/>
        <v/>
      </c>
      <c r="I61" s="296" t="str">
        <f t="shared" si="14"/>
        <v/>
      </c>
      <c r="J61" s="296" t="str">
        <f t="shared" si="14"/>
        <v/>
      </c>
      <c r="K61" s="296" t="str">
        <f t="shared" si="14"/>
        <v/>
      </c>
      <c r="L61" s="296" t="str">
        <f t="shared" si="14"/>
        <v/>
      </c>
      <c r="M61" s="296" t="str">
        <f t="shared" si="14"/>
        <v/>
      </c>
      <c r="N61" s="296" t="str">
        <f t="shared" si="14"/>
        <v/>
      </c>
      <c r="O61" s="296" t="str">
        <f t="shared" si="14"/>
        <v/>
      </c>
      <c r="P61" s="296" t="str">
        <f t="shared" si="14"/>
        <v/>
      </c>
      <c r="Q61" s="296" t="str">
        <f t="shared" si="14"/>
        <v/>
      </c>
      <c r="R61" s="296" t="str">
        <f t="shared" si="14"/>
        <v/>
      </c>
      <c r="S61" s="296" t="str">
        <f t="shared" si="14"/>
        <v/>
      </c>
      <c r="T61" s="296" t="str">
        <f t="shared" si="14"/>
        <v/>
      </c>
      <c r="U61" s="296" t="str">
        <f t="shared" si="14"/>
        <v/>
      </c>
      <c r="V61" s="296" t="str">
        <f t="shared" si="14"/>
        <v/>
      </c>
      <c r="W61" s="296" t="str">
        <f t="shared" si="14"/>
        <v/>
      </c>
      <c r="X61" s="296" t="str">
        <f t="shared" si="14"/>
        <v/>
      </c>
      <c r="Y61" s="296" t="str">
        <f t="shared" si="14"/>
        <v/>
      </c>
      <c r="Z61" s="296" t="str">
        <f t="shared" si="14"/>
        <v/>
      </c>
      <c r="AA61" s="296" t="str">
        <f t="shared" si="14"/>
        <v/>
      </c>
      <c r="AB61" s="296" t="str">
        <f t="shared" si="14"/>
        <v/>
      </c>
      <c r="AC61" s="296" t="str">
        <f t="shared" si="14"/>
        <v/>
      </c>
      <c r="AD61" s="296" t="str">
        <f t="shared" si="14"/>
        <v/>
      </c>
      <c r="AE61" s="296" t="str">
        <f t="shared" si="14"/>
        <v/>
      </c>
      <c r="AF61" s="296" t="str">
        <f t="shared" si="14"/>
        <v/>
      </c>
      <c r="AG61" s="296" t="str">
        <f t="shared" si="14"/>
        <v/>
      </c>
      <c r="AH61" s="296" t="str">
        <f t="shared" si="14"/>
        <v/>
      </c>
      <c r="AI61" s="296" t="str">
        <f t="shared" si="14"/>
        <v/>
      </c>
      <c r="AJ61" s="296" t="str">
        <f t="shared" si="14"/>
        <v/>
      </c>
      <c r="AK61" s="296" t="str">
        <f t="shared" si="14"/>
        <v/>
      </c>
      <c r="AL61" s="296" t="str">
        <f t="shared" si="14"/>
        <v/>
      </c>
      <c r="AM61" s="296" t="str">
        <f t="shared" si="14"/>
        <v/>
      </c>
      <c r="AN61" s="296" t="str">
        <f t="shared" si="14"/>
        <v/>
      </c>
      <c r="AO61" s="296" t="str">
        <f t="shared" si="14"/>
        <v/>
      </c>
      <c r="AP61" s="296" t="str">
        <f t="shared" si="14"/>
        <v/>
      </c>
      <c r="AQ61" s="296" t="str">
        <f t="shared" si="14"/>
        <v/>
      </c>
      <c r="AR61" s="296" t="str">
        <f t="shared" si="14"/>
        <v/>
      </c>
      <c r="AS61" s="296" t="str">
        <f t="shared" si="14"/>
        <v/>
      </c>
      <c r="AT61" s="296" t="str">
        <f t="shared" si="14"/>
        <v/>
      </c>
      <c r="AU61" s="296" t="str">
        <f t="shared" si="14"/>
        <v/>
      </c>
      <c r="AV61" s="296" t="str">
        <f t="shared" si="14"/>
        <v/>
      </c>
      <c r="AW61" s="296" t="str">
        <f t="shared" si="14"/>
        <v/>
      </c>
      <c r="AX61" s="296" t="str">
        <f t="shared" si="14"/>
        <v/>
      </c>
      <c r="AY61" s="296" t="str">
        <f t="shared" si="14"/>
        <v/>
      </c>
      <c r="AZ61" s="296" t="str">
        <f t="shared" si="14"/>
        <v/>
      </c>
    </row>
    <row r="62" spans="1:52" ht="18" customHeight="1">
      <c r="A62" s="167" t="s">
        <v>193</v>
      </c>
      <c r="B62" s="168" t="s">
        <v>23</v>
      </c>
      <c r="C62" s="296" t="str">
        <f>IF(C53="","",C$59*C$50/(C$50+C$51))</f>
        <v/>
      </c>
      <c r="D62" s="296" t="str">
        <f t="shared" ref="D62:AZ62" si="15">IF(D53="","",D$59*D$50/(D$50+D$51))</f>
        <v/>
      </c>
      <c r="E62" s="296" t="str">
        <f t="shared" si="15"/>
        <v/>
      </c>
      <c r="F62" s="296" t="str">
        <f t="shared" si="15"/>
        <v/>
      </c>
      <c r="G62" s="296" t="str">
        <f t="shared" si="15"/>
        <v/>
      </c>
      <c r="H62" s="296" t="str">
        <f t="shared" si="15"/>
        <v/>
      </c>
      <c r="I62" s="296" t="str">
        <f t="shared" si="15"/>
        <v/>
      </c>
      <c r="J62" s="296" t="str">
        <f t="shared" si="15"/>
        <v/>
      </c>
      <c r="K62" s="296" t="str">
        <f t="shared" si="15"/>
        <v/>
      </c>
      <c r="L62" s="296" t="str">
        <f t="shared" si="15"/>
        <v/>
      </c>
      <c r="M62" s="296" t="str">
        <f t="shared" si="15"/>
        <v/>
      </c>
      <c r="N62" s="296" t="str">
        <f t="shared" si="15"/>
        <v/>
      </c>
      <c r="O62" s="296" t="str">
        <f t="shared" si="15"/>
        <v/>
      </c>
      <c r="P62" s="296" t="str">
        <f t="shared" si="15"/>
        <v/>
      </c>
      <c r="Q62" s="296" t="str">
        <f t="shared" si="15"/>
        <v/>
      </c>
      <c r="R62" s="296" t="str">
        <f t="shared" si="15"/>
        <v/>
      </c>
      <c r="S62" s="296" t="str">
        <f t="shared" si="15"/>
        <v/>
      </c>
      <c r="T62" s="296" t="str">
        <f t="shared" si="15"/>
        <v/>
      </c>
      <c r="U62" s="296" t="str">
        <f t="shared" si="15"/>
        <v/>
      </c>
      <c r="V62" s="296" t="str">
        <f t="shared" si="15"/>
        <v/>
      </c>
      <c r="W62" s="296" t="str">
        <f t="shared" si="15"/>
        <v/>
      </c>
      <c r="X62" s="296" t="str">
        <f t="shared" si="15"/>
        <v/>
      </c>
      <c r="Y62" s="296" t="str">
        <f t="shared" si="15"/>
        <v/>
      </c>
      <c r="Z62" s="296" t="str">
        <f t="shared" si="15"/>
        <v/>
      </c>
      <c r="AA62" s="296" t="str">
        <f t="shared" si="15"/>
        <v/>
      </c>
      <c r="AB62" s="296" t="str">
        <f t="shared" si="15"/>
        <v/>
      </c>
      <c r="AC62" s="296" t="str">
        <f t="shared" si="15"/>
        <v/>
      </c>
      <c r="AD62" s="296" t="str">
        <f t="shared" si="15"/>
        <v/>
      </c>
      <c r="AE62" s="296" t="str">
        <f t="shared" si="15"/>
        <v/>
      </c>
      <c r="AF62" s="296" t="str">
        <f t="shared" si="15"/>
        <v/>
      </c>
      <c r="AG62" s="296" t="str">
        <f t="shared" si="15"/>
        <v/>
      </c>
      <c r="AH62" s="296" t="str">
        <f t="shared" si="15"/>
        <v/>
      </c>
      <c r="AI62" s="296" t="str">
        <f t="shared" si="15"/>
        <v/>
      </c>
      <c r="AJ62" s="296" t="str">
        <f t="shared" si="15"/>
        <v/>
      </c>
      <c r="AK62" s="296" t="str">
        <f t="shared" si="15"/>
        <v/>
      </c>
      <c r="AL62" s="296" t="str">
        <f t="shared" si="15"/>
        <v/>
      </c>
      <c r="AM62" s="296" t="str">
        <f t="shared" si="15"/>
        <v/>
      </c>
      <c r="AN62" s="296" t="str">
        <f t="shared" si="15"/>
        <v/>
      </c>
      <c r="AO62" s="296" t="str">
        <f t="shared" si="15"/>
        <v/>
      </c>
      <c r="AP62" s="296" t="str">
        <f t="shared" si="15"/>
        <v/>
      </c>
      <c r="AQ62" s="296" t="str">
        <f t="shared" si="15"/>
        <v/>
      </c>
      <c r="AR62" s="296" t="str">
        <f t="shared" si="15"/>
        <v/>
      </c>
      <c r="AS62" s="296" t="str">
        <f t="shared" si="15"/>
        <v/>
      </c>
      <c r="AT62" s="296" t="str">
        <f t="shared" si="15"/>
        <v/>
      </c>
      <c r="AU62" s="296" t="str">
        <f t="shared" si="15"/>
        <v/>
      </c>
      <c r="AV62" s="296" t="str">
        <f t="shared" si="15"/>
        <v/>
      </c>
      <c r="AW62" s="296" t="str">
        <f t="shared" si="15"/>
        <v/>
      </c>
      <c r="AX62" s="296" t="str">
        <f t="shared" si="15"/>
        <v/>
      </c>
      <c r="AY62" s="296" t="str">
        <f t="shared" si="15"/>
        <v/>
      </c>
      <c r="AZ62" s="296" t="str">
        <f t="shared" si="15"/>
        <v/>
      </c>
    </row>
    <row r="63" spans="1:52" ht="18" customHeight="1">
      <c r="A63" s="167" t="s">
        <v>194</v>
      </c>
      <c r="B63" s="168" t="s">
        <v>23</v>
      </c>
      <c r="C63" s="296" t="str">
        <f>IF(C53="","",C$59-C$62)</f>
        <v/>
      </c>
      <c r="D63" s="296" t="str">
        <f t="shared" ref="D63:AZ63" si="16">IF(D53="","",D$59-D$62)</f>
        <v/>
      </c>
      <c r="E63" s="296" t="str">
        <f t="shared" si="16"/>
        <v/>
      </c>
      <c r="F63" s="296" t="str">
        <f t="shared" si="16"/>
        <v/>
      </c>
      <c r="G63" s="296" t="str">
        <f t="shared" si="16"/>
        <v/>
      </c>
      <c r="H63" s="296" t="str">
        <f t="shared" si="16"/>
        <v/>
      </c>
      <c r="I63" s="296" t="str">
        <f t="shared" si="16"/>
        <v/>
      </c>
      <c r="J63" s="296" t="str">
        <f t="shared" si="16"/>
        <v/>
      </c>
      <c r="K63" s="296" t="str">
        <f t="shared" si="16"/>
        <v/>
      </c>
      <c r="L63" s="296" t="str">
        <f t="shared" si="16"/>
        <v/>
      </c>
      <c r="M63" s="296" t="str">
        <f t="shared" si="16"/>
        <v/>
      </c>
      <c r="N63" s="296" t="str">
        <f t="shared" si="16"/>
        <v/>
      </c>
      <c r="O63" s="296" t="str">
        <f t="shared" si="16"/>
        <v/>
      </c>
      <c r="P63" s="296" t="str">
        <f t="shared" si="16"/>
        <v/>
      </c>
      <c r="Q63" s="296" t="str">
        <f t="shared" si="16"/>
        <v/>
      </c>
      <c r="R63" s="296" t="str">
        <f t="shared" si="16"/>
        <v/>
      </c>
      <c r="S63" s="296" t="str">
        <f t="shared" si="16"/>
        <v/>
      </c>
      <c r="T63" s="296" t="str">
        <f t="shared" si="16"/>
        <v/>
      </c>
      <c r="U63" s="296" t="str">
        <f t="shared" si="16"/>
        <v/>
      </c>
      <c r="V63" s="296" t="str">
        <f t="shared" si="16"/>
        <v/>
      </c>
      <c r="W63" s="296" t="str">
        <f t="shared" si="16"/>
        <v/>
      </c>
      <c r="X63" s="296" t="str">
        <f t="shared" si="16"/>
        <v/>
      </c>
      <c r="Y63" s="296" t="str">
        <f t="shared" si="16"/>
        <v/>
      </c>
      <c r="Z63" s="296" t="str">
        <f t="shared" si="16"/>
        <v/>
      </c>
      <c r="AA63" s="296" t="str">
        <f t="shared" si="16"/>
        <v/>
      </c>
      <c r="AB63" s="296" t="str">
        <f t="shared" si="16"/>
        <v/>
      </c>
      <c r="AC63" s="296" t="str">
        <f t="shared" si="16"/>
        <v/>
      </c>
      <c r="AD63" s="296" t="str">
        <f t="shared" si="16"/>
        <v/>
      </c>
      <c r="AE63" s="296" t="str">
        <f t="shared" si="16"/>
        <v/>
      </c>
      <c r="AF63" s="296" t="str">
        <f t="shared" si="16"/>
        <v/>
      </c>
      <c r="AG63" s="296" t="str">
        <f t="shared" si="16"/>
        <v/>
      </c>
      <c r="AH63" s="296" t="str">
        <f t="shared" si="16"/>
        <v/>
      </c>
      <c r="AI63" s="296" t="str">
        <f t="shared" si="16"/>
        <v/>
      </c>
      <c r="AJ63" s="296" t="str">
        <f t="shared" si="16"/>
        <v/>
      </c>
      <c r="AK63" s="296" t="str">
        <f t="shared" si="16"/>
        <v/>
      </c>
      <c r="AL63" s="296" t="str">
        <f t="shared" si="16"/>
        <v/>
      </c>
      <c r="AM63" s="296" t="str">
        <f t="shared" si="16"/>
        <v/>
      </c>
      <c r="AN63" s="296" t="str">
        <f t="shared" si="16"/>
        <v/>
      </c>
      <c r="AO63" s="296" t="str">
        <f t="shared" si="16"/>
        <v/>
      </c>
      <c r="AP63" s="296" t="str">
        <f t="shared" si="16"/>
        <v/>
      </c>
      <c r="AQ63" s="296" t="str">
        <f t="shared" si="16"/>
        <v/>
      </c>
      <c r="AR63" s="296" t="str">
        <f t="shared" si="16"/>
        <v/>
      </c>
      <c r="AS63" s="296" t="str">
        <f t="shared" si="16"/>
        <v/>
      </c>
      <c r="AT63" s="296" t="str">
        <f t="shared" si="16"/>
        <v/>
      </c>
      <c r="AU63" s="296" t="str">
        <f t="shared" si="16"/>
        <v/>
      </c>
      <c r="AV63" s="296" t="str">
        <f t="shared" si="16"/>
        <v/>
      </c>
      <c r="AW63" s="296" t="str">
        <f t="shared" si="16"/>
        <v/>
      </c>
      <c r="AX63" s="296" t="str">
        <f t="shared" si="16"/>
        <v/>
      </c>
      <c r="AY63" s="296" t="str">
        <f t="shared" si="16"/>
        <v/>
      </c>
      <c r="AZ63" s="296" t="str">
        <f t="shared" si="16"/>
        <v/>
      </c>
    </row>
    <row r="66" spans="3:44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3:44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3:44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3:44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3:44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3:44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3:44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3:44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3:44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3:44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</sheetData>
  <sheetProtection algorithmName="SHA-512" hashValue="q3vTFIMnaw9EAfhWJR8Jt2DkVweOGCsx+JipAC8vxWGtv0++BHlaESM+wCZxQEdkAOUPjWwuvdlKFyx2Iwuo1g==" saltValue="E74aSKc+1ZG7EYmIWIr2Zw==" spinCount="100000" sheet="1" objects="1" scenarios="1" formatCells="0" formatColumns="0" formatRows="0" insertColumns="0" insertRows="0" insertHyperlinks="0" sort="0" autoFilter="0" pivotTables="0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workbookViewId="0">
      <selection activeCell="A31" sqref="A31"/>
    </sheetView>
  </sheetViews>
  <sheetFormatPr defaultColWidth="9.140625" defaultRowHeight="15"/>
  <cols>
    <col min="1" max="1" width="63.140625" style="42" bestFit="1" customWidth="1"/>
    <col min="2" max="2" width="15.140625" style="42" bestFit="1" customWidth="1"/>
    <col min="3" max="10" width="11.85546875" style="57" bestFit="1" customWidth="1"/>
    <col min="11" max="16384" width="9.140625" style="42"/>
  </cols>
  <sheetData>
    <row r="1" spans="1:10" s="41" customFormat="1" ht="15.75">
      <c r="A1" s="39" t="s">
        <v>8</v>
      </c>
      <c r="B1" s="43" t="s">
        <v>1</v>
      </c>
      <c r="C1" s="43">
        <f>SUM(C13:J13)</f>
        <v>0</v>
      </c>
      <c r="D1" s="44"/>
      <c r="E1" s="44"/>
      <c r="F1" s="44"/>
      <c r="G1" s="44"/>
      <c r="H1" s="44"/>
      <c r="I1" s="44"/>
      <c r="J1" s="44"/>
    </row>
    <row r="2" spans="1:10" s="41" customFormat="1" ht="15.75">
      <c r="A2" s="55"/>
      <c r="B2" s="56"/>
      <c r="C2" s="56"/>
      <c r="D2" s="44"/>
      <c r="E2" s="44"/>
      <c r="F2" s="44"/>
      <c r="G2" s="44"/>
      <c r="H2" s="44"/>
      <c r="I2" s="44"/>
      <c r="J2" s="44"/>
    </row>
    <row r="3" spans="1:10" s="41" customFormat="1" ht="15.75">
      <c r="A3" s="39" t="s">
        <v>31</v>
      </c>
      <c r="B3" s="43" t="s">
        <v>1</v>
      </c>
      <c r="C3" s="43">
        <f>IF(C15="NA","NA",SUM(C15:J15))</f>
        <v>0</v>
      </c>
      <c r="D3" s="44"/>
      <c r="E3" s="44"/>
      <c r="F3" s="44"/>
      <c r="G3" s="44"/>
      <c r="H3" s="44"/>
      <c r="I3" s="44"/>
      <c r="J3" s="44"/>
    </row>
    <row r="4" spans="1:10" s="41" customFormat="1" ht="17.25">
      <c r="A4" s="39" t="s">
        <v>15</v>
      </c>
      <c r="B4" s="40" t="s">
        <v>34</v>
      </c>
      <c r="C4" s="43">
        <f>SUM(C8:J8)</f>
        <v>0</v>
      </c>
      <c r="D4" s="44"/>
      <c r="E4" s="44"/>
      <c r="F4" s="44"/>
      <c r="G4" s="44"/>
      <c r="H4" s="44"/>
      <c r="I4" s="44"/>
      <c r="J4" s="44"/>
    </row>
    <row r="5" spans="1:10" s="41" customFormat="1" ht="17.25">
      <c r="A5" s="39" t="s">
        <v>16</v>
      </c>
      <c r="B5" s="40" t="s">
        <v>29</v>
      </c>
      <c r="C5" s="43">
        <f>SUMPRODUCT(C8:J8,C11:J11)</f>
        <v>0</v>
      </c>
      <c r="D5" s="44"/>
      <c r="E5" s="44"/>
      <c r="F5" s="44"/>
      <c r="G5" s="44"/>
      <c r="H5" s="44"/>
      <c r="I5" s="44"/>
      <c r="J5" s="44"/>
    </row>
    <row r="6" spans="1:10" s="41" customFormat="1" ht="14.25">
      <c r="B6" s="44"/>
      <c r="C6" s="44"/>
      <c r="D6" s="44"/>
      <c r="E6" s="44"/>
      <c r="F6" s="44"/>
      <c r="G6" s="44"/>
      <c r="H6" s="44"/>
      <c r="I6" s="44"/>
      <c r="J6" s="44"/>
    </row>
    <row r="7" spans="1:10" s="41" customFormat="1">
      <c r="A7" s="45" t="s">
        <v>121</v>
      </c>
      <c r="B7" s="46" t="s">
        <v>117</v>
      </c>
      <c r="C7"/>
      <c r="D7"/>
      <c r="E7"/>
      <c r="F7"/>
      <c r="G7"/>
      <c r="H7"/>
      <c r="I7"/>
      <c r="J7"/>
    </row>
    <row r="8" spans="1:10" s="41" customFormat="1" ht="16.5">
      <c r="A8" s="46" t="s">
        <v>36</v>
      </c>
      <c r="B8" s="46" t="s">
        <v>33</v>
      </c>
      <c r="C8" s="33"/>
      <c r="D8" s="33"/>
      <c r="E8" s="33"/>
      <c r="F8" s="33"/>
      <c r="G8" s="33"/>
      <c r="H8" s="33"/>
      <c r="I8" s="33"/>
      <c r="J8" s="33"/>
    </row>
    <row r="9" spans="1:10" s="41" customFormat="1" ht="14.25">
      <c r="A9" s="46" t="s">
        <v>35</v>
      </c>
      <c r="B9" s="46" t="s">
        <v>2</v>
      </c>
      <c r="C9" s="33"/>
      <c r="D9" s="33"/>
      <c r="E9" s="33"/>
      <c r="F9" s="33"/>
      <c r="G9" s="33"/>
      <c r="H9" s="33"/>
      <c r="I9" s="33"/>
      <c r="J9" s="33"/>
    </row>
    <row r="10" spans="1:10" s="41" customFormat="1" ht="14.25">
      <c r="A10" s="46" t="s">
        <v>7</v>
      </c>
      <c r="B10" s="46" t="s">
        <v>3</v>
      </c>
      <c r="C10" s="33"/>
      <c r="D10" s="33"/>
      <c r="E10" s="33"/>
      <c r="F10" s="33"/>
      <c r="G10" s="33"/>
      <c r="H10" s="33"/>
      <c r="I10" s="33"/>
      <c r="J10" s="33"/>
    </row>
    <row r="11" spans="1:10" s="41" customFormat="1" ht="14.25">
      <c r="A11" s="46" t="s">
        <v>26</v>
      </c>
      <c r="B11" s="46" t="s">
        <v>5</v>
      </c>
      <c r="C11" s="33"/>
      <c r="D11" s="33"/>
      <c r="E11" s="33"/>
      <c r="F11" s="33"/>
      <c r="G11" s="33"/>
      <c r="H11" s="33"/>
      <c r="I11" s="33"/>
      <c r="J11" s="33"/>
    </row>
    <row r="12" spans="1:10" s="41" customFormat="1" ht="14.25">
      <c r="A12" s="36" t="s">
        <v>21</v>
      </c>
      <c r="B12" s="36" t="s">
        <v>19</v>
      </c>
      <c r="C12" s="36" t="str">
        <f>IF(C8="","",9.8*C8/3600*C9*(C10/100))</f>
        <v/>
      </c>
      <c r="D12" s="36" t="str">
        <f t="shared" ref="D12:J12" si="0">IF(D8="","",9.8*D8/3600*D9*(D10/100))</f>
        <v/>
      </c>
      <c r="E12" s="36" t="str">
        <f t="shared" si="0"/>
        <v/>
      </c>
      <c r="F12" s="36" t="str">
        <f t="shared" si="0"/>
        <v/>
      </c>
      <c r="G12" s="36" t="str">
        <f t="shared" si="0"/>
        <v/>
      </c>
      <c r="H12" s="36" t="str">
        <f t="shared" si="0"/>
        <v/>
      </c>
      <c r="I12" s="36" t="str">
        <f t="shared" si="0"/>
        <v/>
      </c>
      <c r="J12" s="36" t="str">
        <f t="shared" si="0"/>
        <v/>
      </c>
    </row>
    <row r="13" spans="1:10" s="41" customFormat="1" ht="14.25">
      <c r="A13" s="36" t="s">
        <v>20</v>
      </c>
      <c r="B13" s="36" t="s">
        <v>1</v>
      </c>
      <c r="C13" s="36" t="str">
        <f>IF(C12="","",C12*C11)</f>
        <v/>
      </c>
      <c r="D13" s="36" t="str">
        <f t="shared" ref="D13:J13" si="1">IF(D12="","",D12*D11)</f>
        <v/>
      </c>
      <c r="E13" s="36" t="str">
        <f t="shared" si="1"/>
        <v/>
      </c>
      <c r="F13" s="36" t="str">
        <f t="shared" si="1"/>
        <v/>
      </c>
      <c r="G13" s="36" t="str">
        <f t="shared" si="1"/>
        <v/>
      </c>
      <c r="H13" s="36" t="str">
        <f t="shared" si="1"/>
        <v/>
      </c>
      <c r="I13" s="36" t="str">
        <f t="shared" si="1"/>
        <v/>
      </c>
      <c r="J13" s="36" t="str">
        <f t="shared" si="1"/>
        <v/>
      </c>
    </row>
    <row r="14" spans="1:10">
      <c r="A14" s="36" t="s">
        <v>30</v>
      </c>
      <c r="B14" s="36" t="s">
        <v>19</v>
      </c>
      <c r="C14" s="36" t="str">
        <f>IF(C8="","",9.8*C8/3600*C9*(1-(C10/100)))</f>
        <v/>
      </c>
      <c r="D14" s="36" t="str">
        <f t="shared" ref="D14:J14" si="2">IF(D8="","",9.8*D8/3600*D9*(1-(D10/100)))</f>
        <v/>
      </c>
      <c r="E14" s="36" t="str">
        <f t="shared" si="2"/>
        <v/>
      </c>
      <c r="F14" s="36" t="str">
        <f t="shared" si="2"/>
        <v/>
      </c>
      <c r="G14" s="36" t="str">
        <f t="shared" si="2"/>
        <v/>
      </c>
      <c r="H14" s="36" t="str">
        <f t="shared" si="2"/>
        <v/>
      </c>
      <c r="I14" s="36" t="str">
        <f t="shared" si="2"/>
        <v/>
      </c>
      <c r="J14" s="36" t="str">
        <f t="shared" si="2"/>
        <v/>
      </c>
    </row>
    <row r="15" spans="1:10">
      <c r="A15" s="36" t="s">
        <v>32</v>
      </c>
      <c r="B15" s="36" t="s">
        <v>1</v>
      </c>
      <c r="C15" s="36" t="str">
        <f>IF(C14="","",C14*C11)</f>
        <v/>
      </c>
      <c r="D15" s="36" t="str">
        <f t="shared" ref="D15:J15" si="3">IF(D14="","",D14*D11)</f>
        <v/>
      </c>
      <c r="E15" s="36" t="str">
        <f t="shared" si="3"/>
        <v/>
      </c>
      <c r="F15" s="36" t="str">
        <f t="shared" si="3"/>
        <v/>
      </c>
      <c r="G15" s="36" t="str">
        <f t="shared" si="3"/>
        <v/>
      </c>
      <c r="H15" s="36" t="str">
        <f t="shared" si="3"/>
        <v/>
      </c>
      <c r="I15" s="36" t="str">
        <f t="shared" si="3"/>
        <v/>
      </c>
      <c r="J15" s="36" t="str">
        <f t="shared" si="3"/>
        <v/>
      </c>
    </row>
    <row r="17" spans="1:1" ht="30" customHeight="1"/>
    <row r="30" spans="1:1">
      <c r="A30" s="58"/>
    </row>
    <row r="31" spans="1:1">
      <c r="A31" s="54"/>
    </row>
    <row r="32" spans="1:1">
      <c r="A32" s="58"/>
    </row>
  </sheetData>
  <sheetProtection password="C098" sheet="1" formatCells="0" formatColumns="0" formatRows="0" insertColumns="0" insertRows="0" insertHyperlinks="0" sort="0" autoFilter="0" pivotTables="0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22"/>
  <sheetViews>
    <sheetView zoomScale="70" zoomScaleNormal="70" workbookViewId="0">
      <selection activeCell="G48" sqref="G48"/>
    </sheetView>
  </sheetViews>
  <sheetFormatPr defaultRowHeight="15"/>
  <cols>
    <col min="2" max="2" width="22.7109375" customWidth="1"/>
    <col min="3" max="3" width="4.7109375" customWidth="1"/>
    <col min="4" max="4" width="6.85546875" customWidth="1"/>
    <col min="5" max="5" width="7.28515625" style="1" customWidth="1"/>
    <col min="6" max="6" width="26.85546875" bestFit="1" customWidth="1"/>
    <col min="7" max="7" width="28.7109375" bestFit="1" customWidth="1"/>
    <col min="8" max="8" width="29.140625" customWidth="1"/>
  </cols>
  <sheetData>
    <row r="1" spans="2:9" ht="15.75" thickBot="1"/>
    <row r="2" spans="2:9" ht="43.5" customHeight="1" thickTop="1">
      <c r="B2" s="360" t="s">
        <v>37</v>
      </c>
      <c r="C2" s="362"/>
      <c r="D2" s="372" t="s">
        <v>39</v>
      </c>
      <c r="E2" s="369">
        <f>B12+B21</f>
        <v>372148.82697677775</v>
      </c>
      <c r="F2" s="358" t="s">
        <v>54</v>
      </c>
      <c r="G2" s="373" t="s">
        <v>40</v>
      </c>
      <c r="H2" s="2" t="s">
        <v>41</v>
      </c>
    </row>
    <row r="3" spans="2:9" s="1" customFormat="1" ht="21" thickBot="1">
      <c r="B3" s="361"/>
      <c r="C3" s="363"/>
      <c r="D3" s="370"/>
      <c r="E3" s="370"/>
      <c r="F3" s="359"/>
      <c r="G3" s="374"/>
      <c r="H3" s="5">
        <f>'Indicadores sistema'!B29</f>
        <v>153234.11495528891</v>
      </c>
    </row>
    <row r="4" spans="2:9" ht="41.25" thickTop="1">
      <c r="B4" s="361"/>
      <c r="C4" s="363"/>
      <c r="D4" s="370"/>
      <c r="E4" s="370"/>
      <c r="F4" s="359"/>
      <c r="G4" s="374"/>
      <c r="H4" s="2" t="s">
        <v>42</v>
      </c>
    </row>
    <row r="5" spans="2:9" s="1" customFormat="1" ht="21" thickBot="1">
      <c r="B5" s="361"/>
      <c r="C5" s="363"/>
      <c r="D5" s="370"/>
      <c r="E5" s="370"/>
      <c r="F5" s="359"/>
      <c r="G5" s="3"/>
      <c r="H5" s="6"/>
    </row>
    <row r="6" spans="2:9" ht="20.25" customHeight="1" thickTop="1">
      <c r="B6" s="361"/>
      <c r="C6" s="363"/>
      <c r="D6" s="370"/>
      <c r="E6" s="370"/>
      <c r="F6" s="359"/>
      <c r="G6" s="373" t="s">
        <v>44</v>
      </c>
      <c r="H6" s="2" t="s">
        <v>43</v>
      </c>
    </row>
    <row r="7" spans="2:9" s="1" customFormat="1" ht="21" thickBot="1">
      <c r="B7" s="361"/>
      <c r="C7" s="363"/>
      <c r="D7" s="370"/>
      <c r="E7" s="370"/>
      <c r="F7" s="359"/>
      <c r="G7" s="374"/>
      <c r="H7" s="6"/>
    </row>
    <row r="8" spans="2:9" ht="21" thickTop="1">
      <c r="B8" s="361"/>
      <c r="C8" s="363"/>
      <c r="D8" s="370"/>
      <c r="E8" s="370"/>
      <c r="F8" s="359"/>
      <c r="G8" s="374"/>
      <c r="H8" s="2" t="s">
        <v>46</v>
      </c>
    </row>
    <row r="9" spans="2:9" s="1" customFormat="1" ht="21" thickBot="1">
      <c r="B9" s="361"/>
      <c r="C9" s="363"/>
      <c r="D9" s="370"/>
      <c r="E9" s="370"/>
      <c r="F9" s="359"/>
      <c r="G9" s="374"/>
      <c r="H9" s="6"/>
    </row>
    <row r="10" spans="2:9" s="1" customFormat="1" ht="21" thickTop="1">
      <c r="B10" s="361"/>
      <c r="C10" s="363"/>
      <c r="D10" s="370"/>
      <c r="E10" s="370"/>
      <c r="F10" s="359"/>
      <c r="G10" s="374"/>
      <c r="H10" s="2" t="s">
        <v>47</v>
      </c>
    </row>
    <row r="11" spans="2:9" s="1" customFormat="1" ht="21" thickBot="1">
      <c r="B11" s="361"/>
      <c r="C11" s="363"/>
      <c r="D11" s="370"/>
      <c r="E11" s="370"/>
      <c r="F11" s="359"/>
      <c r="G11" s="374"/>
      <c r="H11" s="5">
        <f>Fornecido!C2</f>
        <v>3.0726</v>
      </c>
    </row>
    <row r="12" spans="2:9" ht="21.75" thickTop="1" thickBot="1">
      <c r="B12" s="4">
        <f>Fornecido!C17</f>
        <v>179624.82697677778</v>
      </c>
      <c r="C12" s="363"/>
      <c r="D12" s="370"/>
      <c r="E12" s="370"/>
      <c r="F12" s="359"/>
      <c r="G12" s="374"/>
      <c r="H12" s="2" t="s">
        <v>48</v>
      </c>
    </row>
    <row r="13" spans="2:9" s="1" customFormat="1" ht="24.75" customHeight="1" thickTop="1" thickBot="1">
      <c r="B13" s="375" t="s">
        <v>38</v>
      </c>
      <c r="C13" s="363"/>
      <c r="D13" s="370"/>
      <c r="E13" s="370"/>
      <c r="F13" s="9"/>
      <c r="G13" s="3"/>
      <c r="H13" s="7">
        <f>Turbinado!C3</f>
        <v>0</v>
      </c>
    </row>
    <row r="14" spans="2:9" s="1" customFormat="1" ht="47.25" customHeight="1" thickTop="1">
      <c r="B14" s="376"/>
      <c r="C14" s="363"/>
      <c r="D14" s="370"/>
      <c r="E14" s="370"/>
      <c r="F14" s="10"/>
      <c r="G14" s="358" t="s">
        <v>45</v>
      </c>
      <c r="H14" s="8" t="s">
        <v>52</v>
      </c>
      <c r="I14"/>
    </row>
    <row r="15" spans="2:9" s="1" customFormat="1" ht="21" thickBot="1">
      <c r="B15" s="376"/>
      <c r="C15" s="363"/>
      <c r="D15" s="370"/>
      <c r="E15" s="370"/>
      <c r="F15" s="3"/>
      <c r="G15" s="359"/>
      <c r="H15" s="11"/>
      <c r="I15"/>
    </row>
    <row r="16" spans="2:9" ht="45.75" customHeight="1" thickTop="1">
      <c r="B16" s="376"/>
      <c r="C16" s="363"/>
      <c r="D16" s="370"/>
      <c r="E16" s="370"/>
      <c r="F16" s="358" t="s">
        <v>49</v>
      </c>
      <c r="G16" s="359"/>
      <c r="H16" s="8" t="s">
        <v>53</v>
      </c>
    </row>
    <row r="17" spans="2:9" s="1" customFormat="1" ht="21" customHeight="1" thickBot="1">
      <c r="B17" s="376"/>
      <c r="C17" s="363"/>
      <c r="D17" s="370"/>
      <c r="E17" s="370"/>
      <c r="F17" s="359"/>
      <c r="G17" s="5">
        <f>Turbinado!C1</f>
        <v>0</v>
      </c>
      <c r="H17" s="11"/>
      <c r="I17"/>
    </row>
    <row r="18" spans="2:9" ht="41.25" customHeight="1" thickTop="1">
      <c r="B18" s="376"/>
      <c r="C18" s="363"/>
      <c r="D18" s="370"/>
      <c r="E18" s="370"/>
      <c r="F18" s="359"/>
      <c r="G18" s="365" t="s">
        <v>50</v>
      </c>
      <c r="H18" s="366"/>
    </row>
    <row r="19" spans="2:9" s="1" customFormat="1" ht="21" thickBot="1">
      <c r="B19" s="376"/>
      <c r="C19" s="363"/>
      <c r="D19" s="370"/>
      <c r="E19" s="370"/>
      <c r="F19" s="359"/>
      <c r="G19" s="356"/>
      <c r="H19" s="357"/>
    </row>
    <row r="20" spans="2:9" ht="50.25" customHeight="1" thickTop="1">
      <c r="B20" s="376"/>
      <c r="C20" s="363"/>
      <c r="D20" s="370"/>
      <c r="E20" s="370"/>
      <c r="F20" s="359"/>
      <c r="G20" s="367" t="s">
        <v>51</v>
      </c>
      <c r="H20" s="368"/>
    </row>
    <row r="21" spans="2:9" s="1" customFormat="1" ht="21" thickBot="1">
      <c r="B21" s="4">
        <f>Fornecido!C49</f>
        <v>192524</v>
      </c>
      <c r="C21" s="364"/>
      <c r="D21" s="371"/>
      <c r="E21" s="371"/>
      <c r="F21" s="3"/>
      <c r="G21" s="356"/>
      <c r="H21" s="357"/>
    </row>
    <row r="22" spans="2:9" ht="15.75" thickTop="1"/>
  </sheetData>
  <mergeCells count="14">
    <mergeCell ref="G19:H19"/>
    <mergeCell ref="F16:F20"/>
    <mergeCell ref="G21:H21"/>
    <mergeCell ref="B2:B11"/>
    <mergeCell ref="C2:C21"/>
    <mergeCell ref="G18:H18"/>
    <mergeCell ref="G20:H20"/>
    <mergeCell ref="E2:E21"/>
    <mergeCell ref="D2:D21"/>
    <mergeCell ref="G6:G12"/>
    <mergeCell ref="G2:G4"/>
    <mergeCell ref="F2:F12"/>
    <mergeCell ref="G14:G16"/>
    <mergeCell ref="B13:B20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28"/>
  <sheetViews>
    <sheetView zoomScale="70" zoomScaleNormal="70" workbookViewId="0">
      <selection activeCell="B13" sqref="B13:B26"/>
    </sheetView>
  </sheetViews>
  <sheetFormatPr defaultColWidth="9.140625" defaultRowHeight="20.25" customHeight="1"/>
  <cols>
    <col min="1" max="1" width="9.140625" style="42"/>
    <col min="2" max="2" width="24.28515625" style="42" customWidth="1"/>
    <col min="3" max="3" width="2.42578125" style="42" customWidth="1"/>
    <col min="4" max="4" width="5.140625" style="42" customWidth="1"/>
    <col min="5" max="5" width="3.42578125" style="42" customWidth="1"/>
    <col min="6" max="6" width="21.5703125" style="42" customWidth="1"/>
    <col min="7" max="7" width="32" style="42" customWidth="1"/>
    <col min="8" max="8" width="35.42578125" style="42" customWidth="1"/>
    <col min="9" max="16384" width="9.140625" style="42"/>
  </cols>
  <sheetData>
    <row r="1" spans="2:12" ht="20.25" customHeight="1" thickBot="1"/>
    <row r="2" spans="2:12" ht="20.25" customHeight="1" thickTop="1">
      <c r="B2" s="384" t="s">
        <v>92</v>
      </c>
      <c r="C2" s="381"/>
      <c r="D2" s="386" t="s">
        <v>94</v>
      </c>
      <c r="E2" s="388">
        <f>B12+B27</f>
        <v>386138.60698727774</v>
      </c>
      <c r="F2" s="379" t="s">
        <v>178</v>
      </c>
      <c r="G2" s="377" t="s">
        <v>97</v>
      </c>
      <c r="H2" s="71" t="s">
        <v>6</v>
      </c>
    </row>
    <row r="3" spans="2:12" ht="20.25" customHeight="1" thickBot="1">
      <c r="B3" s="385"/>
      <c r="C3" s="382"/>
      <c r="D3" s="387"/>
      <c r="E3" s="389"/>
      <c r="F3" s="380"/>
      <c r="G3" s="378"/>
      <c r="H3" s="72">
        <f>Mínimo!C1</f>
        <v>153234.11495528891</v>
      </c>
    </row>
    <row r="4" spans="2:12" ht="20.25" customHeight="1">
      <c r="B4" s="385"/>
      <c r="C4" s="382"/>
      <c r="D4" s="387"/>
      <c r="E4" s="389"/>
      <c r="F4" s="380"/>
      <c r="G4" s="378"/>
      <c r="H4" s="71" t="s">
        <v>98</v>
      </c>
    </row>
    <row r="5" spans="2:12" ht="20.25" customHeight="1" thickBot="1">
      <c r="B5" s="385"/>
      <c r="C5" s="382"/>
      <c r="D5" s="387"/>
      <c r="E5" s="389"/>
      <c r="F5" s="380"/>
      <c r="G5" s="70"/>
      <c r="H5" s="72"/>
    </row>
    <row r="6" spans="2:12" ht="20.25" customHeight="1">
      <c r="B6" s="385"/>
      <c r="C6" s="382"/>
      <c r="D6" s="387"/>
      <c r="E6" s="389"/>
      <c r="F6" s="380"/>
      <c r="G6" s="379" t="s">
        <v>210</v>
      </c>
      <c r="H6" s="71" t="s">
        <v>99</v>
      </c>
    </row>
    <row r="7" spans="2:12" ht="20.25" customHeight="1" thickBot="1">
      <c r="B7" s="385"/>
      <c r="C7" s="382"/>
      <c r="D7" s="387"/>
      <c r="E7" s="389"/>
      <c r="F7" s="380"/>
      <c r="G7" s="380"/>
      <c r="H7" s="72"/>
    </row>
    <row r="8" spans="2:12" ht="20.25" customHeight="1">
      <c r="B8" s="385"/>
      <c r="C8" s="382"/>
      <c r="D8" s="387"/>
      <c r="E8" s="389"/>
      <c r="F8" s="380"/>
      <c r="G8" s="380"/>
      <c r="H8" s="71" t="s">
        <v>143</v>
      </c>
    </row>
    <row r="9" spans="2:12" ht="20.25" customHeight="1" thickBot="1">
      <c r="B9" s="385"/>
      <c r="C9" s="382"/>
      <c r="D9" s="387"/>
      <c r="E9" s="389"/>
      <c r="F9" s="380"/>
      <c r="G9" s="380"/>
      <c r="H9" s="72"/>
    </row>
    <row r="10" spans="2:12" ht="20.25" customHeight="1">
      <c r="B10" s="385"/>
      <c r="C10" s="382"/>
      <c r="D10" s="387"/>
      <c r="E10" s="389"/>
      <c r="F10" s="380"/>
      <c r="G10" s="380"/>
      <c r="H10" s="71" t="s">
        <v>101</v>
      </c>
    </row>
    <row r="11" spans="2:12" ht="20.25" customHeight="1" thickBot="1">
      <c r="B11" s="385"/>
      <c r="C11" s="382"/>
      <c r="D11" s="387"/>
      <c r="E11" s="389"/>
      <c r="F11" s="380"/>
      <c r="G11" s="380"/>
      <c r="H11" s="72">
        <f>Fornecido!C52*F15/E2</f>
        <v>105415.35654010557</v>
      </c>
    </row>
    <row r="12" spans="2:12" ht="20.25" customHeight="1" thickBot="1">
      <c r="B12" s="267">
        <f>IF(Fornecido!C50="",Fornecido!C5+Fornecido!C17,Fornecido!C5+Fornecido!C17+Fornecido!C50)</f>
        <v>193614.60698727777</v>
      </c>
      <c r="C12" s="382"/>
      <c r="D12" s="387"/>
      <c r="E12" s="389"/>
      <c r="F12" s="380"/>
      <c r="G12" s="380"/>
      <c r="H12" s="71" t="s">
        <v>102</v>
      </c>
    </row>
    <row r="13" spans="2:12" ht="20.25" customHeight="1" thickBot="1">
      <c r="B13" s="384" t="s">
        <v>93</v>
      </c>
      <c r="C13" s="383"/>
      <c r="D13" s="387"/>
      <c r="E13" s="389"/>
      <c r="F13" s="380"/>
      <c r="G13" s="73"/>
      <c r="H13" s="72">
        <f>Turbinado!C3*F15/E2</f>
        <v>0</v>
      </c>
    </row>
    <row r="14" spans="2:12" ht="20.25" customHeight="1">
      <c r="B14" s="385"/>
      <c r="C14" s="383"/>
      <c r="D14" s="387"/>
      <c r="E14" s="389"/>
      <c r="F14" s="380"/>
      <c r="G14" s="379" t="s">
        <v>104</v>
      </c>
      <c r="H14" s="71" t="s">
        <v>180</v>
      </c>
    </row>
    <row r="15" spans="2:12" ht="20.25" customHeight="1" thickBot="1">
      <c r="B15" s="385"/>
      <c r="C15" s="383"/>
      <c r="D15" s="387"/>
      <c r="E15" s="389"/>
      <c r="F15" s="69">
        <f>E2*Mínimo!C3/Fornecido!C3</f>
        <v>332555.11718219094</v>
      </c>
      <c r="G15" s="380"/>
      <c r="H15" s="69">
        <f>G17*F15/E2</f>
        <v>0</v>
      </c>
      <c r="J15"/>
      <c r="K15"/>
      <c r="L15"/>
    </row>
    <row r="16" spans="2:12" ht="20.25" customHeight="1">
      <c r="B16" s="385"/>
      <c r="C16" s="383"/>
      <c r="D16" s="387"/>
      <c r="E16" s="389"/>
      <c r="F16" s="379" t="s">
        <v>179</v>
      </c>
      <c r="G16" s="380"/>
      <c r="H16" s="71" t="s">
        <v>181</v>
      </c>
      <c r="J16"/>
      <c r="K16"/>
      <c r="L16"/>
    </row>
    <row r="17" spans="2:12" ht="20.25" customHeight="1" thickBot="1">
      <c r="B17" s="385"/>
      <c r="C17" s="383"/>
      <c r="D17" s="387"/>
      <c r="E17" s="389"/>
      <c r="F17" s="380"/>
      <c r="G17" s="264">
        <f>Turbinado!C1</f>
        <v>0</v>
      </c>
      <c r="H17" s="69">
        <f>G17*F27/E2</f>
        <v>0</v>
      </c>
      <c r="J17"/>
      <c r="K17"/>
      <c r="L17"/>
    </row>
    <row r="18" spans="2:12" ht="45.75" customHeight="1">
      <c r="B18" s="385"/>
      <c r="C18" s="383"/>
      <c r="D18" s="387"/>
      <c r="E18" s="389"/>
      <c r="F18" s="380"/>
      <c r="G18" s="379" t="s">
        <v>209</v>
      </c>
      <c r="H18" s="262" t="s">
        <v>254</v>
      </c>
      <c r="J18"/>
      <c r="K18"/>
      <c r="L18"/>
    </row>
    <row r="19" spans="2:12" ht="20.25" customHeight="1" thickBot="1">
      <c r="B19" s="385"/>
      <c r="C19" s="383"/>
      <c r="D19" s="387"/>
      <c r="E19" s="389"/>
      <c r="F19" s="380"/>
      <c r="G19" s="380"/>
      <c r="H19" s="263"/>
      <c r="J19"/>
      <c r="K19"/>
      <c r="L19"/>
    </row>
    <row r="20" spans="2:12" ht="20.25" customHeight="1">
      <c r="B20" s="385"/>
      <c r="C20" s="383"/>
      <c r="D20" s="387"/>
      <c r="E20" s="389"/>
      <c r="F20" s="380"/>
      <c r="G20" s="380"/>
      <c r="H20" s="262" t="s">
        <v>99</v>
      </c>
      <c r="J20"/>
      <c r="K20"/>
      <c r="L20"/>
    </row>
    <row r="21" spans="2:12" ht="20.25" customHeight="1" thickBot="1">
      <c r="B21" s="385"/>
      <c r="C21" s="383"/>
      <c r="D21" s="387"/>
      <c r="E21" s="389"/>
      <c r="F21" s="380"/>
      <c r="G21" s="380"/>
      <c r="H21" s="263"/>
      <c r="J21"/>
      <c r="K21"/>
      <c r="L21"/>
    </row>
    <row r="22" spans="2:12" ht="20.25" customHeight="1">
      <c r="B22" s="385"/>
      <c r="C22" s="383"/>
      <c r="D22" s="387"/>
      <c r="E22" s="389"/>
      <c r="F22" s="380"/>
      <c r="G22" s="380"/>
      <c r="H22" s="262" t="s">
        <v>143</v>
      </c>
      <c r="J22"/>
      <c r="K22"/>
      <c r="L22"/>
    </row>
    <row r="23" spans="2:12" ht="20.25" customHeight="1" thickBot="1">
      <c r="B23" s="385"/>
      <c r="C23" s="383"/>
      <c r="D23" s="387"/>
      <c r="E23" s="389"/>
      <c r="F23" s="380"/>
      <c r="G23" s="380"/>
      <c r="H23" s="263"/>
      <c r="J23"/>
      <c r="K23"/>
      <c r="L23"/>
    </row>
    <row r="24" spans="2:12" ht="20.25" customHeight="1">
      <c r="B24" s="385"/>
      <c r="C24" s="383"/>
      <c r="D24" s="387"/>
      <c r="E24" s="389"/>
      <c r="F24" s="380"/>
      <c r="G24" s="380"/>
      <c r="H24" s="262" t="s">
        <v>101</v>
      </c>
      <c r="J24"/>
      <c r="K24"/>
      <c r="L24"/>
    </row>
    <row r="25" spans="2:12" ht="20.25" customHeight="1" thickBot="1">
      <c r="B25" s="385"/>
      <c r="C25" s="383"/>
      <c r="D25" s="387"/>
      <c r="E25" s="389"/>
      <c r="F25" s="380"/>
      <c r="G25" s="380"/>
      <c r="H25" s="263">
        <f>Fornecido!C52*F27/E2</f>
        <v>16985.222571005528</v>
      </c>
      <c r="J25"/>
      <c r="K25"/>
      <c r="L25"/>
    </row>
    <row r="26" spans="2:12" s="49" customFormat="1" ht="20.25" customHeight="1">
      <c r="B26" s="385"/>
      <c r="D26" s="387"/>
      <c r="E26" s="389"/>
      <c r="F26" s="380"/>
      <c r="G26" s="380"/>
      <c r="H26" s="262" t="s">
        <v>102</v>
      </c>
      <c r="J26"/>
      <c r="K26"/>
      <c r="L26"/>
    </row>
    <row r="27" spans="2:12" ht="20.25" customHeight="1" thickBot="1">
      <c r="B27" s="68">
        <f>Fornecido!C49</f>
        <v>192524</v>
      </c>
      <c r="D27" s="387"/>
      <c r="E27" s="389"/>
      <c r="F27" s="70">
        <f>E2-F15</f>
        <v>53583.489805086807</v>
      </c>
      <c r="G27" s="266"/>
      <c r="H27" s="263">
        <f>Turbinado!C3*F27/E2</f>
        <v>0</v>
      </c>
      <c r="L27" s="265"/>
    </row>
    <row r="28" spans="2:12" ht="20.25" customHeight="1">
      <c r="B28" s="74" t="s">
        <v>204</v>
      </c>
      <c r="G28"/>
    </row>
  </sheetData>
  <sheetProtection algorithmName="SHA-512" hashValue="xw61mp96GsaSZ2yOdmc5TnCMRITfOaBa1cdF+jQkkSpG4Hw0M3x1No4KnChXfN4efIpl6LaFcvj/N6yuswwumg==" saltValue="sxqbu5Ds2BcpdI1h7jyiFw==" spinCount="100000" sheet="1" objects="1" scenarios="1" formatCells="0" formatColumns="0" formatRows="0" insertColumns="0" insertRows="0" insertHyperlinks="0" sort="0" autoFilter="0" pivotTables="0"/>
  <mergeCells count="11">
    <mergeCell ref="C2:C25"/>
    <mergeCell ref="B2:B11"/>
    <mergeCell ref="D2:D27"/>
    <mergeCell ref="E2:E27"/>
    <mergeCell ref="B13:B26"/>
    <mergeCell ref="G2:G4"/>
    <mergeCell ref="G6:G12"/>
    <mergeCell ref="G14:G16"/>
    <mergeCell ref="F2:F14"/>
    <mergeCell ref="G18:G26"/>
    <mergeCell ref="F16:F26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P21"/>
  <sheetViews>
    <sheetView zoomScale="55" zoomScaleNormal="55" workbookViewId="0">
      <selection activeCell="H27" sqref="H27"/>
    </sheetView>
  </sheetViews>
  <sheetFormatPr defaultColWidth="9.140625" defaultRowHeight="15"/>
  <cols>
    <col min="1" max="1" width="9.140625" style="1"/>
    <col min="2" max="2" width="26.140625" style="1" customWidth="1"/>
    <col min="3" max="3" width="3.140625" style="1" customWidth="1"/>
    <col min="4" max="4" width="6.85546875" style="1" customWidth="1"/>
    <col min="5" max="5" width="3.42578125" style="1" customWidth="1"/>
    <col min="6" max="6" width="26.85546875" style="1" bestFit="1" customWidth="1"/>
    <col min="7" max="7" width="30.28515625" style="1" customWidth="1"/>
    <col min="8" max="8" width="40.5703125" style="1" customWidth="1"/>
    <col min="9" max="9" width="2.7109375" style="1" customWidth="1"/>
    <col min="10" max="10" width="11.7109375" style="1" customWidth="1"/>
    <col min="11" max="11" width="9.140625" style="1"/>
    <col min="12" max="12" width="9.140625" style="1" customWidth="1"/>
    <col min="13" max="16384" width="9.140625" style="1"/>
  </cols>
  <sheetData>
    <row r="1" spans="2:16" ht="15.75" thickBot="1"/>
    <row r="2" spans="2:16" ht="58.5" customHeight="1">
      <c r="B2" s="404" t="s">
        <v>92</v>
      </c>
      <c r="C2" s="414"/>
      <c r="D2" s="407" t="s">
        <v>94</v>
      </c>
      <c r="E2" s="408"/>
      <c r="F2" s="392" t="s">
        <v>95</v>
      </c>
      <c r="G2" s="400" t="s">
        <v>97</v>
      </c>
      <c r="H2" s="15" t="s">
        <v>6</v>
      </c>
      <c r="I2" s="22"/>
      <c r="J2" s="390" t="s">
        <v>6</v>
      </c>
      <c r="K2" s="22"/>
      <c r="L2" s="26" t="s">
        <v>112</v>
      </c>
      <c r="M2" s="22"/>
      <c r="N2" s="22"/>
      <c r="O2" s="22"/>
      <c r="P2" s="22"/>
    </row>
    <row r="3" spans="2:16" ht="21" thickBot="1">
      <c r="B3" s="405"/>
      <c r="C3" s="414"/>
      <c r="D3" s="409"/>
      <c r="E3" s="410"/>
      <c r="F3" s="393"/>
      <c r="G3" s="413"/>
      <c r="H3" s="16"/>
      <c r="I3" s="22"/>
      <c r="J3" s="390"/>
      <c r="K3" s="22"/>
      <c r="L3" s="23"/>
      <c r="M3" s="22" t="s">
        <v>111</v>
      </c>
      <c r="N3" s="22"/>
      <c r="O3" s="22"/>
      <c r="P3" s="22"/>
    </row>
    <row r="4" spans="2:16" ht="20.25" customHeight="1">
      <c r="B4" s="405"/>
      <c r="C4" s="414"/>
      <c r="D4" s="409"/>
      <c r="E4" s="410"/>
      <c r="F4" s="393"/>
      <c r="G4" s="413"/>
      <c r="H4" s="13" t="s">
        <v>98</v>
      </c>
      <c r="I4" s="22"/>
      <c r="J4" s="391" t="s">
        <v>110</v>
      </c>
      <c r="K4" s="22"/>
      <c r="L4" s="27"/>
      <c r="M4" s="22" t="s">
        <v>113</v>
      </c>
      <c r="N4" s="22"/>
      <c r="O4" s="22"/>
      <c r="P4" s="22"/>
    </row>
    <row r="5" spans="2:16" ht="21" thickBot="1">
      <c r="B5" s="405"/>
      <c r="C5" s="414"/>
      <c r="D5" s="409"/>
      <c r="E5" s="410"/>
      <c r="F5" s="393"/>
      <c r="G5" s="401"/>
      <c r="H5" s="14"/>
      <c r="I5" s="22"/>
      <c r="J5" s="391"/>
      <c r="K5" s="22"/>
      <c r="L5" s="24"/>
      <c r="M5" s="22" t="s">
        <v>114</v>
      </c>
      <c r="N5" s="22"/>
      <c r="O5" s="22"/>
      <c r="P5" s="22"/>
    </row>
    <row r="6" spans="2:16" ht="20.25" customHeight="1">
      <c r="B6" s="405"/>
      <c r="C6" s="414"/>
      <c r="D6" s="409"/>
      <c r="E6" s="410"/>
      <c r="F6" s="393"/>
      <c r="G6" s="395" t="s">
        <v>103</v>
      </c>
      <c r="H6" s="13" t="s">
        <v>99</v>
      </c>
      <c r="I6" s="22"/>
      <c r="J6" s="391"/>
      <c r="K6" s="22"/>
      <c r="L6" s="28"/>
      <c r="M6" s="22" t="s">
        <v>115</v>
      </c>
      <c r="N6" s="22"/>
      <c r="O6" s="22"/>
      <c r="P6" s="22"/>
    </row>
    <row r="7" spans="2:16" ht="21" thickBot="1">
      <c r="B7" s="405"/>
      <c r="C7" s="414"/>
      <c r="D7" s="409"/>
      <c r="E7" s="410"/>
      <c r="F7" s="393"/>
      <c r="G7" s="395"/>
      <c r="H7" s="14"/>
      <c r="I7" s="22"/>
      <c r="J7" s="391"/>
      <c r="K7" s="22"/>
      <c r="L7" s="22"/>
      <c r="M7" s="22" t="s">
        <v>114</v>
      </c>
      <c r="N7" s="22"/>
      <c r="O7" s="22"/>
      <c r="P7" s="22"/>
    </row>
    <row r="8" spans="2:16" ht="40.5">
      <c r="B8" s="405"/>
      <c r="C8" s="414"/>
      <c r="D8" s="409"/>
      <c r="E8" s="410"/>
      <c r="F8" s="393"/>
      <c r="G8" s="395"/>
      <c r="H8" s="17" t="s">
        <v>100</v>
      </c>
      <c r="I8" s="22"/>
      <c r="J8" s="391"/>
      <c r="K8" s="22"/>
      <c r="L8" s="22"/>
      <c r="M8" s="22"/>
      <c r="N8" s="22"/>
      <c r="O8" s="22"/>
      <c r="P8" s="22"/>
    </row>
    <row r="9" spans="2:16" ht="21" thickBot="1">
      <c r="B9" s="405"/>
      <c r="C9" s="414"/>
      <c r="D9" s="409"/>
      <c r="E9" s="410"/>
      <c r="F9" s="393"/>
      <c r="G9" s="395"/>
      <c r="H9" s="18"/>
      <c r="I9" s="22"/>
      <c r="J9" s="391"/>
      <c r="K9" s="22"/>
      <c r="L9" s="22"/>
      <c r="M9" s="22"/>
      <c r="N9" s="22"/>
      <c r="O9" s="22"/>
      <c r="P9" s="22"/>
    </row>
    <row r="10" spans="2:16" ht="20.25">
      <c r="B10" s="405"/>
      <c r="C10" s="414"/>
      <c r="D10" s="409"/>
      <c r="E10" s="410"/>
      <c r="F10" s="393"/>
      <c r="G10" s="395"/>
      <c r="H10" s="17" t="s">
        <v>101</v>
      </c>
      <c r="I10" s="22"/>
      <c r="J10" s="391"/>
      <c r="K10" s="22"/>
      <c r="L10" s="22"/>
      <c r="M10" s="22"/>
      <c r="N10" s="22"/>
      <c r="O10" s="22"/>
      <c r="P10" s="22"/>
    </row>
    <row r="11" spans="2:16" ht="21" thickBot="1">
      <c r="B11" s="405"/>
      <c r="C11" s="414"/>
      <c r="D11" s="409"/>
      <c r="E11" s="410"/>
      <c r="F11" s="393"/>
      <c r="G11" s="395"/>
      <c r="H11" s="19"/>
      <c r="I11" s="22"/>
      <c r="J11" s="391"/>
      <c r="K11" s="22"/>
      <c r="L11" s="22"/>
      <c r="M11" s="22"/>
      <c r="N11" s="22"/>
      <c r="O11" s="22"/>
      <c r="P11" s="22"/>
    </row>
    <row r="12" spans="2:16" ht="21" thickBot="1">
      <c r="B12" s="406"/>
      <c r="C12" s="414"/>
      <c r="D12" s="409"/>
      <c r="E12" s="410"/>
      <c r="F12" s="393"/>
      <c r="G12" s="395"/>
      <c r="H12" s="17" t="s">
        <v>102</v>
      </c>
      <c r="I12" s="22"/>
      <c r="J12" s="391"/>
      <c r="K12" s="22"/>
      <c r="L12" s="22"/>
      <c r="M12" s="22"/>
      <c r="N12" s="22"/>
      <c r="O12" s="22"/>
      <c r="P12" s="22"/>
    </row>
    <row r="13" spans="2:16" ht="24.75" customHeight="1" thickBot="1">
      <c r="B13" s="404" t="s">
        <v>93</v>
      </c>
      <c r="C13" s="414"/>
      <c r="D13" s="409"/>
      <c r="E13" s="410"/>
      <c r="F13" s="393"/>
      <c r="G13" s="396"/>
      <c r="H13" s="20"/>
      <c r="I13" s="22"/>
      <c r="J13" s="391"/>
      <c r="K13" s="22"/>
      <c r="L13" s="22"/>
      <c r="M13" s="22"/>
      <c r="N13" s="22"/>
      <c r="O13" s="22"/>
      <c r="P13" s="22"/>
    </row>
    <row r="14" spans="2:16" ht="40.5" customHeight="1">
      <c r="B14" s="405"/>
      <c r="C14" s="414"/>
      <c r="D14" s="409"/>
      <c r="E14" s="410"/>
      <c r="F14" s="393"/>
      <c r="G14" s="29" t="s">
        <v>104</v>
      </c>
      <c r="H14" s="17" t="s">
        <v>105</v>
      </c>
      <c r="I14" s="22"/>
      <c r="J14" s="390" t="s">
        <v>104</v>
      </c>
      <c r="K14" s="22"/>
      <c r="L14" s="22"/>
      <c r="M14" s="22"/>
      <c r="N14" s="22"/>
      <c r="O14" s="22"/>
      <c r="P14" s="22"/>
    </row>
    <row r="15" spans="2:16" ht="21" thickBot="1">
      <c r="B15" s="405"/>
      <c r="C15" s="414"/>
      <c r="D15" s="409"/>
      <c r="E15" s="410"/>
      <c r="F15" s="394"/>
      <c r="G15" s="30"/>
      <c r="H15" s="21"/>
      <c r="I15" s="22"/>
      <c r="J15" s="390"/>
      <c r="K15" s="22"/>
      <c r="L15" s="22"/>
      <c r="M15" s="22"/>
      <c r="N15" s="22"/>
      <c r="O15" s="22"/>
      <c r="P15" s="22"/>
    </row>
    <row r="16" spans="2:16" ht="45.75" customHeight="1">
      <c r="B16" s="405"/>
      <c r="C16" s="414"/>
      <c r="D16" s="409"/>
      <c r="E16" s="410"/>
      <c r="F16" s="392" t="s">
        <v>96</v>
      </c>
      <c r="G16" s="30"/>
      <c r="H16" s="17" t="s">
        <v>106</v>
      </c>
      <c r="I16" s="22"/>
      <c r="J16" s="390"/>
      <c r="K16" s="22"/>
      <c r="L16" s="22"/>
      <c r="M16" s="22"/>
      <c r="N16" s="22"/>
      <c r="O16" s="22"/>
      <c r="P16" s="22"/>
    </row>
    <row r="17" spans="2:16" ht="21" customHeight="1" thickBot="1">
      <c r="B17" s="405"/>
      <c r="C17" s="414"/>
      <c r="D17" s="409"/>
      <c r="E17" s="410"/>
      <c r="F17" s="393"/>
      <c r="G17" s="31"/>
      <c r="H17" s="21"/>
      <c r="I17" s="22"/>
      <c r="J17" s="390"/>
      <c r="K17" s="22"/>
      <c r="L17" s="22"/>
      <c r="M17" s="22"/>
      <c r="N17" s="22"/>
      <c r="O17" s="22"/>
      <c r="P17" s="22"/>
    </row>
    <row r="18" spans="2:16" ht="59.25" customHeight="1">
      <c r="B18" s="405"/>
      <c r="C18" s="414"/>
      <c r="D18" s="409"/>
      <c r="E18" s="410"/>
      <c r="F18" s="393"/>
      <c r="G18" s="397" t="s">
        <v>109</v>
      </c>
      <c r="H18" s="400" t="s">
        <v>107</v>
      </c>
      <c r="I18" s="22"/>
      <c r="J18" s="391" t="s">
        <v>110</v>
      </c>
      <c r="K18" s="25"/>
      <c r="L18" s="22"/>
      <c r="M18" s="22"/>
      <c r="N18" s="22"/>
      <c r="O18" s="22"/>
      <c r="P18" s="22"/>
    </row>
    <row r="19" spans="2:16" ht="15.75" customHeight="1" thickBot="1">
      <c r="B19" s="405"/>
      <c r="C19" s="414"/>
      <c r="D19" s="409"/>
      <c r="E19" s="410"/>
      <c r="F19" s="393"/>
      <c r="G19" s="398"/>
      <c r="H19" s="401"/>
      <c r="I19" s="22"/>
      <c r="J19" s="391"/>
      <c r="K19" s="25"/>
      <c r="L19" s="22"/>
      <c r="M19" s="22"/>
      <c r="N19" s="22"/>
      <c r="O19" s="22"/>
      <c r="P19" s="22"/>
    </row>
    <row r="20" spans="2:16" ht="60.75" customHeight="1">
      <c r="B20" s="405"/>
      <c r="C20" s="414"/>
      <c r="D20" s="409"/>
      <c r="E20" s="410"/>
      <c r="F20" s="393"/>
      <c r="G20" s="398"/>
      <c r="H20" s="402" t="s">
        <v>108</v>
      </c>
      <c r="I20" s="22"/>
      <c r="J20" s="391"/>
      <c r="K20" s="25"/>
      <c r="L20" s="22"/>
      <c r="M20" s="22"/>
      <c r="N20" s="22"/>
      <c r="O20" s="22"/>
      <c r="P20" s="22"/>
    </row>
    <row r="21" spans="2:16" ht="41.25" customHeight="1" thickBot="1">
      <c r="B21" s="406"/>
      <c r="C21" s="414"/>
      <c r="D21" s="411"/>
      <c r="E21" s="412"/>
      <c r="F21" s="394"/>
      <c r="G21" s="399"/>
      <c r="H21" s="403"/>
      <c r="I21" s="22"/>
      <c r="J21" s="391"/>
      <c r="K21" s="25"/>
      <c r="L21" s="22"/>
      <c r="M21" s="22"/>
      <c r="N21" s="22"/>
      <c r="O21" s="22"/>
      <c r="P21" s="22"/>
    </row>
  </sheetData>
  <mergeCells count="15">
    <mergeCell ref="B13:B21"/>
    <mergeCell ref="B2:B12"/>
    <mergeCell ref="D2:E21"/>
    <mergeCell ref="G2:G5"/>
    <mergeCell ref="C2:C21"/>
    <mergeCell ref="J2:J3"/>
    <mergeCell ref="J4:J13"/>
    <mergeCell ref="F2:F15"/>
    <mergeCell ref="F16:F21"/>
    <mergeCell ref="J14:J17"/>
    <mergeCell ref="J18:J21"/>
    <mergeCell ref="G6:G13"/>
    <mergeCell ref="G18:G21"/>
    <mergeCell ref="H18:H19"/>
    <mergeCell ref="H20:H21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zoomScale="70" zoomScaleNormal="70" workbookViewId="0">
      <selection activeCell="F27" sqref="F27"/>
    </sheetView>
  </sheetViews>
  <sheetFormatPr defaultColWidth="9.140625" defaultRowHeight="20.25" customHeight="1"/>
  <cols>
    <col min="1" max="1" width="9.140625" style="42"/>
    <col min="2" max="2" width="24.28515625" style="42" customWidth="1"/>
    <col min="3" max="3" width="2.42578125" style="42" customWidth="1"/>
    <col min="4" max="4" width="5" style="42" customWidth="1"/>
    <col min="5" max="5" width="3" style="42" customWidth="1"/>
    <col min="6" max="6" width="21.5703125" style="42" customWidth="1"/>
    <col min="7" max="7" width="32" style="42" customWidth="1"/>
    <col min="8" max="8" width="35.42578125" style="42" customWidth="1"/>
    <col min="9" max="16384" width="9.140625" style="42"/>
  </cols>
  <sheetData>
    <row r="1" spans="2:8" ht="20.25" customHeight="1" thickBot="1"/>
    <row r="2" spans="2:8" ht="20.25" customHeight="1" thickTop="1">
      <c r="B2" s="384" t="s">
        <v>92</v>
      </c>
      <c r="C2" s="381"/>
      <c r="D2" s="386" t="s">
        <v>94</v>
      </c>
      <c r="E2" s="416">
        <f>(B12+B27)</f>
        <v>1</v>
      </c>
      <c r="F2" s="379" t="s">
        <v>178</v>
      </c>
      <c r="G2" s="377" t="s">
        <v>97</v>
      </c>
      <c r="H2" s="71" t="s">
        <v>6</v>
      </c>
    </row>
    <row r="3" spans="2:8" ht="20.25" customHeight="1" thickBot="1">
      <c r="B3" s="385"/>
      <c r="C3" s="382"/>
      <c r="D3" s="387"/>
      <c r="E3" s="417"/>
      <c r="F3" s="380"/>
      <c r="G3" s="378"/>
      <c r="H3" s="78">
        <f>'BE (kWh)'!H3/('BE (kWh)'!$B$12+'BE (kWh)'!$B$27)</f>
        <v>0.39683707400005608</v>
      </c>
    </row>
    <row r="4" spans="2:8" ht="20.25" customHeight="1">
      <c r="B4" s="385"/>
      <c r="C4" s="382"/>
      <c r="D4" s="387"/>
      <c r="E4" s="417"/>
      <c r="F4" s="380"/>
      <c r="G4" s="378"/>
      <c r="H4" s="71" t="s">
        <v>98</v>
      </c>
    </row>
    <row r="5" spans="2:8" ht="20.25" customHeight="1" thickBot="1">
      <c r="B5" s="385"/>
      <c r="C5" s="382"/>
      <c r="D5" s="387"/>
      <c r="E5" s="417"/>
      <c r="F5" s="380"/>
      <c r="G5" s="70"/>
      <c r="H5" s="72"/>
    </row>
    <row r="6" spans="2:8" ht="20.25" customHeight="1">
      <c r="B6" s="385"/>
      <c r="C6" s="382"/>
      <c r="D6" s="387"/>
      <c r="E6" s="417"/>
      <c r="F6" s="380"/>
      <c r="G6" s="379" t="s">
        <v>210</v>
      </c>
      <c r="H6" s="71" t="s">
        <v>99</v>
      </c>
    </row>
    <row r="7" spans="2:8" ht="20.25" customHeight="1" thickBot="1">
      <c r="B7" s="385"/>
      <c r="C7" s="382"/>
      <c r="D7" s="387"/>
      <c r="E7" s="417"/>
      <c r="F7" s="380"/>
      <c r="G7" s="380"/>
      <c r="H7" s="72"/>
    </row>
    <row r="8" spans="2:8" ht="20.25" customHeight="1">
      <c r="B8" s="385"/>
      <c r="C8" s="382"/>
      <c r="D8" s="387"/>
      <c r="E8" s="417"/>
      <c r="F8" s="380"/>
      <c r="G8" s="380"/>
      <c r="H8" s="71" t="s">
        <v>143</v>
      </c>
    </row>
    <row r="9" spans="2:8" ht="20.25" customHeight="1" thickBot="1">
      <c r="B9" s="385"/>
      <c r="C9" s="382"/>
      <c r="D9" s="387"/>
      <c r="E9" s="417"/>
      <c r="F9" s="380"/>
      <c r="G9" s="380"/>
      <c r="H9" s="72"/>
    </row>
    <row r="10" spans="2:8" ht="20.25" customHeight="1">
      <c r="B10" s="385"/>
      <c r="C10" s="382"/>
      <c r="D10" s="387"/>
      <c r="E10" s="417"/>
      <c r="F10" s="380"/>
      <c r="G10" s="380"/>
      <c r="H10" s="71" t="s">
        <v>101</v>
      </c>
    </row>
    <row r="11" spans="2:8" ht="20.25" customHeight="1" thickBot="1">
      <c r="B11" s="385"/>
      <c r="C11" s="382"/>
      <c r="D11" s="387"/>
      <c r="E11" s="417"/>
      <c r="F11" s="380"/>
      <c r="G11" s="380"/>
      <c r="H11" s="78">
        <f>('BE (kWh)'!H11/('BE (kWh)'!$B$12+'BE (kWh)'!$B$27))</f>
        <v>0.27299874872024577</v>
      </c>
    </row>
    <row r="12" spans="2:8" ht="20.25" customHeight="1" thickBot="1">
      <c r="B12" s="75">
        <f>('BE (kWh)'!B12/('BE (kWh)'!$B$12+'BE (kWh)'!$B$27))</f>
        <v>0.5014121962522563</v>
      </c>
      <c r="C12" s="382"/>
      <c r="D12" s="387"/>
      <c r="E12" s="417"/>
      <c r="F12" s="380"/>
      <c r="G12" s="380"/>
      <c r="H12" s="71" t="s">
        <v>102</v>
      </c>
    </row>
    <row r="13" spans="2:8" ht="20.25" customHeight="1" thickTop="1" thickBot="1">
      <c r="B13" s="415" t="s">
        <v>93</v>
      </c>
      <c r="C13" s="382"/>
      <c r="D13" s="387"/>
      <c r="E13" s="417"/>
      <c r="F13" s="380"/>
      <c r="G13" s="73"/>
      <c r="H13" s="78">
        <f>'BE (kWh)'!H13/('BE (kWh)'!$B$12+'BE (kWh)'!$B$27)</f>
        <v>0</v>
      </c>
    </row>
    <row r="14" spans="2:8" ht="20.25" customHeight="1">
      <c r="B14" s="385"/>
      <c r="C14" s="382"/>
      <c r="D14" s="387"/>
      <c r="E14" s="417"/>
      <c r="F14" s="380"/>
      <c r="G14" s="379" t="s">
        <v>104</v>
      </c>
      <c r="H14" s="71" t="s">
        <v>180</v>
      </c>
    </row>
    <row r="15" spans="2:8" ht="20.25" customHeight="1" thickBot="1">
      <c r="B15" s="385"/>
      <c r="C15" s="382"/>
      <c r="D15" s="387"/>
      <c r="E15" s="417"/>
      <c r="F15" s="77">
        <f>('BE (kWh)'!F15/('BE (kWh)'!$B$12+'BE (kWh)'!$B$27))</f>
        <v>0.86123249829082171</v>
      </c>
      <c r="G15" s="380"/>
      <c r="H15" s="77">
        <f>'BE (kWh)'!H15/('BE (kWh)'!$B$12+'BE (kWh)'!$B$27)</f>
        <v>0</v>
      </c>
    </row>
    <row r="16" spans="2:8" ht="20.25" customHeight="1">
      <c r="B16" s="385"/>
      <c r="C16" s="382"/>
      <c r="D16" s="387"/>
      <c r="E16" s="417"/>
      <c r="F16" s="379" t="s">
        <v>179</v>
      </c>
      <c r="G16" s="380"/>
      <c r="H16" s="71" t="s">
        <v>181</v>
      </c>
    </row>
    <row r="17" spans="2:9" ht="20.25" customHeight="1" thickBot="1">
      <c r="B17" s="385"/>
      <c r="C17" s="382"/>
      <c r="D17" s="387"/>
      <c r="E17" s="417"/>
      <c r="F17" s="380"/>
      <c r="G17" s="72">
        <f>IF(Turbinado!C1="","",Turbinado!C1)</f>
        <v>0</v>
      </c>
      <c r="H17" s="77">
        <f>'BE (kWh)'!H17/('BE (kWh)'!$B$12+'BE (kWh)'!$B$27)</f>
        <v>0</v>
      </c>
    </row>
    <row r="18" spans="2:9" ht="43.5" customHeight="1">
      <c r="B18" s="385"/>
      <c r="C18" s="382"/>
      <c r="D18" s="387"/>
      <c r="E18" s="417"/>
      <c r="F18" s="380"/>
      <c r="G18" s="379" t="s">
        <v>209</v>
      </c>
      <c r="H18" s="262" t="s">
        <v>254</v>
      </c>
    </row>
    <row r="19" spans="2:9" ht="20.25" customHeight="1" thickBot="1">
      <c r="B19" s="385"/>
      <c r="C19" s="382"/>
      <c r="D19" s="387"/>
      <c r="E19" s="417"/>
      <c r="F19" s="380"/>
      <c r="G19" s="380"/>
      <c r="H19" s="263"/>
    </row>
    <row r="20" spans="2:9" ht="20.25" customHeight="1">
      <c r="B20" s="385"/>
      <c r="C20" s="382"/>
      <c r="D20" s="387"/>
      <c r="E20" s="417"/>
      <c r="F20" s="380"/>
      <c r="G20" s="380"/>
      <c r="H20" s="71" t="s">
        <v>99</v>
      </c>
    </row>
    <row r="21" spans="2:9" ht="20.25" customHeight="1" thickBot="1">
      <c r="B21" s="385"/>
      <c r="C21" s="382"/>
      <c r="D21" s="387"/>
      <c r="E21" s="417"/>
      <c r="F21" s="380"/>
      <c r="G21" s="380"/>
      <c r="H21" s="72"/>
    </row>
    <row r="22" spans="2:9" ht="20.25" customHeight="1">
      <c r="B22" s="385"/>
      <c r="C22" s="382"/>
      <c r="D22" s="387"/>
      <c r="E22" s="417"/>
      <c r="F22" s="380"/>
      <c r="G22" s="380"/>
      <c r="H22" s="71" t="s">
        <v>143</v>
      </c>
    </row>
    <row r="23" spans="2:9" ht="20.25" customHeight="1" thickBot="1">
      <c r="B23" s="385"/>
      <c r="C23" s="382"/>
      <c r="D23" s="387"/>
      <c r="E23" s="417"/>
      <c r="F23" s="380"/>
      <c r="G23" s="380"/>
      <c r="H23" s="72"/>
    </row>
    <row r="24" spans="2:9" ht="20.25" customHeight="1">
      <c r="B24" s="385"/>
      <c r="C24" s="382"/>
      <c r="D24" s="387"/>
      <c r="E24" s="417"/>
      <c r="F24" s="380"/>
      <c r="G24" s="380"/>
      <c r="H24" s="71" t="s">
        <v>101</v>
      </c>
    </row>
    <row r="25" spans="2:9" ht="20.25" customHeight="1" thickBot="1">
      <c r="B25" s="385"/>
      <c r="C25" s="382"/>
      <c r="D25" s="387"/>
      <c r="E25" s="417"/>
      <c r="F25" s="380"/>
      <c r="G25" s="380"/>
      <c r="H25" s="78">
        <f>'BE (kWh)'!H25/('BE (kWh)'!$B$12+'BE (kWh)'!$B$27)</f>
        <v>4.3987372056700738E-2</v>
      </c>
    </row>
    <row r="26" spans="2:9" ht="20.25" customHeight="1">
      <c r="B26" s="385"/>
      <c r="C26" s="382"/>
      <c r="D26" s="387"/>
      <c r="E26" s="417"/>
      <c r="F26" s="380"/>
      <c r="G26" s="380"/>
      <c r="H26" s="71" t="s">
        <v>102</v>
      </c>
    </row>
    <row r="27" spans="2:9" ht="20.25" customHeight="1" thickBot="1">
      <c r="B27" s="76">
        <f>'BE (kWh)'!B27/('BE (kWh)'!$B$12+'BE (kWh)'!$B$27)</f>
        <v>0.49858780374774375</v>
      </c>
      <c r="C27" s="382"/>
      <c r="D27" s="387"/>
      <c r="E27" s="417"/>
      <c r="F27" s="80">
        <f>'BE (kWh)'!F27/('BE (kWh)'!$B$12+'BE (kWh)'!$B$27)</f>
        <v>0.13876750170917834</v>
      </c>
      <c r="G27" s="73"/>
      <c r="H27" s="81">
        <f>'BE (kWh)'!H27/('BE (kWh)'!$B$12+'BE (kWh)'!$B$27)</f>
        <v>0</v>
      </c>
    </row>
    <row r="28" spans="2:9" s="49" customFormat="1" ht="20.25" customHeight="1">
      <c r="B28" s="74" t="s">
        <v>186</v>
      </c>
      <c r="C28" s="82"/>
      <c r="D28" s="82"/>
      <c r="E28" s="82"/>
      <c r="F28" s="82"/>
      <c r="G28" s="82"/>
      <c r="H28" s="82"/>
      <c r="I28" s="82"/>
    </row>
    <row r="29" spans="2:9" ht="20.25" customHeight="1">
      <c r="C29" s="58"/>
      <c r="D29" s="58"/>
      <c r="E29" s="58"/>
      <c r="F29" s="58"/>
      <c r="G29" s="58"/>
      <c r="H29" s="58"/>
      <c r="I29" s="58"/>
    </row>
    <row r="30" spans="2:9" ht="20.25" customHeight="1">
      <c r="C30" s="58"/>
      <c r="D30" s="58"/>
      <c r="E30" s="58"/>
      <c r="F30" s="58"/>
      <c r="G30" s="79"/>
      <c r="H30" s="58"/>
      <c r="I30" s="58"/>
    </row>
  </sheetData>
  <sheetProtection password="C098" sheet="1" objects="1" scenarios="1" formatCells="0" formatColumns="0" formatRows="0" insertColumns="0" insertRows="0" insertHyperlinks="0" sort="0" autoFilter="0" pivotTables="0"/>
  <mergeCells count="11">
    <mergeCell ref="G2:G4"/>
    <mergeCell ref="G6:G12"/>
    <mergeCell ref="B13:B26"/>
    <mergeCell ref="G14:G16"/>
    <mergeCell ref="F16:F26"/>
    <mergeCell ref="G18:G26"/>
    <mergeCell ref="B2:B11"/>
    <mergeCell ref="C2:C27"/>
    <mergeCell ref="D2:D27"/>
    <mergeCell ref="E2:E27"/>
    <mergeCell ref="F2:F14"/>
  </mergeCell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T62"/>
  <sheetViews>
    <sheetView zoomScale="70" zoomScaleNormal="70" workbookViewId="0">
      <selection activeCell="E10" sqref="E10"/>
    </sheetView>
  </sheetViews>
  <sheetFormatPr defaultColWidth="9.140625" defaultRowHeight="15"/>
  <cols>
    <col min="1" max="1" width="64.42578125" style="41" customWidth="1"/>
    <col min="2" max="2" width="17.7109375" style="41" customWidth="1"/>
    <col min="3" max="3" width="14.5703125" style="44" customWidth="1"/>
    <col min="4" max="4" width="14.5703125" customWidth="1"/>
    <col min="5" max="5" width="57.7109375" style="41" bestFit="1" customWidth="1"/>
    <col min="6" max="8" width="12.140625" customWidth="1"/>
    <col min="14" max="16384" width="9.140625" style="41"/>
  </cols>
  <sheetData>
    <row r="1" spans="1:20" ht="33.75" customHeight="1" thickBot="1">
      <c r="A1" s="203" t="s">
        <v>199</v>
      </c>
      <c r="B1" s="204"/>
      <c r="C1" s="104" t="s">
        <v>271</v>
      </c>
      <c r="E1" s="104" t="s">
        <v>272</v>
      </c>
      <c r="N1" s="104"/>
      <c r="O1" s="104"/>
      <c r="P1" s="104"/>
      <c r="Q1" s="104"/>
      <c r="R1" s="104"/>
      <c r="S1" s="104"/>
      <c r="T1" s="104"/>
    </row>
    <row r="2" spans="1:20" ht="27" customHeight="1" thickBot="1">
      <c r="A2" s="205"/>
      <c r="B2" s="206"/>
      <c r="C2" s="311">
        <f>'Dados base'!G7</f>
        <v>0</v>
      </c>
      <c r="E2" s="311"/>
      <c r="N2" s="271"/>
      <c r="O2" s="271"/>
      <c r="P2" s="271"/>
      <c r="Q2" s="271"/>
      <c r="R2" s="271"/>
      <c r="S2" s="271"/>
    </row>
    <row r="3" spans="1:20" ht="17.25">
      <c r="A3" s="92" t="s">
        <v>187</v>
      </c>
      <c r="B3" s="93" t="s">
        <v>27</v>
      </c>
      <c r="C3" s="219">
        <f>Fornecido!C53</f>
        <v>0.53833214621425896</v>
      </c>
      <c r="E3" s="275"/>
    </row>
    <row r="4" spans="1:20" ht="46.5" customHeight="1">
      <c r="A4" s="207" t="s">
        <v>188</v>
      </c>
      <c r="B4" s="95"/>
      <c r="C4" s="220"/>
      <c r="D4" s="273" t="s">
        <v>276</v>
      </c>
      <c r="E4" s="279" t="str">
        <f>IF(OR(E2="",E3=""),"Preencher ano de análise e meta",(C3-E3)*B32/C3/(E2-C2))</f>
        <v>Preencher ano de análise e meta</v>
      </c>
    </row>
    <row r="5" spans="1:20" ht="39" customHeight="1">
      <c r="A5" s="208"/>
      <c r="B5" s="208"/>
      <c r="C5" s="221"/>
      <c r="D5" s="273" t="s">
        <v>277</v>
      </c>
      <c r="E5" s="279" t="str">
        <f>IF(OR(E2="",E3=""),"Preencher ano de análise e meta e custo unitário de energia (na folha Dados base)",E4*'Dados base'!$G$16)</f>
        <v>Preencher ano de análise e meta e custo unitário de energia (na folha Dados base)</v>
      </c>
    </row>
    <row r="6" spans="1:20" ht="17.25">
      <c r="A6" s="209" t="s">
        <v>9</v>
      </c>
      <c r="B6" s="93" t="s">
        <v>28</v>
      </c>
      <c r="C6" s="219">
        <f>(B31/C26)</f>
        <v>0.12945539296206948</v>
      </c>
      <c r="E6" s="275"/>
    </row>
    <row r="7" spans="1:20" ht="42.75">
      <c r="A7" s="210" t="s">
        <v>24</v>
      </c>
      <c r="B7" s="211"/>
      <c r="C7" s="221"/>
    </row>
    <row r="8" spans="1:20" ht="17.25">
      <c r="A8" s="209" t="s">
        <v>10</v>
      </c>
      <c r="B8" s="93" t="s">
        <v>28</v>
      </c>
      <c r="C8" s="219">
        <f>B31/C27</f>
        <v>0.15031410591098585</v>
      </c>
      <c r="E8" s="275"/>
    </row>
    <row r="9" spans="1:20" ht="42.75">
      <c r="A9" s="210" t="s">
        <v>257</v>
      </c>
      <c r="B9" s="211"/>
      <c r="C9" s="221"/>
    </row>
    <row r="10" spans="1:20" ht="15.75">
      <c r="A10" s="209" t="s">
        <v>18</v>
      </c>
      <c r="B10" s="93" t="s">
        <v>23</v>
      </c>
      <c r="C10" s="219">
        <f>(B26-B28)/B29</f>
        <v>2.5199258474520922</v>
      </c>
      <c r="E10" s="275"/>
    </row>
    <row r="11" spans="1:20" ht="42.75">
      <c r="A11" s="210" t="s">
        <v>190</v>
      </c>
      <c r="B11" s="208"/>
      <c r="C11" s="211"/>
    </row>
    <row r="12" spans="1:20" ht="15.75">
      <c r="A12" s="212" t="s">
        <v>191</v>
      </c>
      <c r="B12" s="213" t="s">
        <v>23</v>
      </c>
      <c r="C12" s="222">
        <f>C10*'BE (%)'!F15</f>
        <v>2.1702420331087815</v>
      </c>
      <c r="E12" s="275"/>
    </row>
    <row r="13" spans="1:20">
      <c r="A13" s="210"/>
      <c r="B13" s="208"/>
      <c r="C13" s="211"/>
    </row>
    <row r="14" spans="1:20" ht="15.75">
      <c r="A14" s="212" t="s">
        <v>192</v>
      </c>
      <c r="B14" s="213" t="s">
        <v>23</v>
      </c>
      <c r="C14" s="222">
        <f>C10*'BE (%)'!F27</f>
        <v>0.34968381434331092</v>
      </c>
      <c r="E14" s="275"/>
    </row>
    <row r="15" spans="1:20">
      <c r="A15" s="210"/>
      <c r="B15" s="208"/>
      <c r="C15" s="211"/>
    </row>
    <row r="16" spans="1:20" ht="15.75">
      <c r="A16" s="212" t="s">
        <v>193</v>
      </c>
      <c r="B16" s="213" t="s">
        <v>23</v>
      </c>
      <c r="C16" s="222">
        <f>C10*'BE (%)'!B12</f>
        <v>1.2635215535637818</v>
      </c>
      <c r="E16" s="275"/>
    </row>
    <row r="17" spans="1:8">
      <c r="A17" s="210"/>
      <c r="B17" s="208"/>
      <c r="C17" s="211"/>
    </row>
    <row r="18" spans="1:8" ht="15.75">
      <c r="A18" s="212" t="s">
        <v>194</v>
      </c>
      <c r="B18" s="213" t="s">
        <v>23</v>
      </c>
      <c r="C18" s="222">
        <f>C10*'BE (%)'!B27</f>
        <v>1.2564042938883107</v>
      </c>
      <c r="E18" s="275"/>
    </row>
    <row r="19" spans="1:8">
      <c r="A19" s="210"/>
      <c r="B19" s="208"/>
      <c r="C19" s="211"/>
    </row>
    <row r="20" spans="1:8" ht="16.5">
      <c r="A20" s="214" t="s">
        <v>200</v>
      </c>
      <c r="B20" s="215" t="s">
        <v>198</v>
      </c>
      <c r="C20" s="223" t="e">
        <f>Fornecido!C49*'Indicadores sistema'!C33/1000000</f>
        <v>#VALUE!</v>
      </c>
      <c r="E20" s="275"/>
    </row>
    <row r="21" spans="1:8" customFormat="1">
      <c r="A21" s="105"/>
      <c r="B21" s="105"/>
      <c r="C21" s="105"/>
    </row>
    <row r="22" spans="1:8" ht="15.75">
      <c r="A22" s="214" t="s">
        <v>293</v>
      </c>
      <c r="B22" s="215" t="s">
        <v>3</v>
      </c>
      <c r="C22" s="224" t="e">
        <f>'Dados base'!G14/'Dados base'!G15</f>
        <v>#DIV/0!</v>
      </c>
      <c r="E22" s="275"/>
    </row>
    <row r="23" spans="1:8" ht="19.5" customHeight="1">
      <c r="A23" s="210"/>
      <c r="B23" s="208"/>
      <c r="C23" s="211"/>
    </row>
    <row r="24" spans="1:8" ht="30" customHeight="1">
      <c r="A24" s="216"/>
      <c r="B24" s="107" t="s">
        <v>14</v>
      </c>
      <c r="C24" s="107" t="s">
        <v>16</v>
      </c>
      <c r="E24" s="298" t="s">
        <v>273</v>
      </c>
      <c r="F24" s="299"/>
      <c r="G24" s="299"/>
      <c r="H24" s="300"/>
    </row>
    <row r="25" spans="1:8" ht="18">
      <c r="A25" s="216"/>
      <c r="B25" s="107" t="s">
        <v>1</v>
      </c>
      <c r="C25" s="107" t="s">
        <v>25</v>
      </c>
      <c r="D25" s="272"/>
      <c r="E25" s="301" t="s">
        <v>279</v>
      </c>
      <c r="F25" s="274"/>
      <c r="G25" s="274"/>
      <c r="H25" s="274"/>
    </row>
    <row r="26" spans="1:8" ht="21">
      <c r="A26" s="116" t="s">
        <v>17</v>
      </c>
      <c r="B26" s="116">
        <f>Fornecido!C1</f>
        <v>386138.60698727774</v>
      </c>
      <c r="C26" s="116">
        <f>Fornecido!C3</f>
        <v>1799110</v>
      </c>
      <c r="D26" s="272"/>
      <c r="E26" s="301" t="s">
        <v>286</v>
      </c>
      <c r="F26" s="278"/>
      <c r="G26" s="278"/>
      <c r="H26" s="278"/>
    </row>
    <row r="27" spans="1:8" ht="21">
      <c r="A27" s="116" t="s">
        <v>153</v>
      </c>
      <c r="B27" s="116">
        <f>'BE (kWh)'!F15</f>
        <v>332555.11718219094</v>
      </c>
      <c r="C27" s="116">
        <f>Mínimo!C3</f>
        <v>1549452</v>
      </c>
      <c r="E27" s="301" t="s">
        <v>287</v>
      </c>
      <c r="F27" s="278"/>
      <c r="G27" s="278"/>
      <c r="H27" s="278"/>
    </row>
    <row r="28" spans="1:8" ht="18">
      <c r="A28" s="116" t="s">
        <v>12</v>
      </c>
      <c r="B28" s="116">
        <f>Turbinado!C1</f>
        <v>0</v>
      </c>
      <c r="C28" s="116">
        <f>Turbinado!C5</f>
        <v>0</v>
      </c>
      <c r="E28" s="301" t="s">
        <v>280</v>
      </c>
      <c r="F28" s="278"/>
      <c r="G28" s="278"/>
      <c r="H28" s="278"/>
    </row>
    <row r="29" spans="1:8" ht="18">
      <c r="A29" s="116" t="s">
        <v>13</v>
      </c>
      <c r="B29" s="116">
        <f>Mínimo!C1</f>
        <v>153234.11495528891</v>
      </c>
      <c r="C29" s="116">
        <f>Mínimo!C3</f>
        <v>1549452</v>
      </c>
      <c r="E29" s="301" t="s">
        <v>288</v>
      </c>
      <c r="F29" s="278"/>
      <c r="G29" s="278"/>
      <c r="H29" s="278"/>
    </row>
    <row r="30" spans="1:8" ht="15.75">
      <c r="A30" s="116" t="s">
        <v>185</v>
      </c>
      <c r="B30" s="116"/>
      <c r="C30" s="116">
        <f>'Dados base'!G12</f>
        <v>1676512</v>
      </c>
      <c r="E30" s="302" t="s">
        <v>289</v>
      </c>
      <c r="F30" s="175"/>
      <c r="G30" s="175"/>
      <c r="H30" s="303"/>
    </row>
    <row r="31" spans="1:8">
      <c r="A31" s="116" t="s">
        <v>22</v>
      </c>
      <c r="B31" s="116">
        <f>B26-B28-B29</f>
        <v>232904.49203198883</v>
      </c>
      <c r="C31" s="116">
        <f>C26-C28-C29</f>
        <v>249658</v>
      </c>
      <c r="E31" s="304"/>
      <c r="F31" s="305"/>
      <c r="G31" s="305"/>
      <c r="H31" s="306"/>
    </row>
    <row r="32" spans="1:8">
      <c r="A32" s="116" t="s">
        <v>278</v>
      </c>
      <c r="B32" s="116">
        <f>Fornecido!C49</f>
        <v>192524</v>
      </c>
      <c r="E32" s="307"/>
      <c r="F32" s="305"/>
      <c r="G32" s="305"/>
      <c r="H32" s="306"/>
    </row>
    <row r="33" spans="1:8">
      <c r="A33" s="217" t="s">
        <v>196</v>
      </c>
      <c r="B33" s="218" t="s">
        <v>197</v>
      </c>
      <c r="C33" s="88" t="str">
        <f>IF('Dados base'!G7="","",(IF('Dados base'!G7=2012,228.61,IF('Dados base'!G7=2013,228.61,IF('Dados base'!G7=2014,122.46,IF('Dados base'!G7=2015,AVERAGE(185.78,77.73,130.67,218.11,54.62,382.33,240.98,277.79,318.27,54.8),"Introduzir valor de energy mix"))))))</f>
        <v/>
      </c>
      <c r="E33" s="307"/>
      <c r="F33" s="305"/>
      <c r="G33" s="305"/>
      <c r="H33" s="306"/>
    </row>
    <row r="34" spans="1:8">
      <c r="E34" s="307"/>
      <c r="F34" s="305"/>
      <c r="G34" s="305"/>
      <c r="H34" s="306"/>
    </row>
    <row r="35" spans="1:8">
      <c r="E35" s="307"/>
      <c r="F35" s="305"/>
      <c r="G35" s="305"/>
      <c r="H35" s="306"/>
    </row>
    <row r="36" spans="1:8">
      <c r="E36" s="307"/>
      <c r="F36" s="305"/>
      <c r="G36" s="305"/>
      <c r="H36" s="306"/>
    </row>
    <row r="37" spans="1:8">
      <c r="E37" s="307"/>
      <c r="F37" s="305"/>
      <c r="G37" s="305"/>
      <c r="H37" s="306"/>
    </row>
    <row r="38" spans="1:8">
      <c r="E38" s="307"/>
      <c r="F38" s="305"/>
      <c r="G38" s="305"/>
      <c r="H38" s="306"/>
    </row>
    <row r="39" spans="1:8">
      <c r="E39" s="308"/>
      <c r="F39" s="309"/>
      <c r="G39" s="309"/>
      <c r="H39" s="310"/>
    </row>
    <row r="40" spans="1:8" hidden="1">
      <c r="A40" s="142" t="s">
        <v>226</v>
      </c>
      <c r="B40" s="142"/>
      <c r="C40" s="142" t="s">
        <v>241</v>
      </c>
    </row>
    <row r="41" spans="1:8" hidden="1">
      <c r="A41" s="142" t="s">
        <v>227</v>
      </c>
      <c r="B41" s="142"/>
      <c r="C41" s="142" t="s">
        <v>242</v>
      </c>
    </row>
    <row r="42" spans="1:8" hidden="1">
      <c r="A42" s="142" t="s">
        <v>220</v>
      </c>
      <c r="B42" s="142"/>
      <c r="C42" s="142" t="s">
        <v>248</v>
      </c>
    </row>
    <row r="43" spans="1:8" hidden="1">
      <c r="A43" s="142" t="s">
        <v>221</v>
      </c>
      <c r="B43" s="142"/>
      <c r="C43" s="142" t="s">
        <v>249</v>
      </c>
    </row>
    <row r="44" spans="1:8" ht="14.25" hidden="1" customHeight="1">
      <c r="A44" s="142" t="s">
        <v>219</v>
      </c>
      <c r="B44" s="142"/>
      <c r="C44" s="142" t="s">
        <v>219</v>
      </c>
    </row>
    <row r="45" spans="1:8" hidden="1">
      <c r="A45" s="142" t="s">
        <v>223</v>
      </c>
      <c r="B45" s="142"/>
      <c r="C45" s="142" t="s">
        <v>243</v>
      </c>
    </row>
    <row r="46" spans="1:8" hidden="1">
      <c r="A46" s="142" t="s">
        <v>224</v>
      </c>
      <c r="B46" s="142"/>
      <c r="C46" s="142" t="s">
        <v>244</v>
      </c>
    </row>
    <row r="47" spans="1:8" hidden="1">
      <c r="A47" s="142" t="s">
        <v>225</v>
      </c>
      <c r="B47" s="142"/>
      <c r="C47" s="142" t="s">
        <v>222</v>
      </c>
    </row>
    <row r="48" spans="1:8" hidden="1">
      <c r="A48" s="142" t="s">
        <v>228</v>
      </c>
      <c r="B48" s="142"/>
      <c r="C48" s="142" t="s">
        <v>245</v>
      </c>
    </row>
    <row r="49" spans="1:3" hidden="1">
      <c r="A49" s="142" t="s">
        <v>229</v>
      </c>
      <c r="B49" s="142"/>
      <c r="C49" s="142" t="s">
        <v>230</v>
      </c>
    </row>
    <row r="50" spans="1:3" hidden="1">
      <c r="A50" s="142" t="s">
        <v>222</v>
      </c>
      <c r="B50" s="142"/>
      <c r="C50" s="142" t="s">
        <v>233</v>
      </c>
    </row>
    <row r="51" spans="1:3" hidden="1">
      <c r="A51" s="142" t="s">
        <v>231</v>
      </c>
      <c r="B51" s="142"/>
      <c r="C51" s="142" t="s">
        <v>246</v>
      </c>
    </row>
    <row r="52" spans="1:3" hidden="1">
      <c r="A52" s="142" t="s">
        <v>232</v>
      </c>
      <c r="B52" s="142"/>
      <c r="C52" s="142" t="s">
        <v>235</v>
      </c>
    </row>
    <row r="53" spans="1:3" hidden="1">
      <c r="A53" s="142" t="s">
        <v>230</v>
      </c>
      <c r="B53" s="142"/>
      <c r="C53" s="41"/>
    </row>
    <row r="54" spans="1:3" hidden="1">
      <c r="A54" s="142" t="s">
        <v>234</v>
      </c>
      <c r="B54" s="142"/>
      <c r="C54" s="142"/>
    </row>
    <row r="55" spans="1:3" hidden="1">
      <c r="A55" s="142" t="s">
        <v>233</v>
      </c>
      <c r="B55" s="142"/>
      <c r="C55" s="142"/>
    </row>
    <row r="56" spans="1:3" hidden="1">
      <c r="A56" s="142" t="s">
        <v>237</v>
      </c>
      <c r="B56" s="142"/>
      <c r="C56" s="142"/>
    </row>
    <row r="57" spans="1:3" hidden="1">
      <c r="A57" s="142" t="s">
        <v>238</v>
      </c>
      <c r="B57" s="142"/>
      <c r="C57" s="142"/>
    </row>
    <row r="58" spans="1:3" hidden="1">
      <c r="A58" s="142" t="s">
        <v>235</v>
      </c>
      <c r="B58" s="142"/>
      <c r="C58" s="142"/>
    </row>
    <row r="59" spans="1:3" hidden="1">
      <c r="A59" s="142" t="s">
        <v>239</v>
      </c>
      <c r="B59" s="142"/>
      <c r="C59" s="142"/>
    </row>
    <row r="60" spans="1:3" hidden="1">
      <c r="A60" s="142" t="s">
        <v>240</v>
      </c>
      <c r="B60" s="142"/>
      <c r="C60" s="142"/>
    </row>
    <row r="61" spans="1:3" hidden="1">
      <c r="A61" s="142" t="s">
        <v>236</v>
      </c>
      <c r="B61" s="142"/>
      <c r="C61" s="142"/>
    </row>
    <row r="62" spans="1:3">
      <c r="B62" s="142"/>
      <c r="C62" s="142"/>
    </row>
  </sheetData>
  <sheetProtection algorithmName="SHA-512" hashValue="x6YFDeJcqj4+QWWi10L7ousj+wrT36O/he2pUtN+fJHXcGa1smLSIQrOfPNljj10+3VMIPcs1NLwMAoZvJB7MQ==" saltValue="7OvfPlyeRctbmz+nFqlePA==" spinCount="100000" sheet="1" formatCells="0" formatColumns="0" formatRows="0" insertColumns="0" insertRows="0" insertHyperlinks="0" sort="0" autoFilter="0" pivotTables="0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Dados base</vt:lpstr>
      <vt:lpstr>Fornecido</vt:lpstr>
      <vt:lpstr>Mínimo</vt:lpstr>
      <vt:lpstr>Turbinado</vt:lpstr>
      <vt:lpstr>Output 1</vt:lpstr>
      <vt:lpstr>BE (kWh)</vt:lpstr>
      <vt:lpstr>Output 1 (3)</vt:lpstr>
      <vt:lpstr>BE (%)</vt:lpstr>
      <vt:lpstr>Indicadores sistema</vt:lpstr>
      <vt:lpstr>Output2</vt:lpstr>
      <vt:lpstr>Levantamento de valvulas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Regina Casimiro</cp:lastModifiedBy>
  <cp:lastPrinted>2014-09-09T12:53:18Z</cp:lastPrinted>
  <dcterms:created xsi:type="dcterms:W3CDTF">2014-01-07T18:10:53Z</dcterms:created>
  <dcterms:modified xsi:type="dcterms:W3CDTF">2016-06-16T16:18:42Z</dcterms:modified>
</cp:coreProperties>
</file>