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ml.chartshapes+xml"/>
  <Override PartName="/xl/charts/chart2.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13.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drawings/drawing14.xml" ContentType="application/vnd.openxmlformats-officedocument.drawing+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codeName="ThisWorkbook" autoCompressPictures="0" defaultThemeVersion="124226"/>
  <mc:AlternateContent xmlns:mc="http://schemas.openxmlformats.org/markup-compatibility/2006">
    <mc:Choice Requires="x15">
      <x15ac:absPath xmlns:x15ac="http://schemas.microsoft.com/office/spreadsheetml/2010/11/ac" url="C:\Users\ReginaCasimiro\Documents\"/>
    </mc:Choice>
  </mc:AlternateContent>
  <xr:revisionPtr revIDLastSave="0" documentId="8_{7401E177-881E-44F0-A3F8-83042D12127C}" xr6:coauthVersionLast="43" xr6:coauthVersionMax="43" xr10:uidLastSave="{00000000-0000-0000-0000-000000000000}"/>
  <workbookProtection lockStructure="1"/>
  <bookViews>
    <workbookView xWindow="-120" yWindow="-120" windowWidth="29040" windowHeight="15840" tabRatio="921" activeTab="1" xr2:uid="{00000000-000D-0000-FFFF-FFFF00000000}"/>
  </bookViews>
  <sheets>
    <sheet name="Output (1)" sheetId="6" r:id="rId1"/>
    <sheet name="Instruc." sheetId="13" r:id="rId2"/>
    <sheet name="Output (2)" sheetId="16" r:id="rId3"/>
    <sheet name="Output (3)" sheetId="7" r:id="rId4"/>
    <sheet name="Output (4)" sheetId="1" r:id="rId5"/>
    <sheet name="Input (1)" sheetId="9" r:id="rId6"/>
    <sheet name="Input (2)" sheetId="2" r:id="rId7"/>
    <sheet name="Input (3)" sheetId="12" r:id="rId8"/>
    <sheet name="Input (4)" sheetId="5" r:id="rId9"/>
    <sheet name="Input (5)" sheetId="15" r:id="rId10"/>
    <sheet name="Input (6)" sheetId="14" r:id="rId11"/>
    <sheet name="Configuration options" sheetId="10" r:id="rId12"/>
  </sheets>
  <externalReferences>
    <externalReference r:id="rId13"/>
  </externalReferences>
  <definedNames>
    <definedName name="_Toc54488893" localSheetId="3">'Output (3)'!$AB$15</definedName>
    <definedName name="_xlnm.Print_Area" localSheetId="4">'Output (4)'!$A$1:$E$41</definedName>
    <definedName name="Traduções_1">'Input (1)'!$AA$1:$AJ$41</definedName>
    <definedName name="Traduções_2">'Input (2)'!$AA$1:$AJ$40</definedName>
    <definedName name="Traduções_3">'Input (3)'!$AA$1:$AJ$40</definedName>
    <definedName name="Traduções_4">'Input (4)'!$AA$1:$AJ$54</definedName>
    <definedName name="Traduções_5">'Input (5)'!$AA$1:$AJ$42</definedName>
    <definedName name="Traduções_6">'Input (6)'!$AA$1:$AI$40</definedName>
    <definedName name="Traduções_Instruções">Instruc.!$AA$1:$AJ$72</definedName>
    <definedName name="Traduções_Opçõesdeconfiguração">'Configuration options'!$AA$1:$AJ$40</definedName>
    <definedName name="Traduções_ResBalanço">'Output (4)'!$AA$1:$AJ$52</definedName>
    <definedName name="Traduções_ResIndicadores">'Output (3)'!$AA$1:$AJ$80</definedName>
    <definedName name="Traduções_ResSintese">'Output (2)'!$AA$1:$AK$50</definedName>
    <definedName name="Traduções_Rosto">'Output (1)'!$AA$1:$AJ$40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8" i="7" l="1"/>
  <c r="B51" i="7"/>
  <c r="B2" i="6"/>
  <c r="C2" i="6"/>
  <c r="D2" i="6"/>
  <c r="E2" i="6"/>
  <c r="F2" i="6"/>
  <c r="G2" i="6"/>
  <c r="H2" i="6"/>
  <c r="I2" i="6"/>
  <c r="AA1" i="7"/>
  <c r="A6" i="7"/>
  <c r="P5" i="10"/>
  <c r="M5" i="10"/>
  <c r="P9" i="10" s="1"/>
  <c r="J9" i="10" s="1"/>
  <c r="K10" i="10"/>
  <c r="B24" i="5"/>
  <c r="B28" i="5"/>
  <c r="I32" i="5" s="1"/>
  <c r="B43" i="7"/>
  <c r="B44" i="7"/>
  <c r="B50" i="7"/>
  <c r="B49" i="7"/>
  <c r="B38" i="7"/>
  <c r="B35" i="7" s="1"/>
  <c r="B35" i="16" s="1"/>
  <c r="B24" i="7"/>
  <c r="B21" i="7" s="1"/>
  <c r="B31" i="16" s="1"/>
  <c r="B19" i="7"/>
  <c r="B20" i="7"/>
  <c r="AA1" i="9"/>
  <c r="A5" i="9" s="1"/>
  <c r="D6" i="10"/>
  <c r="E7" i="10"/>
  <c r="D7" i="10"/>
  <c r="E8" i="10"/>
  <c r="D8" i="10" s="1"/>
  <c r="E9" i="10"/>
  <c r="N14" i="7" s="1"/>
  <c r="D9" i="10"/>
  <c r="L19" i="9" s="1"/>
  <c r="E10" i="10"/>
  <c r="D10" i="10" s="1"/>
  <c r="H12" i="2"/>
  <c r="F10" i="16" s="1"/>
  <c r="B64" i="7"/>
  <c r="Q60" i="7" s="1"/>
  <c r="B63" i="7"/>
  <c r="O11" i="7"/>
  <c r="O15" i="7"/>
  <c r="N11" i="7"/>
  <c r="G13" i="16"/>
  <c r="I8" i="2"/>
  <c r="F13" i="16"/>
  <c r="O12" i="7"/>
  <c r="O14" i="7"/>
  <c r="N12" i="7"/>
  <c r="I24" i="2"/>
  <c r="A11" i="9"/>
  <c r="AA1" i="10"/>
  <c r="B18" i="10" s="1"/>
  <c r="AB1" i="10"/>
  <c r="N5" i="10"/>
  <c r="AA1" i="16"/>
  <c r="AB1" i="16"/>
  <c r="C22" i="16"/>
  <c r="AA1" i="15"/>
  <c r="I2" i="15" s="1"/>
  <c r="AB1" i="15"/>
  <c r="AA1" i="13"/>
  <c r="A33" i="13"/>
  <c r="AB1" i="13"/>
  <c r="A34" i="13"/>
  <c r="A32" i="13"/>
  <c r="A30" i="13"/>
  <c r="A28" i="13"/>
  <c r="A26" i="13"/>
  <c r="A4" i="13"/>
  <c r="AB1" i="9"/>
  <c r="C25" i="9"/>
  <c r="AC1" i="10"/>
  <c r="AC1" i="14"/>
  <c r="AB1" i="14"/>
  <c r="AA1" i="14"/>
  <c r="AC1" i="15"/>
  <c r="AC1" i="5"/>
  <c r="AB1" i="5"/>
  <c r="AA1" i="5"/>
  <c r="AC1" i="12"/>
  <c r="AB1" i="12"/>
  <c r="AA1" i="12"/>
  <c r="AC1" i="2"/>
  <c r="AB1" i="2"/>
  <c r="AA1" i="2"/>
  <c r="AC1" i="9"/>
  <c r="AC1" i="1"/>
  <c r="AB1" i="1"/>
  <c r="AA1" i="1"/>
  <c r="E17" i="1"/>
  <c r="AC1" i="7"/>
  <c r="AB1" i="7"/>
  <c r="AC1" i="16"/>
  <c r="AC1" i="13"/>
  <c r="B27" i="16"/>
  <c r="B26" i="16"/>
  <c r="D26" i="16" s="1"/>
  <c r="D38" i="1" s="1"/>
  <c r="B25" i="16"/>
  <c r="D13" i="1"/>
  <c r="C13" i="1"/>
  <c r="A14" i="1"/>
  <c r="A7" i="13"/>
  <c r="A8" i="13"/>
  <c r="A9" i="13"/>
  <c r="A10" i="13"/>
  <c r="A11" i="13"/>
  <c r="A12" i="13"/>
  <c r="A13" i="13"/>
  <c r="A14" i="13"/>
  <c r="A15" i="13"/>
  <c r="A16" i="13"/>
  <c r="A17" i="13"/>
  <c r="A6" i="13"/>
  <c r="A3" i="16"/>
  <c r="A3" i="1"/>
  <c r="A18" i="16"/>
  <c r="C21" i="1"/>
  <c r="A9" i="1" s="1"/>
  <c r="A23" i="16"/>
  <c r="C27" i="1" s="1"/>
  <c r="A10" i="1" s="1"/>
  <c r="A9" i="14"/>
  <c r="A11" i="1" s="1"/>
  <c r="A31" i="12"/>
  <c r="C15" i="1"/>
  <c r="A8" i="1" s="1"/>
  <c r="A15" i="16"/>
  <c r="E21" i="1" s="1"/>
  <c r="A27" i="16"/>
  <c r="D39" i="1"/>
  <c r="A26" i="16"/>
  <c r="D36" i="1"/>
  <c r="A25" i="16"/>
  <c r="D33" i="1" s="1"/>
  <c r="A22" i="16"/>
  <c r="D30" i="1" s="1"/>
  <c r="A21" i="16"/>
  <c r="D27" i="1"/>
  <c r="A17" i="16"/>
  <c r="D24" i="1"/>
  <c r="A16" i="16"/>
  <c r="D21" i="1" s="1"/>
  <c r="A28" i="16"/>
  <c r="C36" i="1" s="1"/>
  <c r="A24" i="16"/>
  <c r="C33" i="1"/>
  <c r="A20" i="16"/>
  <c r="B27" i="1"/>
  <c r="A12" i="16"/>
  <c r="D18" i="1" s="1"/>
  <c r="D5" i="12"/>
  <c r="A11" i="16"/>
  <c r="D15" i="1"/>
  <c r="A19" i="16"/>
  <c r="B15" i="1" s="1"/>
  <c r="A9" i="16"/>
  <c r="A2" i="2"/>
  <c r="A15" i="1" s="1"/>
  <c r="Z1" i="10"/>
  <c r="A2" i="10"/>
  <c r="A4" i="10"/>
  <c r="B4" i="10"/>
  <c r="C4" i="10"/>
  <c r="D4" i="10"/>
  <c r="E4" i="10"/>
  <c r="F4" i="10"/>
  <c r="G4" i="10"/>
  <c r="H4" i="10"/>
  <c r="A5" i="10"/>
  <c r="B5" i="10"/>
  <c r="E5" i="10"/>
  <c r="F5" i="10"/>
  <c r="G5" i="10"/>
  <c r="H5" i="10"/>
  <c r="J5" i="10"/>
  <c r="K5" i="10"/>
  <c r="O5" i="10"/>
  <c r="B6" i="10"/>
  <c r="AA17" i="10"/>
  <c r="H6" i="10"/>
  <c r="K6" i="10"/>
  <c r="B7" i="10"/>
  <c r="AA18" i="10"/>
  <c r="H7" i="10" s="1"/>
  <c r="K7" i="10"/>
  <c r="B8" i="10"/>
  <c r="AA19" i="10"/>
  <c r="H8" i="10"/>
  <c r="K8" i="10"/>
  <c r="AA20" i="10"/>
  <c r="H9" i="10" s="1"/>
  <c r="K9" i="10"/>
  <c r="AA21" i="10"/>
  <c r="H10" i="10"/>
  <c r="A12" i="10"/>
  <c r="B12" i="10"/>
  <c r="E12" i="10"/>
  <c r="A13" i="10"/>
  <c r="B13" i="10"/>
  <c r="B15" i="10"/>
  <c r="AB17" i="10"/>
  <c r="AB18" i="10"/>
  <c r="AB19" i="10"/>
  <c r="AB20" i="10"/>
  <c r="AB21" i="10"/>
  <c r="Z1" i="14"/>
  <c r="A2" i="14"/>
  <c r="A3" i="14"/>
  <c r="C4" i="14"/>
  <c r="D4" i="14"/>
  <c r="E4" i="14"/>
  <c r="F4" i="14"/>
  <c r="G4" i="14"/>
  <c r="A5" i="14"/>
  <c r="A6" i="14"/>
  <c r="A7" i="14"/>
  <c r="C9" i="14"/>
  <c r="J20" i="14"/>
  <c r="J21" i="14"/>
  <c r="J22" i="14"/>
  <c r="Z1" i="15"/>
  <c r="A9" i="15"/>
  <c r="J22" i="15"/>
  <c r="J23" i="15"/>
  <c r="J24" i="15"/>
  <c r="Z1" i="5"/>
  <c r="A2" i="5"/>
  <c r="A3" i="5"/>
  <c r="C3" i="5"/>
  <c r="D3" i="5"/>
  <c r="D17" i="5"/>
  <c r="E3" i="5"/>
  <c r="E16" i="5" s="1"/>
  <c r="F3" i="5"/>
  <c r="G3" i="5"/>
  <c r="G16" i="5" s="1"/>
  <c r="A4" i="5"/>
  <c r="C4" i="5"/>
  <c r="C10" i="5"/>
  <c r="A5" i="5"/>
  <c r="A6" i="5"/>
  <c r="A7" i="5"/>
  <c r="A10" i="5"/>
  <c r="A11" i="5"/>
  <c r="A12" i="5"/>
  <c r="A14" i="5"/>
  <c r="A16" i="5"/>
  <c r="F16" i="5"/>
  <c r="A17" i="5"/>
  <c r="A18" i="5"/>
  <c r="A19" i="5"/>
  <c r="A20" i="5"/>
  <c r="C20" i="5"/>
  <c r="A21" i="5"/>
  <c r="A22" i="5"/>
  <c r="A23" i="5"/>
  <c r="C23" i="5"/>
  <c r="A24" i="5"/>
  <c r="C24" i="5"/>
  <c r="A25" i="5"/>
  <c r="C25" i="5"/>
  <c r="A26" i="5"/>
  <c r="A27" i="5"/>
  <c r="C27" i="5"/>
  <c r="A28" i="5"/>
  <c r="C28" i="5"/>
  <c r="F28" i="5"/>
  <c r="A29" i="5"/>
  <c r="C29" i="5"/>
  <c r="A30" i="5"/>
  <c r="A31" i="5"/>
  <c r="C31" i="5"/>
  <c r="A32" i="5"/>
  <c r="C32" i="5"/>
  <c r="A33" i="5"/>
  <c r="A34" i="5"/>
  <c r="A35" i="5"/>
  <c r="A38" i="5"/>
  <c r="C38" i="5"/>
  <c r="A41" i="5"/>
  <c r="C41" i="5"/>
  <c r="A43" i="5"/>
  <c r="C43" i="5"/>
  <c r="H46" i="5"/>
  <c r="H47" i="5"/>
  <c r="H48" i="5"/>
  <c r="Z1" i="12"/>
  <c r="A2" i="12"/>
  <c r="A3" i="12"/>
  <c r="A4" i="12"/>
  <c r="C4" i="12"/>
  <c r="D4" i="12"/>
  <c r="E4" i="12"/>
  <c r="E20" i="12" s="1"/>
  <c r="F4" i="12"/>
  <c r="F20" i="12"/>
  <c r="G4" i="12"/>
  <c r="G20" i="12" s="1"/>
  <c r="A5" i="12"/>
  <c r="C5" i="12"/>
  <c r="A6" i="12"/>
  <c r="A7" i="12"/>
  <c r="A8" i="12"/>
  <c r="A9" i="12"/>
  <c r="A10" i="12"/>
  <c r="A13" i="12"/>
  <c r="C13" i="12"/>
  <c r="A14" i="12"/>
  <c r="A15" i="12"/>
  <c r="A17" i="12"/>
  <c r="C17" i="12"/>
  <c r="A20" i="12"/>
  <c r="A21" i="12"/>
  <c r="A22" i="12"/>
  <c r="A23" i="12"/>
  <c r="A24" i="12"/>
  <c r="A25" i="12"/>
  <c r="A26" i="12"/>
  <c r="A29" i="12"/>
  <c r="C29" i="12"/>
  <c r="A32" i="12"/>
  <c r="C32" i="12"/>
  <c r="A33" i="12"/>
  <c r="C33" i="12"/>
  <c r="H35" i="12"/>
  <c r="H36" i="12"/>
  <c r="H37" i="12"/>
  <c r="Z1" i="2"/>
  <c r="C3" i="2"/>
  <c r="D3" i="2"/>
  <c r="B4" i="2" s="1"/>
  <c r="E3" i="2"/>
  <c r="F3" i="2"/>
  <c r="G3" i="2"/>
  <c r="D4" i="2"/>
  <c r="C11" i="2"/>
  <c r="A5" i="2"/>
  <c r="A6" i="2"/>
  <c r="A7" i="2"/>
  <c r="A8" i="2"/>
  <c r="H8" i="2"/>
  <c r="A9" i="2"/>
  <c r="A11" i="2"/>
  <c r="A12" i="2"/>
  <c r="I16" i="2"/>
  <c r="I17" i="2"/>
  <c r="I18" i="2"/>
  <c r="Z1" i="9"/>
  <c r="K16" i="9"/>
  <c r="L16" i="9"/>
  <c r="K17" i="9"/>
  <c r="K18" i="9"/>
  <c r="C24" i="9"/>
  <c r="A1" i="1"/>
  <c r="Z1" i="1"/>
  <c r="A2" i="1"/>
  <c r="A5" i="1"/>
  <c r="C9" i="16"/>
  <c r="C14" i="7" s="1"/>
  <c r="C19" i="16"/>
  <c r="C13" i="16"/>
  <c r="C11" i="16"/>
  <c r="C12" i="16"/>
  <c r="C18" i="16"/>
  <c r="C16" i="16"/>
  <c r="C15" i="16"/>
  <c r="C17" i="16"/>
  <c r="C20" i="16"/>
  <c r="C23" i="16"/>
  <c r="C21" i="16"/>
  <c r="C24" i="16"/>
  <c r="C25" i="16"/>
  <c r="D34" i="1"/>
  <c r="C28" i="16"/>
  <c r="C26" i="16"/>
  <c r="D37" i="1" s="1"/>
  <c r="C27" i="16"/>
  <c r="D40" i="1" s="1"/>
  <c r="A1" i="7"/>
  <c r="Z1" i="7"/>
  <c r="A2" i="7"/>
  <c r="A3" i="7"/>
  <c r="B3" i="7"/>
  <c r="C3" i="7"/>
  <c r="D3" i="7"/>
  <c r="A5" i="7"/>
  <c r="B6" i="7"/>
  <c r="D9" i="7"/>
  <c r="A10" i="7"/>
  <c r="A11" i="7"/>
  <c r="M11" i="7"/>
  <c r="A12" i="7"/>
  <c r="M12" i="7"/>
  <c r="A13" i="7"/>
  <c r="M13" i="7"/>
  <c r="N13" i="7"/>
  <c r="O13" i="7"/>
  <c r="A14" i="7"/>
  <c r="M14" i="7"/>
  <c r="A15" i="7"/>
  <c r="M15" i="7"/>
  <c r="A16" i="7"/>
  <c r="C32" i="16"/>
  <c r="C16" i="7"/>
  <c r="I5" i="2"/>
  <c r="A17" i="7"/>
  <c r="A18" i="7"/>
  <c r="C18" i="7"/>
  <c r="M18" i="7"/>
  <c r="A19" i="7"/>
  <c r="M19" i="7"/>
  <c r="A20" i="7"/>
  <c r="C20" i="7"/>
  <c r="M20" i="7"/>
  <c r="A21" i="7"/>
  <c r="C31" i="16"/>
  <c r="C21" i="7"/>
  <c r="A22" i="7"/>
  <c r="A23" i="7"/>
  <c r="C23" i="7"/>
  <c r="A24" i="7"/>
  <c r="A25" i="7"/>
  <c r="A26" i="7"/>
  <c r="A27" i="7"/>
  <c r="C27" i="7"/>
  <c r="A28" i="7"/>
  <c r="C28" i="7"/>
  <c r="A29" i="7"/>
  <c r="A30" i="7"/>
  <c r="A31" i="7"/>
  <c r="C31" i="7"/>
  <c r="A32" i="7"/>
  <c r="C32" i="7"/>
  <c r="D32" i="7"/>
  <c r="A33" i="7"/>
  <c r="C33" i="7"/>
  <c r="A34" i="7"/>
  <c r="C34" i="7"/>
  <c r="A35" i="7"/>
  <c r="B39" i="7"/>
  <c r="C35" i="16"/>
  <c r="C35" i="7" s="1"/>
  <c r="A36" i="7"/>
  <c r="A37" i="7"/>
  <c r="C37" i="7"/>
  <c r="A38" i="7"/>
  <c r="A39" i="7"/>
  <c r="C39" i="7"/>
  <c r="A40" i="7"/>
  <c r="C36" i="16"/>
  <c r="C40" i="7" s="1"/>
  <c r="C47" i="7" s="1"/>
  <c r="A41" i="7"/>
  <c r="A42" i="7"/>
  <c r="C42" i="7"/>
  <c r="A43" i="7"/>
  <c r="A44" i="7"/>
  <c r="C44" i="7"/>
  <c r="A45" i="7"/>
  <c r="J49" i="7"/>
  <c r="A46" i="7"/>
  <c r="A47" i="7"/>
  <c r="A48" i="7"/>
  <c r="A49" i="7"/>
  <c r="A50" i="7"/>
  <c r="A51" i="7"/>
  <c r="A52" i="7"/>
  <c r="A53" i="7"/>
  <c r="A54" i="7"/>
  <c r="A55" i="7"/>
  <c r="C55" i="7"/>
  <c r="A56" i="7"/>
  <c r="C56" i="7"/>
  <c r="A57" i="7"/>
  <c r="A58" i="7"/>
  <c r="A59" i="7"/>
  <c r="C59" i="7"/>
  <c r="A60" i="7"/>
  <c r="C60" i="7"/>
  <c r="A61" i="7"/>
  <c r="A62" i="7"/>
  <c r="C62" i="7"/>
  <c r="A63" i="7"/>
  <c r="C63" i="7"/>
  <c r="A64" i="7"/>
  <c r="C64" i="7"/>
  <c r="D64" i="7"/>
  <c r="A66" i="7"/>
  <c r="A67" i="7"/>
  <c r="A68" i="7"/>
  <c r="A69" i="7"/>
  <c r="A70" i="7"/>
  <c r="C70" i="7"/>
  <c r="A71" i="7"/>
  <c r="C71" i="7"/>
  <c r="A72" i="7"/>
  <c r="C72" i="7"/>
  <c r="A1" i="16"/>
  <c r="Z1" i="16"/>
  <c r="A2" i="16"/>
  <c r="B3" i="16"/>
  <c r="C3" i="16"/>
  <c r="D3" i="16"/>
  <c r="A5" i="16"/>
  <c r="A6" i="16"/>
  <c r="A8" i="16"/>
  <c r="D8" i="16"/>
  <c r="A10" i="16"/>
  <c r="C10" i="16"/>
  <c r="A13" i="16"/>
  <c r="A14" i="16"/>
  <c r="C14" i="16"/>
  <c r="A29" i="16"/>
  <c r="A30" i="16"/>
  <c r="A31" i="16"/>
  <c r="A32" i="16"/>
  <c r="A33" i="16"/>
  <c r="A34" i="16"/>
  <c r="A35" i="16"/>
  <c r="A36" i="16"/>
  <c r="A37" i="16"/>
  <c r="A38" i="16"/>
  <c r="A39" i="16"/>
  <c r="A40" i="16"/>
  <c r="A1" i="13"/>
  <c r="Z1" i="13"/>
  <c r="A3" i="13"/>
  <c r="A5" i="13"/>
  <c r="A18" i="13"/>
  <c r="A20" i="13"/>
  <c r="A22" i="13"/>
  <c r="A23" i="13"/>
  <c r="B23" i="13"/>
  <c r="B25" i="13"/>
  <c r="B26" i="13"/>
  <c r="B27" i="13"/>
  <c r="B28" i="13"/>
  <c r="B29" i="13"/>
  <c r="B30" i="13"/>
  <c r="B31" i="13"/>
  <c r="B32" i="13"/>
  <c r="B33" i="13"/>
  <c r="B34" i="13"/>
  <c r="A36" i="13"/>
  <c r="A37" i="13"/>
  <c r="B37" i="13"/>
  <c r="A39" i="13"/>
  <c r="B40" i="13"/>
  <c r="A41" i="13"/>
  <c r="B42" i="13"/>
  <c r="B43" i="13"/>
  <c r="B44" i="13"/>
  <c r="B45" i="13"/>
  <c r="B46" i="13"/>
  <c r="B47" i="13"/>
  <c r="B48" i="13"/>
  <c r="A49" i="13"/>
  <c r="B50" i="13"/>
  <c r="B51" i="13"/>
  <c r="A53" i="13"/>
  <c r="A54" i="13"/>
  <c r="B54" i="13"/>
  <c r="A55" i="13"/>
  <c r="B56" i="13"/>
  <c r="Z1" i="6"/>
  <c r="A1" i="6"/>
  <c r="B1" i="6"/>
  <c r="C1" i="6"/>
  <c r="D1" i="6"/>
  <c r="E1" i="6"/>
  <c r="F1" i="6"/>
  <c r="G1" i="6"/>
  <c r="H1" i="6"/>
  <c r="I1" i="6"/>
  <c r="A4" i="6"/>
  <c r="A5" i="6"/>
  <c r="A6" i="6"/>
  <c r="E8" i="6"/>
  <c r="A11" i="6"/>
  <c r="A2" i="6"/>
  <c r="D8" i="6"/>
  <c r="C17" i="5"/>
  <c r="C14" i="5"/>
  <c r="E15" i="1"/>
  <c r="A25" i="13"/>
  <c r="A27" i="13"/>
  <c r="A29" i="13"/>
  <c r="A31" i="13"/>
  <c r="A17" i="15"/>
  <c r="J4" i="10"/>
  <c r="B16" i="10"/>
  <c r="A17" i="1" s="1"/>
  <c r="N15" i="7"/>
  <c r="I49" i="5"/>
  <c r="P7" i="10"/>
  <c r="J7" i="10" s="1"/>
  <c r="K20" i="14"/>
  <c r="K22" i="15"/>
  <c r="J15" i="15" s="1"/>
  <c r="I46" i="5"/>
  <c r="I35" i="12"/>
  <c r="H12" i="12" s="1"/>
  <c r="J16" i="2"/>
  <c r="H5" i="2" s="1"/>
  <c r="N18" i="7"/>
  <c r="K24" i="7" s="1"/>
  <c r="P6" i="10"/>
  <c r="J6" i="10"/>
  <c r="O18" i="7" s="1"/>
  <c r="P8" i="10"/>
  <c r="J8" i="10" s="1"/>
  <c r="P10" i="10"/>
  <c r="J10" i="10" s="1"/>
  <c r="K61" i="7"/>
  <c r="J61" i="7"/>
  <c r="K44" i="7"/>
  <c r="J44" i="7"/>
  <c r="J39" i="7"/>
  <c r="J20" i="7"/>
  <c r="K63" i="7"/>
  <c r="J63" i="7"/>
  <c r="K39" i="7"/>
  <c r="K20" i="7"/>
  <c r="H44" i="7"/>
  <c r="I44" i="7"/>
  <c r="D44" i="7"/>
  <c r="H61" i="7"/>
  <c r="H63" i="7"/>
  <c r="I61" i="7"/>
  <c r="I63" i="7"/>
  <c r="H20" i="7"/>
  <c r="I20" i="7"/>
  <c r="D20" i="7"/>
  <c r="H39" i="7"/>
  <c r="I39" i="7"/>
  <c r="D39" i="7"/>
  <c r="I7" i="2"/>
  <c r="H7" i="2"/>
  <c r="I47" i="5"/>
  <c r="N19" i="7"/>
  <c r="J17" i="2"/>
  <c r="L17" i="9"/>
  <c r="K21" i="14"/>
  <c r="K23" i="15"/>
  <c r="I36" i="12"/>
  <c r="A13" i="1"/>
  <c r="C14" i="1"/>
  <c r="D14" i="1"/>
  <c r="P11" i="10"/>
  <c r="J11" i="10" s="1"/>
  <c r="I9" i="12"/>
  <c r="H8" i="12"/>
  <c r="H10" i="12"/>
  <c r="I8" i="12"/>
  <c r="I10" i="12"/>
  <c r="H9" i="12"/>
  <c r="I15" i="12"/>
  <c r="H15" i="12"/>
  <c r="I14" i="12"/>
  <c r="H14" i="12"/>
  <c r="I9" i="2"/>
  <c r="H9" i="2"/>
  <c r="I5" i="5"/>
  <c r="I7" i="5"/>
  <c r="I9" i="5"/>
  <c r="H8" i="5"/>
  <c r="I12" i="5"/>
  <c r="H11" i="5"/>
  <c r="I8" i="5"/>
  <c r="H5" i="5"/>
  <c r="H7" i="5"/>
  <c r="H9" i="5"/>
  <c r="I11" i="5"/>
  <c r="H12" i="5"/>
  <c r="K11" i="15"/>
  <c r="J11" i="15"/>
  <c r="K50" i="7"/>
  <c r="I32" i="7"/>
  <c r="H19" i="7"/>
  <c r="H24" i="7"/>
  <c r="H38" i="7"/>
  <c r="I51" i="7"/>
  <c r="H64" i="7"/>
  <c r="H32" i="7"/>
  <c r="I19" i="7"/>
  <c r="K32" i="7"/>
  <c r="I38" i="7"/>
  <c r="H49" i="7"/>
  <c r="I48" i="7"/>
  <c r="I64" i="7"/>
  <c r="J32" i="7"/>
  <c r="H43" i="7"/>
  <c r="H48" i="7"/>
  <c r="I49" i="7"/>
  <c r="I24" i="7"/>
  <c r="I43" i="7"/>
  <c r="H51" i="7"/>
  <c r="L27" i="15" l="1"/>
  <c r="K21" i="2"/>
  <c r="J40" i="12"/>
  <c r="O23" i="7"/>
  <c r="J51" i="5"/>
  <c r="L25" i="14"/>
  <c r="J21" i="9"/>
  <c r="K22" i="14"/>
  <c r="J18" i="2"/>
  <c r="K24" i="15"/>
  <c r="L18" i="9"/>
  <c r="I48" i="5"/>
  <c r="I34" i="5" s="1"/>
  <c r="I37" i="12"/>
  <c r="I25" i="12" s="1"/>
  <c r="N20" i="7"/>
  <c r="L23" i="14"/>
  <c r="O21" i="7"/>
  <c r="J49" i="5"/>
  <c r="K19" i="2"/>
  <c r="J38" i="12"/>
  <c r="J19" i="9"/>
  <c r="L25" i="15"/>
  <c r="K20" i="2"/>
  <c r="J39" i="12"/>
  <c r="J20" i="9"/>
  <c r="L24" i="14"/>
  <c r="O22" i="7"/>
  <c r="J50" i="5"/>
  <c r="L26" i="15"/>
  <c r="J37" i="12"/>
  <c r="J18" i="9"/>
  <c r="L22" i="14"/>
  <c r="J48" i="5"/>
  <c r="L24" i="15"/>
  <c r="O20" i="7"/>
  <c r="K18" i="2"/>
  <c r="J47" i="5"/>
  <c r="K17" i="2"/>
  <c r="J36" i="12"/>
  <c r="O19" i="7"/>
  <c r="L23" i="15"/>
  <c r="J17" i="9"/>
  <c r="L21" i="14"/>
  <c r="J20" i="2"/>
  <c r="L20" i="9"/>
  <c r="K24" i="14"/>
  <c r="K26" i="15"/>
  <c r="I50" i="5"/>
  <c r="I39" i="12"/>
  <c r="N22" i="7"/>
  <c r="H26" i="12"/>
  <c r="J26" i="12" s="1"/>
  <c r="L22" i="15"/>
  <c r="J35" i="12"/>
  <c r="K25" i="15"/>
  <c r="J14" i="15" s="1"/>
  <c r="H2" i="15"/>
  <c r="J64" i="7"/>
  <c r="D48" i="7"/>
  <c r="J51" i="7"/>
  <c r="K15" i="15"/>
  <c r="J24" i="7"/>
  <c r="I12" i="12"/>
  <c r="H11" i="12"/>
  <c r="J19" i="7"/>
  <c r="A25" i="9"/>
  <c r="A19" i="9"/>
  <c r="A4" i="9"/>
  <c r="A10" i="15"/>
  <c r="A2" i="15"/>
  <c r="D27" i="16"/>
  <c r="D41" i="1" s="1"/>
  <c r="C26" i="9"/>
  <c r="E3" i="15"/>
  <c r="K23" i="14"/>
  <c r="A10" i="9"/>
  <c r="H27" i="5"/>
  <c r="J16" i="9"/>
  <c r="D22" i="9" s="1"/>
  <c r="B32" i="7" s="1"/>
  <c r="N32" i="7" s="1"/>
  <c r="I38" i="12"/>
  <c r="I27" i="12" s="1"/>
  <c r="D51" i="7"/>
  <c r="J48" i="7"/>
  <c r="K43" i="7"/>
  <c r="D38" i="7"/>
  <c r="D24" i="7"/>
  <c r="I11" i="12"/>
  <c r="K19" i="7"/>
  <c r="H7" i="12"/>
  <c r="A24" i="9"/>
  <c r="F18" i="9"/>
  <c r="D16" i="9"/>
  <c r="B18" i="9" s="1"/>
  <c r="G18" i="9"/>
  <c r="G3" i="9" s="1"/>
  <c r="A8" i="15"/>
  <c r="H25" i="5"/>
  <c r="I22" i="12"/>
  <c r="L20" i="14"/>
  <c r="K16" i="2"/>
  <c r="N21" i="7"/>
  <c r="J43" i="7"/>
  <c r="J9" i="15"/>
  <c r="H6" i="5"/>
  <c r="A23" i="9"/>
  <c r="E18" i="9"/>
  <c r="A16" i="9"/>
  <c r="A2" i="9"/>
  <c r="A19" i="15"/>
  <c r="A5" i="15"/>
  <c r="I27" i="5"/>
  <c r="H27" i="12"/>
  <c r="D50" i="7"/>
  <c r="K51" i="7"/>
  <c r="K9" i="15"/>
  <c r="J38" i="7"/>
  <c r="I7" i="12"/>
  <c r="H6" i="12"/>
  <c r="C13" i="7"/>
  <c r="A22" i="9"/>
  <c r="C18" i="9"/>
  <c r="A8" i="9"/>
  <c r="A15" i="15"/>
  <c r="A4" i="15"/>
  <c r="A13" i="9"/>
  <c r="A6" i="1" s="1"/>
  <c r="G2" i="15"/>
  <c r="I26" i="5"/>
  <c r="K49" i="7"/>
  <c r="K38" i="7"/>
  <c r="I6" i="5"/>
  <c r="I6" i="12"/>
  <c r="H6" i="2"/>
  <c r="A28" i="9"/>
  <c r="A21" i="9"/>
  <c r="A7" i="9"/>
  <c r="J19" i="2"/>
  <c r="A14" i="15"/>
  <c r="F3" i="15"/>
  <c r="E2" i="15"/>
  <c r="I25" i="5"/>
  <c r="I24" i="5" s="1"/>
  <c r="J46" i="5"/>
  <c r="D49" i="7"/>
  <c r="K48" i="7"/>
  <c r="A27" i="9"/>
  <c r="A20" i="9"/>
  <c r="A6" i="9"/>
  <c r="A13" i="15"/>
  <c r="A3" i="15"/>
  <c r="D25" i="16"/>
  <c r="D35" i="1" s="1"/>
  <c r="E17" i="15"/>
  <c r="D63" i="7"/>
  <c r="K64" i="7"/>
  <c r="J50" i="7"/>
  <c r="I6" i="2"/>
  <c r="A26" i="9"/>
  <c r="D17" i="9"/>
  <c r="A11" i="15"/>
  <c r="L26" i="12"/>
  <c r="H28" i="5"/>
  <c r="L28" i="5" s="1"/>
  <c r="I28" i="5"/>
  <c r="H55" i="7"/>
  <c r="J55" i="7"/>
  <c r="J10" i="16"/>
  <c r="H10" i="16"/>
  <c r="Q48" i="7"/>
  <c r="O32" i="7"/>
  <c r="M32" i="7"/>
  <c r="P32" i="7"/>
  <c r="D43" i="7"/>
  <c r="D19" i="7"/>
  <c r="K25" i="12" l="1"/>
  <c r="M25" i="12"/>
  <c r="M24" i="5"/>
  <c r="K24" i="5"/>
  <c r="M27" i="12"/>
  <c r="K27" i="12"/>
  <c r="J28" i="5"/>
  <c r="D5" i="2"/>
  <c r="D6" i="2"/>
  <c r="M6" i="2" s="1"/>
  <c r="D9" i="2"/>
  <c r="K10" i="15"/>
  <c r="D10" i="12"/>
  <c r="D25" i="12"/>
  <c r="D11" i="12"/>
  <c r="L11" i="12" s="1"/>
  <c r="D27" i="12"/>
  <c r="D8" i="12"/>
  <c r="D12" i="12"/>
  <c r="D22" i="12"/>
  <c r="D26" i="12"/>
  <c r="D6" i="12"/>
  <c r="K6" i="12" s="1"/>
  <c r="D15" i="12"/>
  <c r="D23" i="12"/>
  <c r="D7" i="12"/>
  <c r="L7" i="12" s="1"/>
  <c r="D9" i="12"/>
  <c r="D24" i="12"/>
  <c r="D14" i="12"/>
  <c r="J4" i="15"/>
  <c r="K6" i="15"/>
  <c r="J6" i="15"/>
  <c r="K5" i="15"/>
  <c r="K4" i="15"/>
  <c r="K14" i="15"/>
  <c r="J5" i="15"/>
  <c r="N5" i="15" s="1"/>
  <c r="J10" i="15"/>
  <c r="J7" i="15"/>
  <c r="K7" i="15"/>
  <c r="D6" i="14"/>
  <c r="K6" i="14" s="1"/>
  <c r="D5" i="14"/>
  <c r="B9" i="14" s="1"/>
  <c r="B28" i="16" s="1"/>
  <c r="C37" i="1" s="1"/>
  <c r="D7" i="14"/>
  <c r="F5" i="15"/>
  <c r="F6" i="15"/>
  <c r="F4" i="15"/>
  <c r="D3" i="15" s="1"/>
  <c r="F7" i="15"/>
  <c r="L27" i="12"/>
  <c r="J27" i="12"/>
  <c r="M22" i="12"/>
  <c r="K22" i="12"/>
  <c r="H6" i="14"/>
  <c r="I5" i="14"/>
  <c r="H5" i="14"/>
  <c r="H7" i="14"/>
  <c r="I7" i="14"/>
  <c r="I6" i="14"/>
  <c r="H34" i="5"/>
  <c r="D39" i="5"/>
  <c r="B38" i="5" s="1"/>
  <c r="D5" i="5"/>
  <c r="D9" i="5"/>
  <c r="D7" i="5"/>
  <c r="D35" i="5"/>
  <c r="D34" i="5"/>
  <c r="K34" i="5" s="1"/>
  <c r="D11" i="5"/>
  <c r="D37" i="5"/>
  <c r="D33" i="5"/>
  <c r="D21" i="5"/>
  <c r="B20" i="5" s="1"/>
  <c r="D19" i="5"/>
  <c r="B17" i="5" s="1"/>
  <c r="D8" i="5"/>
  <c r="D6" i="5"/>
  <c r="K6" i="5" s="1"/>
  <c r="D12" i="5"/>
  <c r="D36" i="5"/>
  <c r="K7" i="12"/>
  <c r="M7" i="12"/>
  <c r="J7" i="12"/>
  <c r="E11" i="15"/>
  <c r="E9" i="15"/>
  <c r="E13" i="15"/>
  <c r="E14" i="15"/>
  <c r="E15" i="15"/>
  <c r="E19" i="15"/>
  <c r="E8" i="15"/>
  <c r="E10" i="15"/>
  <c r="H50" i="7"/>
  <c r="I50" i="7"/>
  <c r="I23" i="12"/>
  <c r="I24" i="12"/>
  <c r="H23" i="12"/>
  <c r="H24" i="12"/>
  <c r="H25" i="12"/>
  <c r="I26" i="12"/>
  <c r="H22" i="12"/>
  <c r="M11" i="12"/>
  <c r="H37" i="5"/>
  <c r="I19" i="5"/>
  <c r="I37" i="5"/>
  <c r="I18" i="5"/>
  <c r="H22" i="5"/>
  <c r="I33" i="5"/>
  <c r="H36" i="5"/>
  <c r="H33" i="5"/>
  <c r="H21" i="5"/>
  <c r="I30" i="5"/>
  <c r="H18" i="5"/>
  <c r="I36" i="5"/>
  <c r="H30" i="5"/>
  <c r="I23" i="5"/>
  <c r="I39" i="5"/>
  <c r="H29" i="5"/>
  <c r="I21" i="5"/>
  <c r="I22" i="5"/>
  <c r="H39" i="5"/>
  <c r="I29" i="5"/>
  <c r="H23" i="5"/>
  <c r="H26" i="5"/>
  <c r="H24" i="5" s="1"/>
  <c r="H31" i="5"/>
  <c r="H19" i="5"/>
  <c r="I31" i="5"/>
  <c r="H35" i="5"/>
  <c r="I35" i="5"/>
  <c r="M28" i="5"/>
  <c r="K28" i="5"/>
  <c r="J7" i="14" l="1"/>
  <c r="L33" i="5"/>
  <c r="B29" i="12"/>
  <c r="B12" i="16" s="1"/>
  <c r="D19" i="1" s="1"/>
  <c r="K6" i="2"/>
  <c r="J6" i="2"/>
  <c r="F24" i="5"/>
  <c r="L24" i="5"/>
  <c r="J24" i="5"/>
  <c r="J35" i="5"/>
  <c r="L35" i="5"/>
  <c r="L24" i="12"/>
  <c r="J24" i="12"/>
  <c r="M11" i="5"/>
  <c r="J11" i="5"/>
  <c r="K11" i="5"/>
  <c r="K10" i="5" s="1"/>
  <c r="L11" i="5"/>
  <c r="B10" i="5"/>
  <c r="J5" i="14"/>
  <c r="L5" i="14"/>
  <c r="O7" i="15"/>
  <c r="M7" i="15"/>
  <c r="O6" i="15"/>
  <c r="M6" i="15"/>
  <c r="M6" i="12"/>
  <c r="B5" i="12"/>
  <c r="L10" i="12"/>
  <c r="J10" i="12"/>
  <c r="M10" i="12"/>
  <c r="K10" i="12"/>
  <c r="K39" i="5"/>
  <c r="K38" i="5" s="1"/>
  <c r="M39" i="5"/>
  <c r="M38" i="5" s="1"/>
  <c r="J36" i="5"/>
  <c r="L36" i="5"/>
  <c r="K11" i="12"/>
  <c r="L23" i="12"/>
  <c r="J23" i="12"/>
  <c r="K12" i="5"/>
  <c r="L12" i="5"/>
  <c r="L10" i="5" s="1"/>
  <c r="M12" i="5"/>
  <c r="J12" i="5"/>
  <c r="K5" i="14"/>
  <c r="K9" i="14" s="1"/>
  <c r="M5" i="14"/>
  <c r="N7" i="15"/>
  <c r="L7" i="15"/>
  <c r="N4" i="15"/>
  <c r="L4" i="15"/>
  <c r="B21" i="16"/>
  <c r="D28" i="1" s="1"/>
  <c r="H3" i="15"/>
  <c r="D21" i="16" s="1"/>
  <c r="D29" i="1" s="1"/>
  <c r="K14" i="12"/>
  <c r="L14" i="12"/>
  <c r="M14" i="12"/>
  <c r="J14" i="12"/>
  <c r="M9" i="2"/>
  <c r="J9" i="2"/>
  <c r="K9" i="2"/>
  <c r="L9" i="2"/>
  <c r="D11" i="15"/>
  <c r="K33" i="5"/>
  <c r="M33" i="5"/>
  <c r="L8" i="5"/>
  <c r="J8" i="5"/>
  <c r="K8" i="5"/>
  <c r="M8" i="5"/>
  <c r="L6" i="12"/>
  <c r="J12" i="12"/>
  <c r="L12" i="12"/>
  <c r="L6" i="2"/>
  <c r="D8" i="2"/>
  <c r="D10" i="15"/>
  <c r="K24" i="12"/>
  <c r="M24" i="12"/>
  <c r="J6" i="14"/>
  <c r="L6" i="14"/>
  <c r="K7" i="5"/>
  <c r="M7" i="5"/>
  <c r="L7" i="5"/>
  <c r="J7" i="5"/>
  <c r="K36" i="5"/>
  <c r="M36" i="5"/>
  <c r="J11" i="12"/>
  <c r="L6" i="5"/>
  <c r="I17" i="5"/>
  <c r="F17" i="5"/>
  <c r="H17" i="5"/>
  <c r="J9" i="5"/>
  <c r="L9" i="5"/>
  <c r="K9" i="5"/>
  <c r="M9" i="5"/>
  <c r="J6" i="12"/>
  <c r="L5" i="15"/>
  <c r="M9" i="12"/>
  <c r="L9" i="12"/>
  <c r="J9" i="12"/>
  <c r="K9" i="12"/>
  <c r="J8" i="12"/>
  <c r="M8" i="12"/>
  <c r="K8" i="12"/>
  <c r="L8" i="12"/>
  <c r="D9" i="15"/>
  <c r="L5" i="2"/>
  <c r="M5" i="2"/>
  <c r="M11" i="2" s="1"/>
  <c r="J5" i="2"/>
  <c r="B11" i="2"/>
  <c r="K5" i="2"/>
  <c r="M34" i="5"/>
  <c r="K23" i="12"/>
  <c r="M23" i="12"/>
  <c r="J6" i="5"/>
  <c r="M35" i="5"/>
  <c r="K35" i="5"/>
  <c r="J39" i="5"/>
  <c r="J38" i="5" s="1"/>
  <c r="L39" i="5"/>
  <c r="L38" i="5" s="1"/>
  <c r="M37" i="5"/>
  <c r="K37" i="5"/>
  <c r="L22" i="12"/>
  <c r="L29" i="12" s="1"/>
  <c r="J22" i="12"/>
  <c r="F20" i="5"/>
  <c r="H20" i="5"/>
  <c r="I20" i="5"/>
  <c r="J5" i="5"/>
  <c r="K5" i="5"/>
  <c r="K4" i="5" s="1"/>
  <c r="K14" i="5" s="1"/>
  <c r="M5" i="5"/>
  <c r="M4" i="5" s="1"/>
  <c r="L5" i="5"/>
  <c r="B4" i="5"/>
  <c r="M6" i="14"/>
  <c r="L7" i="14"/>
  <c r="O4" i="15"/>
  <c r="M4" i="15"/>
  <c r="M26" i="12"/>
  <c r="K26" i="12"/>
  <c r="J33" i="5"/>
  <c r="B32" i="5"/>
  <c r="B41" i="5" s="1"/>
  <c r="B17" i="16" s="1"/>
  <c r="D25" i="1" s="1"/>
  <c r="H38" i="5"/>
  <c r="F38" i="5"/>
  <c r="I38" i="5"/>
  <c r="K7" i="14"/>
  <c r="M7" i="14"/>
  <c r="M9" i="14" s="1"/>
  <c r="I9" i="14" s="1"/>
  <c r="M5" i="15"/>
  <c r="M3" i="15" s="1"/>
  <c r="O5" i="15"/>
  <c r="O3" i="15" s="1"/>
  <c r="K3" i="15" s="1"/>
  <c r="K12" i="12"/>
  <c r="K5" i="12" s="1"/>
  <c r="J37" i="5"/>
  <c r="L37" i="5"/>
  <c r="J25" i="12"/>
  <c r="L25" i="12"/>
  <c r="M6" i="5"/>
  <c r="J34" i="5"/>
  <c r="L34" i="5"/>
  <c r="L32" i="5" s="1"/>
  <c r="H32" i="5" s="1"/>
  <c r="F32" i="5" s="1"/>
  <c r="N6" i="15"/>
  <c r="N3" i="15" s="1"/>
  <c r="J3" i="15" s="1"/>
  <c r="L6" i="15"/>
  <c r="B13" i="12"/>
  <c r="J15" i="12"/>
  <c r="L15" i="12"/>
  <c r="M15" i="12"/>
  <c r="M13" i="12" s="1"/>
  <c r="K15" i="12"/>
  <c r="M12" i="12"/>
  <c r="J9" i="14" l="1"/>
  <c r="K29" i="12"/>
  <c r="J29" i="12"/>
  <c r="H29" i="12"/>
  <c r="L5" i="12"/>
  <c r="F12" i="2"/>
  <c r="D10" i="16" s="1"/>
  <c r="D55" i="7" s="1"/>
  <c r="K17" i="12"/>
  <c r="K32" i="12" s="1"/>
  <c r="J32" i="5"/>
  <c r="L11" i="2"/>
  <c r="H11" i="2" s="1"/>
  <c r="D15" i="15"/>
  <c r="M5" i="12"/>
  <c r="M17" i="12" s="1"/>
  <c r="B33" i="7"/>
  <c r="H10" i="5"/>
  <c r="I10" i="5"/>
  <c r="F10" i="5"/>
  <c r="K13" i="12"/>
  <c r="I4" i="5"/>
  <c r="L9" i="15"/>
  <c r="N9" i="15"/>
  <c r="O9" i="15"/>
  <c r="D8" i="15"/>
  <c r="M9" i="15"/>
  <c r="L17" i="5"/>
  <c r="L41" i="5" s="1"/>
  <c r="H41" i="5" s="1"/>
  <c r="J17" i="5"/>
  <c r="O10" i="15"/>
  <c r="L10" i="15"/>
  <c r="L8" i="15" s="1"/>
  <c r="M10" i="15"/>
  <c r="M8" i="15" s="1"/>
  <c r="L3" i="15"/>
  <c r="L4" i="5"/>
  <c r="K8" i="2"/>
  <c r="M8" i="2"/>
  <c r="M12" i="2" s="1"/>
  <c r="I12" i="2" s="1"/>
  <c r="J8" i="2"/>
  <c r="L8" i="2"/>
  <c r="L12" i="2" s="1"/>
  <c r="M29" i="12"/>
  <c r="I29" i="12" s="1"/>
  <c r="F29" i="12" s="1"/>
  <c r="D12" i="16" s="1"/>
  <c r="J4" i="5"/>
  <c r="M32" i="5"/>
  <c r="M17" i="5"/>
  <c r="K17" i="5"/>
  <c r="J10" i="5"/>
  <c r="M20" i="5"/>
  <c r="K20" i="5"/>
  <c r="J5" i="12"/>
  <c r="J13" i="12"/>
  <c r="M10" i="5"/>
  <c r="M14" i="5" s="1"/>
  <c r="B14" i="5"/>
  <c r="H5" i="12"/>
  <c r="B17" i="12"/>
  <c r="I5" i="12"/>
  <c r="I13" i="12"/>
  <c r="F13" i="12"/>
  <c r="H13" i="12"/>
  <c r="L20" i="5"/>
  <c r="J20" i="5"/>
  <c r="I11" i="2"/>
  <c r="B9" i="16"/>
  <c r="L9" i="14"/>
  <c r="H9" i="14" s="1"/>
  <c r="F9" i="14" s="1"/>
  <c r="D28" i="16" s="1"/>
  <c r="C38" i="1" s="1"/>
  <c r="K32" i="5"/>
  <c r="N10" i="15"/>
  <c r="F5" i="12"/>
  <c r="N11" i="15"/>
  <c r="O11" i="15"/>
  <c r="L11" i="15"/>
  <c r="M11" i="15"/>
  <c r="L13" i="12"/>
  <c r="L17" i="12" l="1"/>
  <c r="L32" i="12" s="1"/>
  <c r="N8" i="15"/>
  <c r="J8" i="15" s="1"/>
  <c r="I14" i="5"/>
  <c r="D20" i="1"/>
  <c r="D72" i="7"/>
  <c r="H33" i="7"/>
  <c r="K33" i="7"/>
  <c r="G33" i="7" s="1"/>
  <c r="D33" i="7"/>
  <c r="J33" i="7"/>
  <c r="F33" i="7" s="1"/>
  <c r="I33" i="7"/>
  <c r="P33" i="7" s="1"/>
  <c r="O33" i="7"/>
  <c r="M33" i="7"/>
  <c r="O8" i="15"/>
  <c r="M32" i="12"/>
  <c r="O15" i="15"/>
  <c r="N15" i="15"/>
  <c r="M15" i="15"/>
  <c r="L15" i="15"/>
  <c r="J17" i="12"/>
  <c r="J32" i="12" s="1"/>
  <c r="I13" i="7"/>
  <c r="K13" i="7"/>
  <c r="K31" i="7"/>
  <c r="I70" i="7"/>
  <c r="G9" i="16"/>
  <c r="I31" i="7"/>
  <c r="K70" i="7"/>
  <c r="K27" i="7"/>
  <c r="I27" i="7"/>
  <c r="B32" i="12"/>
  <c r="B61" i="7"/>
  <c r="D14" i="15"/>
  <c r="H17" i="12"/>
  <c r="I17" i="12"/>
  <c r="B11" i="16"/>
  <c r="J11" i="2"/>
  <c r="J12" i="2"/>
  <c r="I55" i="7"/>
  <c r="G10" i="16"/>
  <c r="K55" i="7"/>
  <c r="H13" i="7"/>
  <c r="J31" i="7"/>
  <c r="H70" i="7"/>
  <c r="H27" i="7"/>
  <c r="F11" i="2"/>
  <c r="D9" i="16" s="1"/>
  <c r="J70" i="7"/>
  <c r="H31" i="7"/>
  <c r="J13" i="7"/>
  <c r="F9" i="16"/>
  <c r="J27" i="7"/>
  <c r="J41" i="5"/>
  <c r="K41" i="5"/>
  <c r="K43" i="5" s="1"/>
  <c r="K11" i="2"/>
  <c r="K12" i="2"/>
  <c r="B13" i="7"/>
  <c r="B55" i="7"/>
  <c r="B27" i="7"/>
  <c r="B25" i="7" s="1"/>
  <c r="B33" i="16" s="1"/>
  <c r="B70" i="7"/>
  <c r="B31" i="7"/>
  <c r="A16" i="1"/>
  <c r="J14" i="5"/>
  <c r="B43" i="5"/>
  <c r="B18" i="16" s="1"/>
  <c r="B16" i="16"/>
  <c r="H14" i="5"/>
  <c r="M41" i="5"/>
  <c r="I41" i="5" s="1"/>
  <c r="F41" i="5" s="1"/>
  <c r="D17" i="16" s="1"/>
  <c r="D26" i="1" s="1"/>
  <c r="H4" i="5"/>
  <c r="F4" i="5" s="1"/>
  <c r="L14" i="5"/>
  <c r="L43" i="5" s="1"/>
  <c r="H43" i="5" l="1"/>
  <c r="J59" i="7" s="1"/>
  <c r="J43" i="5"/>
  <c r="F18" i="16"/>
  <c r="J18" i="16" s="1"/>
  <c r="H59" i="7"/>
  <c r="D22" i="1"/>
  <c r="B72" i="7"/>
  <c r="I10" i="16"/>
  <c r="K10" i="16"/>
  <c r="M60" i="7"/>
  <c r="O60" i="7"/>
  <c r="D61" i="7"/>
  <c r="B59" i="7"/>
  <c r="B9" i="1"/>
  <c r="C22" i="1"/>
  <c r="I32" i="12"/>
  <c r="G14" i="16" s="1"/>
  <c r="B14" i="16"/>
  <c r="H32" i="12"/>
  <c r="F14" i="16" s="1"/>
  <c r="B13" i="16"/>
  <c r="I71" i="7"/>
  <c r="K71" i="7"/>
  <c r="D27" i="7"/>
  <c r="D31" i="7"/>
  <c r="D13" i="7"/>
  <c r="D70" i="7"/>
  <c r="K8" i="15"/>
  <c r="H8" i="15" s="1"/>
  <c r="N33" i="7"/>
  <c r="N69" i="7"/>
  <c r="O69" i="7"/>
  <c r="O31" i="7"/>
  <c r="N31" i="7"/>
  <c r="M31" i="7"/>
  <c r="P31" i="7"/>
  <c r="R34" i="7"/>
  <c r="B71" i="7"/>
  <c r="B68" i="7" s="1"/>
  <c r="B40" i="16" s="1"/>
  <c r="D16" i="1"/>
  <c r="H9" i="16"/>
  <c r="J9" i="16"/>
  <c r="H71" i="7"/>
  <c r="F17" i="12"/>
  <c r="D11" i="16" s="1"/>
  <c r="J71" i="7"/>
  <c r="K9" i="16"/>
  <c r="I9" i="16"/>
  <c r="M43" i="5"/>
  <c r="I43" i="5" s="1"/>
  <c r="F43" i="5" s="1"/>
  <c r="F14" i="5"/>
  <c r="D16" i="16" s="1"/>
  <c r="D23" i="1" s="1"/>
  <c r="J72" i="7"/>
  <c r="H72" i="7"/>
  <c r="O14" i="15"/>
  <c r="O13" i="15" s="1"/>
  <c r="O19" i="15" s="1"/>
  <c r="M14" i="15"/>
  <c r="M13" i="15" s="1"/>
  <c r="D13" i="15"/>
  <c r="N14" i="15"/>
  <c r="N13" i="15" s="1"/>
  <c r="L14" i="15"/>
  <c r="L13" i="15" s="1"/>
  <c r="I72" i="7"/>
  <c r="K72" i="7"/>
  <c r="H18" i="16"/>
  <c r="H20" i="16" l="1"/>
  <c r="F32" i="12"/>
  <c r="H13" i="16"/>
  <c r="H15" i="16" s="1"/>
  <c r="I13" i="16"/>
  <c r="I15" i="16" s="1"/>
  <c r="C16" i="1"/>
  <c r="K13" i="16"/>
  <c r="K15" i="16" s="1"/>
  <c r="E16" i="1"/>
  <c r="J13" i="16"/>
  <c r="J15" i="16" s="1"/>
  <c r="J14" i="16"/>
  <c r="J19" i="16" s="1"/>
  <c r="H14" i="16"/>
  <c r="L17" i="15"/>
  <c r="L19" i="15"/>
  <c r="K59" i="7"/>
  <c r="I59" i="7"/>
  <c r="G18" i="16"/>
  <c r="B15" i="16"/>
  <c r="D14" i="16"/>
  <c r="C17" i="1" s="1"/>
  <c r="B19" i="16"/>
  <c r="N17" i="15"/>
  <c r="N19" i="15"/>
  <c r="J13" i="15"/>
  <c r="K14" i="16"/>
  <c r="I14" i="16"/>
  <c r="M69" i="7"/>
  <c r="M17" i="15"/>
  <c r="M19" i="15"/>
  <c r="D19" i="15"/>
  <c r="B23" i="16" s="1"/>
  <c r="D17" i="15"/>
  <c r="B22" i="16" s="1"/>
  <c r="D31" i="1" s="1"/>
  <c r="H19" i="16"/>
  <c r="K13" i="15"/>
  <c r="D17" i="1"/>
  <c r="D71" i="7"/>
  <c r="O17" i="15"/>
  <c r="F15" i="16" l="1"/>
  <c r="J56" i="7" s="1"/>
  <c r="J53" i="7" s="1"/>
  <c r="F53" i="7" s="1"/>
  <c r="G15" i="16"/>
  <c r="I56" i="7" s="1"/>
  <c r="I53" i="7" s="1"/>
  <c r="J19" i="15"/>
  <c r="J60" i="7" s="1"/>
  <c r="D15" i="16"/>
  <c r="I18" i="16"/>
  <c r="I20" i="16" s="1"/>
  <c r="K18" i="16"/>
  <c r="K19" i="16" s="1"/>
  <c r="D18" i="16"/>
  <c r="C23" i="1" s="1"/>
  <c r="B56" i="7"/>
  <c r="B53" i="7" s="1"/>
  <c r="B38" i="16" s="1"/>
  <c r="E22" i="1"/>
  <c r="B60" i="7"/>
  <c r="B28" i="7"/>
  <c r="C28" i="1"/>
  <c r="B10" i="1"/>
  <c r="B34" i="7"/>
  <c r="H13" i="15"/>
  <c r="K17" i="15"/>
  <c r="J17" i="15"/>
  <c r="T68" i="7"/>
  <c r="I68" i="7" s="1"/>
  <c r="S68" i="7"/>
  <c r="H68" i="7" s="1"/>
  <c r="V68" i="7"/>
  <c r="K68" i="7" s="1"/>
  <c r="G68" i="7" s="1"/>
  <c r="U68" i="7"/>
  <c r="J68" i="7" s="1"/>
  <c r="F68" i="7" s="1"/>
  <c r="D68" i="7" s="1"/>
  <c r="D40" i="16" s="1"/>
  <c r="B20" i="16"/>
  <c r="B16" i="1"/>
  <c r="B8" i="1"/>
  <c r="K19" i="15"/>
  <c r="H19" i="15" s="1"/>
  <c r="J20" i="16"/>
  <c r="F19" i="16"/>
  <c r="H34" i="7" l="1"/>
  <c r="O34" i="7" s="1"/>
  <c r="I19" i="16"/>
  <c r="H56" i="7"/>
  <c r="H53" i="7" s="1"/>
  <c r="K56" i="7"/>
  <c r="K53" i="7" s="1"/>
  <c r="G53" i="7" s="1"/>
  <c r="F23" i="16"/>
  <c r="J34" i="7"/>
  <c r="H60" i="7"/>
  <c r="H28" i="7"/>
  <c r="H25" i="7" s="1"/>
  <c r="J28" i="7"/>
  <c r="J25" i="7" s="1"/>
  <c r="F25" i="7" s="1"/>
  <c r="K60" i="7"/>
  <c r="I28" i="7"/>
  <c r="I25" i="7" s="1"/>
  <c r="G23" i="16"/>
  <c r="I34" i="7"/>
  <c r="K28" i="7"/>
  <c r="K25" i="7" s="1"/>
  <c r="G25" i="7" s="1"/>
  <c r="D25" i="7" s="1"/>
  <c r="D33" i="16" s="1"/>
  <c r="K34" i="7"/>
  <c r="I60" i="7"/>
  <c r="R33" i="7"/>
  <c r="R32" i="7"/>
  <c r="B29" i="7"/>
  <c r="B34" i="16" s="1"/>
  <c r="R31" i="7"/>
  <c r="G19" i="16"/>
  <c r="D19" i="16" s="1"/>
  <c r="B17" i="1" s="1"/>
  <c r="K20" i="16"/>
  <c r="G20" i="16" s="1"/>
  <c r="H17" i="15"/>
  <c r="D22" i="16" s="1"/>
  <c r="B28" i="1"/>
  <c r="B24" i="16"/>
  <c r="B23" i="7"/>
  <c r="B18" i="7"/>
  <c r="B16" i="7" s="1"/>
  <c r="B32" i="16" s="1"/>
  <c r="D53" i="7"/>
  <c r="D38" i="16" s="1"/>
  <c r="F20" i="16"/>
  <c r="N60" i="7"/>
  <c r="D56" i="7"/>
  <c r="E23" i="1"/>
  <c r="M34" i="7" l="1"/>
  <c r="J23" i="16"/>
  <c r="J24" i="16" s="1"/>
  <c r="F24" i="16" s="1"/>
  <c r="H14" i="7" s="1"/>
  <c r="H11" i="7" s="1"/>
  <c r="H23" i="16"/>
  <c r="H24" i="16" s="1"/>
  <c r="J23" i="7"/>
  <c r="J21" i="7" s="1"/>
  <c r="H18" i="7"/>
  <c r="H16" i="7" s="1"/>
  <c r="H23" i="7"/>
  <c r="H21" i="7" s="1"/>
  <c r="J18" i="7"/>
  <c r="J16" i="7" s="1"/>
  <c r="F16" i="7" s="1"/>
  <c r="D59" i="7"/>
  <c r="D32" i="1"/>
  <c r="K18" i="7"/>
  <c r="K16" i="7" s="1"/>
  <c r="I23" i="7"/>
  <c r="I21" i="7" s="1"/>
  <c r="K23" i="7"/>
  <c r="K21" i="7" s="1"/>
  <c r="G21" i="7" s="1"/>
  <c r="I18" i="7"/>
  <c r="I16" i="7" s="1"/>
  <c r="D20" i="16"/>
  <c r="P34" i="7"/>
  <c r="P29" i="7" s="1"/>
  <c r="K29" i="7" s="1"/>
  <c r="G29" i="7" s="1"/>
  <c r="N34" i="7"/>
  <c r="N29" i="7" s="1"/>
  <c r="I29" i="7" s="1"/>
  <c r="M29" i="7"/>
  <c r="H29" i="7" s="1"/>
  <c r="D23" i="16"/>
  <c r="I23" i="16"/>
  <c r="I24" i="16" s="1"/>
  <c r="K23" i="16"/>
  <c r="K24" i="16" s="1"/>
  <c r="G24" i="16" s="1"/>
  <c r="I37" i="7" s="1"/>
  <c r="I35" i="7" s="1"/>
  <c r="B14" i="7"/>
  <c r="B11" i="7" s="1"/>
  <c r="B30" i="16" s="1"/>
  <c r="C34" i="1"/>
  <c r="B42" i="7"/>
  <c r="B40" i="7" s="1"/>
  <c r="B62" i="7"/>
  <c r="B11" i="1"/>
  <c r="B37" i="7"/>
  <c r="O29" i="7"/>
  <c r="J29" i="7" s="1"/>
  <c r="F29" i="7" s="1"/>
  <c r="D24" i="16"/>
  <c r="D42" i="7" s="1"/>
  <c r="K37" i="7" l="1"/>
  <c r="K35" i="7" s="1"/>
  <c r="G35" i="7" s="1"/>
  <c r="I14" i="7"/>
  <c r="I11" i="7" s="1"/>
  <c r="K14" i="7"/>
  <c r="K11" i="7" s="1"/>
  <c r="G11" i="7" s="1"/>
  <c r="D11" i="7" s="1"/>
  <c r="D30" i="16" s="1"/>
  <c r="K42" i="7"/>
  <c r="K40" i="7" s="1"/>
  <c r="G40" i="7" s="1"/>
  <c r="I42" i="7"/>
  <c r="I40" i="7" s="1"/>
  <c r="I47" i="7" s="1"/>
  <c r="D14" i="7"/>
  <c r="J62" i="7"/>
  <c r="H42" i="7"/>
  <c r="H40" i="7" s="1"/>
  <c r="H47" i="7" s="1"/>
  <c r="J14" i="7"/>
  <c r="J11" i="7" s="1"/>
  <c r="F11" i="7" s="1"/>
  <c r="H37" i="7"/>
  <c r="H35" i="7" s="1"/>
  <c r="J42" i="7"/>
  <c r="J40" i="7" s="1"/>
  <c r="J47" i="7" s="1"/>
  <c r="K62" i="7"/>
  <c r="H62" i="7"/>
  <c r="J37" i="7"/>
  <c r="J35" i="7" s="1"/>
  <c r="F35" i="7" s="1"/>
  <c r="I62" i="7"/>
  <c r="D29" i="7"/>
  <c r="D34" i="16" s="1"/>
  <c r="C29" i="1"/>
  <c r="D28" i="7"/>
  <c r="D34" i="7"/>
  <c r="D60" i="7"/>
  <c r="D35" i="7"/>
  <c r="D35" i="16" s="1"/>
  <c r="R60" i="7"/>
  <c r="P60" i="7"/>
  <c r="B57" i="7"/>
  <c r="B39" i="16" s="1"/>
  <c r="D40" i="7"/>
  <c r="D47" i="7" s="1"/>
  <c r="B29" i="1"/>
  <c r="D23" i="7"/>
  <c r="D18" i="7"/>
  <c r="F21" i="7"/>
  <c r="D21" i="7" s="1"/>
  <c r="D31" i="16" s="1"/>
  <c r="B36" i="16"/>
  <c r="B45" i="7"/>
  <c r="B37" i="16" s="1"/>
  <c r="B47" i="7"/>
  <c r="G16" i="7"/>
  <c r="D16" i="7" s="1"/>
  <c r="D32" i="16" s="1"/>
  <c r="D62" i="7"/>
  <c r="C35" i="1"/>
  <c r="D37" i="7"/>
  <c r="K47" i="7" l="1"/>
  <c r="F40" i="7"/>
  <c r="S59" i="7"/>
  <c r="H57" i="7" s="1"/>
  <c r="U59" i="7"/>
  <c r="J57" i="7" s="1"/>
  <c r="F57" i="7" s="1"/>
  <c r="T59" i="7"/>
  <c r="I57" i="7" s="1"/>
  <c r="O48" i="7"/>
  <c r="P48" i="7"/>
  <c r="M48" i="7"/>
  <c r="N48" i="7"/>
  <c r="V59" i="7"/>
  <c r="K57" i="7" s="1"/>
  <c r="G57" i="7" s="1"/>
  <c r="D57" i="7" s="1"/>
  <c r="D39" i="16" s="1"/>
  <c r="D36" i="16"/>
  <c r="S48" i="7" l="1"/>
  <c r="H45" i="7" s="1"/>
  <c r="T48" i="7"/>
  <c r="I45" i="7" s="1"/>
  <c r="U48" i="7"/>
  <c r="J45" i="7" s="1"/>
  <c r="F45" i="7" s="1"/>
  <c r="V48" i="7"/>
  <c r="K45" i="7" s="1"/>
  <c r="G45" i="7" s="1"/>
  <c r="D45" i="7" s="1"/>
  <c r="D3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Helena Alegre</author>
  </authors>
  <commentList>
    <comment ref="F8" authorId="0" shapeId="0" xr:uid="{00000000-0006-0000-0600-000001000000}">
      <text>
        <r>
          <rPr>
            <sz val="8"/>
            <color indexed="81"/>
            <rFont val="Tahoma"/>
            <family val="2"/>
          </rPr>
          <t>Admite-se que a exactidão entre o valor da coluna B e o valor facturado por terceiros está sempre na gama 0-5%</t>
        </r>
      </text>
    </comment>
  </commentList>
</comments>
</file>

<file path=xl/sharedStrings.xml><?xml version="1.0" encoding="utf-8"?>
<sst xmlns="http://schemas.openxmlformats.org/spreadsheetml/2006/main" count="1609" uniqueCount="1068">
  <si>
    <t>G58 - Custo unitário assumido das perdas reais</t>
  </si>
  <si>
    <t>Erro Linear</t>
  </si>
  <si>
    <t>Erro quadrático</t>
  </si>
  <si>
    <t>Nome do responsável pelo balanço hídrico</t>
  </si>
  <si>
    <t>Dados complementares do balanço hídrico necessários ao cálculo dos indicadores de perdas</t>
  </si>
  <si>
    <t>© LNEC, 2004</t>
  </si>
  <si>
    <r>
      <t>e</t>
    </r>
    <r>
      <rPr>
        <vertAlign val="subscript"/>
        <sz val="8"/>
        <rFont val="Arial"/>
        <family val="2"/>
      </rPr>
      <t>min</t>
    </r>
    <r>
      <rPr>
        <sz val="8"/>
        <rFont val="Arial"/>
        <family val="2"/>
      </rPr>
      <t>.</t>
    </r>
  </si>
  <si>
    <r>
      <t>e</t>
    </r>
    <r>
      <rPr>
        <vertAlign val="subscript"/>
        <sz val="8"/>
        <rFont val="Arial"/>
        <family val="2"/>
      </rPr>
      <t>mín</t>
    </r>
    <r>
      <rPr>
        <sz val="8"/>
        <rFont val="Arial"/>
        <family val="2"/>
      </rPr>
      <t>.</t>
    </r>
  </si>
  <si>
    <t>Valor</t>
  </si>
  <si>
    <t>s(c8)</t>
  </si>
  <si>
    <t>s(c24)</t>
  </si>
  <si>
    <t>s(c25)</t>
  </si>
  <si>
    <t>s(op17)</t>
  </si>
  <si>
    <t>s(d34)</t>
  </si>
  <si>
    <t>s(a13)</t>
  </si>
  <si>
    <t>s(g57)</t>
  </si>
  <si>
    <t>s(a18)</t>
  </si>
  <si>
    <t>s(g5)</t>
  </si>
  <si>
    <t>s(a19)</t>
  </si>
  <si>
    <t>s(g58)</t>
  </si>
  <si>
    <t>s(a3)</t>
  </si>
  <si>
    <t>s(a8)</t>
  </si>
  <si>
    <t>s(a11)</t>
  </si>
  <si>
    <t>Op28 = A19 x 1000 / (C8 x H2 x 365 / 24) (válido para sistemas de produção e adução)</t>
  </si>
  <si>
    <t xml:space="preserve">   Área irrigada</t>
  </si>
  <si>
    <r>
      <t>m</t>
    </r>
    <r>
      <rPr>
        <vertAlign val="superscript"/>
        <sz val="10"/>
        <rFont val="Arial"/>
        <family val="2"/>
      </rPr>
      <t>2</t>
    </r>
  </si>
  <si>
    <t xml:space="preserve">   Número de meses de rega por ano</t>
  </si>
  <si>
    <t>meses/ano</t>
  </si>
  <si>
    <t xml:space="preserve">  Combate a incêndio</t>
  </si>
  <si>
    <t>Definição dos limites exactos do sistema (ou sector de rede) a auditar; definição das datas de referência (um ano).</t>
  </si>
  <si>
    <t>Indicador de água não medida</t>
  </si>
  <si>
    <t xml:space="preserve">  Outros consumos facturados medidos</t>
  </si>
  <si>
    <t>Outros consumos autorizados não facturados não medidos</t>
  </si>
  <si>
    <t>n.º/dia</t>
  </si>
  <si>
    <t>Dados baseados em estimativas ou extrapolações a partir de uma amostra limitada, mas com algumas falhas não significativas nos dados, tais como parte da documentação estar em falta, os cálculos serem antigos, ou ter-se confiado em registos não confirmados, ou ainda terem-se incluído alguns dados por extrapolação.</t>
  </si>
  <si>
    <t>Observações</t>
  </si>
  <si>
    <t xml:space="preserve">  Consumo relativo a utilização fraudulenta de marcos e bocas de incêndio e de rega</t>
  </si>
  <si>
    <t>Op29 = Op27 / (18 x C8 / C24 + 0,8 + 0,025 x C25) / (D34/10)</t>
  </si>
  <si>
    <t>Volume facturado por estimativa relativo a:</t>
  </si>
  <si>
    <t xml:space="preserve">  Consumo doméstico, comercial e de serviços de clientes sem contador</t>
  </si>
  <si>
    <t xml:space="preserve">  Consumo para rega de espaços verdes</t>
  </si>
  <si>
    <t xml:space="preserve">  Consumo para lavagem de ruas</t>
  </si>
  <si>
    <t xml:space="preserve">  Consumo em marcos e bocas de incêndio </t>
  </si>
  <si>
    <t xml:space="preserve">  Outros consumos facturados não medidos</t>
  </si>
  <si>
    <t>Estimativa dos erros sistemáticos do consumo autorizado</t>
  </si>
  <si>
    <t>Estimativa dos erros sistemáticos da água entrada no sistema</t>
  </si>
  <si>
    <t xml:space="preserve">  Estimativa do erro sistemático da micro-medição (erro do contador, da leitura e do registo)</t>
  </si>
  <si>
    <t xml:space="preserve">  Estimativa do erro sistemático da água autorizada não medida</t>
  </si>
  <si>
    <t xml:space="preserve"> 0-5%</t>
  </si>
  <si>
    <t>Água facturada (contabilização em termos económico-financeiros)</t>
  </si>
  <si>
    <t>-</t>
  </si>
  <si>
    <t>Consumo autorizado facturado (contabilização em termos operacionais)</t>
  </si>
  <si>
    <t xml:space="preserve">Água captada </t>
  </si>
  <si>
    <t>Água importada (tratada ou não tratada) não facturada por terceiros</t>
  </si>
  <si>
    <t>Água entrada no sistema                (contabilização em termos operacionais)</t>
  </si>
  <si>
    <t xml:space="preserve">                                     (contabilização em termos económico-financeiros)</t>
  </si>
  <si>
    <t>Bandas de exactidão</t>
  </si>
  <si>
    <t>Comprimento médio dos ramais prediais (entre o limite de propriedade e o contador)</t>
  </si>
  <si>
    <t>0-5%</t>
  </si>
  <si>
    <t xml:space="preserve">  Consumo de comércio e de serviços</t>
  </si>
  <si>
    <t>C25 - Comprimento médio dos ramais prediais</t>
  </si>
  <si>
    <t xml:space="preserve">(contabilização em termos económico-financeiros) </t>
  </si>
  <si>
    <t>s(a5)</t>
  </si>
  <si>
    <t>s(a7)</t>
  </si>
  <si>
    <t xml:space="preserve">A3 - Água entrada no sistema </t>
  </si>
  <si>
    <t xml:space="preserve">A8 - Consumo facturado medido </t>
  </si>
  <si>
    <t>A11 - Consumo não facturado medido</t>
  </si>
  <si>
    <t>m3/ano</t>
  </si>
  <si>
    <t>101-300%</t>
  </si>
  <si>
    <t>21-50%</t>
  </si>
  <si>
    <t>Português</t>
  </si>
  <si>
    <r>
      <t>COMPONENTES DO BALANÇO HÍDRICO (m</t>
    </r>
    <r>
      <rPr>
        <vertAlign val="superscript"/>
        <sz val="10"/>
        <rFont val="Arial"/>
        <family val="2"/>
      </rPr>
      <t>3</t>
    </r>
    <r>
      <rPr>
        <sz val="10"/>
        <rFont val="Arial"/>
        <family val="2"/>
      </rPr>
      <t xml:space="preserve">/ano) </t>
    </r>
  </si>
  <si>
    <t>English</t>
  </si>
  <si>
    <t>lps</t>
  </si>
  <si>
    <t>cu.m/h</t>
  </si>
  <si>
    <t>lpd</t>
  </si>
  <si>
    <t>cu.m/day</t>
  </si>
  <si>
    <t>cu.m/month</t>
  </si>
  <si>
    <r>
      <t>cu.m</t>
    </r>
    <r>
      <rPr>
        <sz val="10"/>
        <rFont val="Arial"/>
        <family val="2"/>
      </rPr>
      <t>/year</t>
    </r>
  </si>
  <si>
    <t xml:space="preserve">/ Escolha o idioma </t>
  </si>
  <si>
    <t>l/km/day</t>
  </si>
  <si>
    <t>hours/day</t>
  </si>
  <si>
    <t>€/year</t>
  </si>
  <si>
    <t>days</t>
  </si>
  <si>
    <t xml:space="preserve">Período: </t>
  </si>
  <si>
    <t xml:space="preserve">Period: </t>
  </si>
  <si>
    <t>Choose units</t>
  </si>
  <si>
    <t>Escolha unidades</t>
  </si>
  <si>
    <t>Value</t>
  </si>
  <si>
    <t>Units</t>
  </si>
  <si>
    <t>Período</t>
  </si>
  <si>
    <t>Period</t>
  </si>
  <si>
    <t>C9 a C28</t>
  </si>
  <si>
    <t>C31</t>
  </si>
  <si>
    <t>C32</t>
  </si>
  <si>
    <t>m3/ramal/ano</t>
  </si>
  <si>
    <r>
      <t>m</t>
    </r>
    <r>
      <rPr>
        <vertAlign val="superscript"/>
        <sz val="10"/>
        <rFont val="Arial"/>
        <family val="2"/>
      </rPr>
      <t>3</t>
    </r>
    <r>
      <rPr>
        <sz val="10"/>
        <rFont val="Arial"/>
        <family val="2"/>
      </rPr>
      <t>/km/dia</t>
    </r>
  </si>
  <si>
    <t>C35</t>
  </si>
  <si>
    <t>C36</t>
  </si>
  <si>
    <t>C39 e C44</t>
  </si>
  <si>
    <t>C20</t>
  </si>
  <si>
    <t>C64</t>
  </si>
  <si>
    <t>Perdas de água por comprimento de conduta</t>
  </si>
  <si>
    <t>C18</t>
  </si>
  <si>
    <t>D16_B18</t>
  </si>
  <si>
    <t>E18</t>
  </si>
  <si>
    <t>F18</t>
  </si>
  <si>
    <t>G18_G3</t>
  </si>
  <si>
    <t>D17</t>
  </si>
  <si>
    <t>C24</t>
  </si>
  <si>
    <t>C25</t>
  </si>
  <si>
    <t>C26</t>
  </si>
  <si>
    <t>Água entrada no sistema                                            (contabilização em termos operacionais)</t>
  </si>
  <si>
    <t xml:space="preserve">                                                                      (contabilização em termos económico-financeiros)</t>
  </si>
  <si>
    <t>(contabilização em termos operacionais)</t>
  </si>
  <si>
    <t>(contabilização em termos económico-financeiros)</t>
  </si>
  <si>
    <t>51-100%</t>
  </si>
  <si>
    <t>Versão: 2.04 (Outubro de 2006)</t>
  </si>
  <si>
    <t>Version: 2.04 (October 2006)</t>
  </si>
  <si>
    <t>Versión: 2.04 (octubre de 2006)</t>
  </si>
  <si>
    <t xml:space="preserve">Although it is not a water losses indicator, the unmetered water PI is crucial in the context of water losses control. It provides information on the part of the system input volume that accounted for as metered consumption, regardless of being billed or not. The accuracy of the water balance components greatly depends on this factor.   </t>
  </si>
  <si>
    <t>Adapt listing to the existing consumer categorisation.</t>
  </si>
  <si>
    <t xml:space="preserve">Positive or negative values are valid. </t>
  </si>
  <si>
    <t xml:space="preserve">Specify other types of iligal consumption, if appropriate. </t>
  </si>
  <si>
    <t>Estimate of the systematic errors of the authorised consumption</t>
  </si>
  <si>
    <t>Estimate of the systematic errors of the system input volume</t>
  </si>
  <si>
    <t xml:space="preserve">  Estimate of the systemtic error of the unmetered authorised water</t>
  </si>
  <si>
    <t>For transmission and distribution systems, use the average tariff for exported water.</t>
  </si>
  <si>
    <t>Street cleaning consumption (unbilled unmetered authorised)</t>
  </si>
  <si>
    <t>Fire fighting consumption (unbilled unmetered authorised)</t>
  </si>
  <si>
    <t>Watering of gardens consumption (unbilled unmetered authorised consumption)</t>
  </si>
  <si>
    <t xml:space="preserve">  Street cleaning consumption</t>
  </si>
  <si>
    <t xml:space="preserve">  Watering of gardens consumption</t>
  </si>
  <si>
    <t xml:space="preserve">  Fire fighting</t>
  </si>
  <si>
    <t xml:space="preserve">  Consumo próprio da entidade (metered)</t>
  </si>
  <si>
    <t>As perdas reais constituem o fecho do ciclo de cálculo do balanço hídrico. Por um lado, são calculadas como a diferença entre as perdas totais e as perdas aparentes. Por outro, podem ser também avaliadas do modo apresentado nesta folha de cálculo. Da comparação entre os dois valores se concluirá sobre a necessidade de melhorar a qualidade de alguns dos dados ou de alterar estimativas de modo a que o resultado global seja coerente e mais próximo da realidade.</t>
  </si>
  <si>
    <t xml:space="preserve">Water balance and water losses indicators </t>
  </si>
  <si>
    <t>Water audits</t>
  </si>
  <si>
    <t>Assessment period:</t>
  </si>
  <si>
    <t>Período de análisis:</t>
  </si>
  <si>
    <t>Español</t>
  </si>
  <si>
    <t>Accuracy band</t>
  </si>
  <si>
    <t xml:space="preserve">                                     (point of view: economics)</t>
  </si>
  <si>
    <t>Revenue water (point of view: operational)</t>
  </si>
  <si>
    <t>Billed authorised consumption (point of view: economics)</t>
  </si>
  <si>
    <t>Op25 = A18 / (A3-A5-A7) x 100 (applicable to distribution systems)</t>
  </si>
  <si>
    <t>Op28 = A19 x 1000 / (C8 x H2 x 365 / 24) (applicable to bulk supply systems)</t>
  </si>
  <si>
    <t>Op26 = A18 / A3 x 100 (applicable to bulk supply systems)</t>
  </si>
  <si>
    <t>System input data</t>
  </si>
  <si>
    <t>Água importada (tratada ou não tratada) facturada por terceiros                  (contab. em termos operac.)</t>
  </si>
  <si>
    <t>Value
(cu.m/year)</t>
  </si>
  <si>
    <t>APARENT LOSSES (cu.m/year)</t>
  </si>
  <si>
    <t xml:space="preserve">  Water abstracted (cu.m)</t>
  </si>
  <si>
    <t>System input volume     (point of view: operational)</t>
  </si>
  <si>
    <t>Consumo facturado</t>
  </si>
  <si>
    <t>Billed consumption</t>
  </si>
  <si>
    <t>Op24 = (A15 / 365) / C8 (applicable to bulk supply systems)</t>
  </si>
  <si>
    <t>Op23 = (A15 x 365 / H1) / C24 (applicable to distribution systems)</t>
  </si>
  <si>
    <t>Cálculo del balance hídrico y de los indicadores de pérdidas de agua</t>
  </si>
  <si>
    <t>Auditorías de pérdidas de agua</t>
  </si>
  <si>
    <t>Instrucciones:</t>
  </si>
  <si>
    <t>Esta aplicación es parte del manual "Control de pérdidas de agua en sistemas públicos de aducción y distribución", (IRAR, LNEC e INAG, 2005). Fue desarrollada por LNEC (Alegre, 2004) y está destinado al cálculo de los componentes del balance hídrico y de los indicadores de gestión recomendados por la Asociación Internacional del Agua (IWA, por sus siglas en inglés). Se recomienda encarecidamente que esta aplicación sea usada en conjunto con el manual citado, particularmente en su capítulo 5. 
Esta aplicación se encuentra disponible de manera gratuita en los sitios web de IRAR - Instituto Regulador de Aguas y Residuos (www.irar.pt) y del LNEC - Laboratorio Nacional de Ingeniería Civil, Núcleo de Ingeniería Saniraria (www.dha.lnec.pt/portugues/actividade.html).
Se recomienda además visitar periódicamente estos sitios con el fín de verificar si existen nuevas versiones.</t>
  </si>
  <si>
    <t>La ejecución de macros debe estar habilitada (Herramientas&gt;macro&gt;seguridad, seleccionar en la ventana "nivel de seguridad" la opción "medio" . Cerrar MS Excel, abrirlo de nuevo, y seleccionar "habilitar macros" en la ventana que aparece automáticamente).</t>
  </si>
  <si>
    <t xml:space="preserve">The use of this application requires that the concepts of reliability and accuracy.
Reliability (of the data source): The reliability of the source accounts for uncertainties in how reliable the source of the data may be, i.e., the extent to which the data source yields consistent, stable, and uniform results over repeated observations or measurements under the same conditions each time (see reliability bands in the worksheet "Configuration options").
Accuracy (of the measurement): the accuracy accounts for measurement errors in the acquisition of input data, i.e., the closeness of observations, computations or estimates to the true value as accepted as being true. Accuracy relates to the exactness of the result, and is distinguished from precision which relates to the exactness of the operation by which the result was obtained.
In this application, uncertainty associated to random errors (positive or negative) shall be considered separately from systematic errors, such as systematic under or over metering. In column "Accuracy", which appears in every data input worksheet, only the uncertainty related to the non-systematic random errors shall be considered. Systematic errors accounted for as apparent losses and specified in the worksheet "(5) Input".     </t>
  </si>
  <si>
    <t>Estimate of any unbilled unmetered consumption from residential and businesses uses (unbilled unmetered authorised consumption)</t>
  </si>
  <si>
    <t xml:space="preserve">   Irrigated area</t>
  </si>
  <si>
    <t xml:space="preserve">   Number of months of irrigation per year</t>
  </si>
  <si>
    <t xml:space="preserve">   Number of auto-tank fillings per day   </t>
  </si>
  <si>
    <t xml:space="preserve">   Average autotank capacity</t>
  </si>
  <si>
    <t xml:space="preserve">   Street cleaning period (number of days per year)</t>
  </si>
  <si>
    <t xml:space="preserve">   Number of days per year when autotanks are filled up</t>
  </si>
  <si>
    <t>Unmetered undertaking self consumption</t>
  </si>
  <si>
    <t xml:space="preserve">   Treatment processes consumption (reused water excluded)</t>
  </si>
  <si>
    <t xml:space="preserve">   Mains and service reservoir washing consumption</t>
  </si>
  <si>
    <t xml:space="preserve">  Water transferred to other systems of the same undertaking </t>
  </si>
  <si>
    <t xml:space="preserve">Para a utilização desta aplicação é necessário atender aos conceitos de fiabilidade e de exactidão.
Fiabilidade (dos dados): é uma medida da credibilidade dos dados em função da forma como são obtidos e registados ver classes de fiabilidade na folha "Opções de configuração".
Exactidão (da medição) é a aproximação entre o resultado da medição e o valor (convencionalmente) verdadeiro da grandeza medida. Nesta aplicação devem ser especificados separadamente a incerteza decorrente de erros aleatórios (que podem ser positivos ou negativos com igual probabilidade de ocorrência) dos erros sistemáticos (tais como submedição ou sobremedição sistemática de alguns medidores de caudal. Na coluna "Exactidão" que aparece nas diversas folhas de introdução de dados devem ser incluídos exclusivamente os erros não sistemáticos. Os erros sistemáticos são contabilizados como perdas aparentes e devem ser especificados da folha correspondente ("Perdas aparentes").   </t>
  </si>
  <si>
    <t>Opções de cálculo da banda de exactidão dos resultados</t>
  </si>
  <si>
    <t xml:space="preserve">Incerteza </t>
  </si>
  <si>
    <t xml:space="preserve">Accuracy </t>
  </si>
  <si>
    <t>m3/mês</t>
  </si>
  <si>
    <t xml:space="preserve">  Water transferred to other undertakings </t>
  </si>
  <si>
    <t xml:space="preserve">         Esta aplicação constitui parte integrante do manual "Controlo de perdas de água em sistemas públicos de adução e distribuição", (IRAR, LNEC e INAG, 2005), foi desenvolvida pelo LNEC (Alegre, 2004) e destina-se ao cálculo do balanço hídrico e dos indicadores de perdas recomendados pela Associação Internacional da Água (IWA).  A sua utilização deve ser feita com base na consulta do referido manual, em particular do Capítulo 5. 
         Encontra-se disponível gratuitamente no sítio do Instituto Regulador de Águas e Resíduos (www.irar.pt) e no sítio do Laboratório Nacional de Engenharia Civil, Núcleo de Engenharia Sanitária (www.dha.lnec.pt/nes/portugues/actividade.html). 
         Recomenda-se a consulta periódica destes sítios para verificação de disponibilidade de novas versões.  </t>
  </si>
  <si>
    <t>Instruc.                        -   Instructions</t>
  </si>
  <si>
    <t>Valorar los componentes de las pérdidas reales en Input (6) mediante los mejores medios disponibles (análisi de flujos nocturnos, frecuencia de roturas/caudales/cálculo de la duración/modelación, etc.); la suma automática de estos volúmenes debe ser cotejadas con el volúmen de las pérdidas reales calculado en el paso 8.</t>
  </si>
  <si>
    <t>Indicadores de pérdidas de agua</t>
  </si>
  <si>
    <t>Una vez calculado el balance hídrico, es posible calcular los principales indicadores de pérdidas. La Asociación Internacional del Agua recomienda los siguientes:</t>
  </si>
  <si>
    <t>Indicadores de recursos hídircos</t>
  </si>
  <si>
    <t>Ineficiencia en el uso de los recursos hídricos (%).</t>
  </si>
  <si>
    <t>Indicadores operativos</t>
  </si>
  <si>
    <t>Pérdidas de agua por unidad de longitud de tuberías principales (cu.m/km/día) (aplicable a la mayor parte de los sistemas de abastecimiento).</t>
  </si>
  <si>
    <t>Pérdidas de agua por acometida (cu.m/acometida de servicio/año) (aplicable a sistemas de distribución).</t>
  </si>
  <si>
    <t>Pérdidas aparentes por longitud de tubería principal (%) (aplicable a la mayor parte de los sistemas de abastecimiento).</t>
  </si>
  <si>
    <t>Pérdidas aparentes (%) (aplicable a los sistemas de distribución).</t>
  </si>
  <si>
    <t>Pérdidas reales por unidad de longitud de tubería principal (l/km/día cuando el sistema está presurizado) (aplicable a la mayoría de los sistemas de abastecimiento).</t>
  </si>
  <si>
    <t>Pérdidas reales por acometida (l/acometida/día cuando el sistema está presurizado) (aplicable a sistemas de distribución).</t>
  </si>
  <si>
    <t>Índice de Fugas Infraestructural (-)</t>
  </si>
  <si>
    <t>Indicadores financieros</t>
  </si>
  <si>
    <t>Agua no facturada por volúmen (%)</t>
  </si>
  <si>
    <t>Agua no facturada por coste (%)</t>
  </si>
  <si>
    <t>Indicador de agua no medida</t>
  </si>
  <si>
    <t>Aunque no es un indicador de pérdidas, el indicador de agua no medida es crucial en el contexto del control de pérdidas de agua, por brindar una noción de la cantidad de agua ingresada al sistema que es contabilizada como consumo medido, independientemente de ser o no un consumo facturado. La exactitud de los componentes del balance hídrico depende en gran medida de este factor.</t>
  </si>
  <si>
    <t>Indicador operativo</t>
  </si>
  <si>
    <t>Agua no medida (%)</t>
  </si>
  <si>
    <t>Paso 0:</t>
  </si>
  <si>
    <t>Paso 1:</t>
  </si>
  <si>
    <t>Paso 2:</t>
  </si>
  <si>
    <t>Paso 3:</t>
  </si>
  <si>
    <t>Paso 4:</t>
  </si>
  <si>
    <t>Paso 5:</t>
  </si>
  <si>
    <t>Paso 6:</t>
  </si>
  <si>
    <t>Paso 7:</t>
  </si>
  <si>
    <t>Paso 8:</t>
  </si>
  <si>
    <t>Paso 9:</t>
  </si>
  <si>
    <r>
      <t>m</t>
    </r>
    <r>
      <rPr>
        <vertAlign val="superscript"/>
        <sz val="10"/>
        <rFont val="Arial"/>
        <family val="2"/>
      </rPr>
      <t>3</t>
    </r>
    <r>
      <rPr>
        <sz val="10"/>
        <rFont val="Arial"/>
        <family val="2"/>
      </rPr>
      <t>/año</t>
    </r>
  </si>
  <si>
    <t>COMPONENTES DEL BALANCE HÍDRICO (m3/año)</t>
  </si>
  <si>
    <r>
      <t>m</t>
    </r>
    <r>
      <rPr>
        <vertAlign val="superscript"/>
        <sz val="10"/>
        <rFont val="Arial"/>
        <family val="2"/>
      </rPr>
      <t>3</t>
    </r>
    <r>
      <rPr>
        <sz val="10"/>
        <rFont val="Arial"/>
        <family val="2"/>
      </rPr>
      <t>/km/día</t>
    </r>
  </si>
  <si>
    <t>m3/acometida/año</t>
  </si>
  <si>
    <t>Periodo</t>
  </si>
  <si>
    <t>Franja de exactitud</t>
  </si>
  <si>
    <t>Componentes del balance hídrico</t>
  </si>
  <si>
    <t>Agua ingresada al sistema (contabilizada en términos operacionales)</t>
  </si>
  <si>
    <t>(contabilizada en términos operacionales)</t>
  </si>
  <si>
    <t>Consumo facturado no medido</t>
  </si>
  <si>
    <t>Agua facturada (contabilizada en términos operacionales)</t>
  </si>
  <si>
    <t>Consumo autorizado facturado (contabilizado en términos económicos)</t>
  </si>
  <si>
    <t>Agua no facturada</t>
  </si>
  <si>
    <t>Consumo no facturado medido</t>
  </si>
  <si>
    <t>Consumo no facturado no medido</t>
  </si>
  <si>
    <t>Consumo autorizado no facturado</t>
  </si>
  <si>
    <t>Pérdidas de agua</t>
  </si>
  <si>
    <t>Consumo no autorizado</t>
  </si>
  <si>
    <t>Errores de medición</t>
  </si>
  <si>
    <t>Pérdidas aparentes</t>
  </si>
  <si>
    <t>Pérdidas reales (1)</t>
  </si>
  <si>
    <t>Fugas en tuberías de trasmisión y/o distribución</t>
  </si>
  <si>
    <t>Fugas y desbordamientos en tanques de trasmisión y/o distribución</t>
  </si>
  <si>
    <t>Fugas en acometidas de servicio hasta el punto de medición</t>
  </si>
  <si>
    <t>Pérdidas reales (2)</t>
  </si>
  <si>
    <t>Indicadores de desempeño</t>
  </si>
  <si>
    <t>Ineficiencia en  la utilización de los recursos hídricos</t>
  </si>
  <si>
    <t>Pérdidas de agua por unidad de longitud de tubería</t>
  </si>
  <si>
    <t>Pérdidas de agua por acometida</t>
  </si>
  <si>
    <t>Pérdidas aparentes por unidad de longitud de tubería</t>
  </si>
  <si>
    <t>Pérdidas reales por unidad de longitud de tubería</t>
  </si>
  <si>
    <t>Pérdidas reales por acometida</t>
  </si>
  <si>
    <t>Índice de fugas infra-estructural</t>
  </si>
  <si>
    <t>Volumen por agua no facturada en trérminos de volumen</t>
  </si>
  <si>
    <t>Agua no facturada en términos de coste</t>
  </si>
  <si>
    <t>Agua no medida</t>
  </si>
  <si>
    <t>l/km/día</t>
  </si>
  <si>
    <t>l/acometida/día</t>
  </si>
  <si>
    <t>Comentario</t>
  </si>
  <si>
    <t>En el caso de agua facturada por terceros, la aplicación asume que la exactitud del valor de entrada respecto al volumen realmente facturado está siempre en el rango 0-5%; para los restantes componentes ("agua captada" y "agua importada no facturada por terceros") se adopta la franja de exactitud proporcionada por el usuario.</t>
  </si>
  <si>
    <t xml:space="preserve">La exactitud del proceso de facturación se asume siempre que se encuentra en el rango 0-5% </t>
  </si>
  <si>
    <t>Indicadores de pérdidas recomendados por la IWA</t>
  </si>
  <si>
    <t>horas/día</t>
  </si>
  <si>
    <t>The main objective of the water balance is to assess the non-revenue water and the water losses (total, apparent and real). The steps to assess non-revenue water and water losses are as follows:</t>
  </si>
  <si>
    <t>The accuracy of the billing process is assumed to be always in the range 0-5%</t>
  </si>
  <si>
    <t>Admite-se que a exactidão do processo de facturação cai sempre na gama 0-5%</t>
  </si>
  <si>
    <t>Considera-se, no caso da água facturada por terceiros, que a exactidão do valor explicitado face ao volume objecto de facturação está sempre na gama 0-5%; para as restantes duas componentes ("água captada" e "água importada não facturada por terceiros") adoptam-se os valores explicitados pelo utilizador.</t>
  </si>
  <si>
    <t xml:space="preserve">In the case of water billed by a third party, the application assumes that the accuracy of the input value with regard to the volume really billed is always in the range 0-5%; for the remaining components ("abstracted water" and "imported water unbilled by third parties") the accuracy band provided by the user is adopted. </t>
  </si>
  <si>
    <t>Estimate of the systematic errors of the system input volume.</t>
  </si>
  <si>
    <t>In financial terms (input value with regard to the billed volume), an accuray of 0-5% is assumed.</t>
  </si>
  <si>
    <r>
      <t>Note</t>
    </r>
    <r>
      <rPr>
        <sz val="8"/>
        <rFont val="Arial"/>
        <family val="2"/>
      </rPr>
      <t xml:space="preserve">:  In column "Accurcy" include non-systematic errors related to the metering (or estimation), reading, transmission, recording or consultation processes. Systematic erros shall be accounted for in worksheet Input (5) - Apparent losses.  </t>
    </r>
  </si>
  <si>
    <t>Adapt the list to the client categorisation use by the undertaking.</t>
  </si>
  <si>
    <t>Specify any other client category.</t>
  </si>
  <si>
    <t xml:space="preserve">Adapt this formula whenever appropriate. </t>
  </si>
  <si>
    <t xml:space="preserve">In some countries, the fire fighting consumption is not billed. </t>
  </si>
  <si>
    <t>Specify any other types of consumption.</t>
  </si>
  <si>
    <t>Estimativa da gama de erro não sistemático entre o valor inserido na 2ª coluna e o volume realmente consumido.</t>
  </si>
  <si>
    <t xml:space="preserve">Estimate of the accuracy band of the systematic error of the volume inserted in the 2nd column with regard to the volume really consumed. </t>
  </si>
  <si>
    <t>Neste caso admite-se a simplificação de considerar que a incerteza é nula se o valor da variável for nula</t>
  </si>
  <si>
    <t xml:space="preserve">Underlying simplification: uncertainty is nill when the variable is also equal to zero. </t>
  </si>
  <si>
    <t>Highly reliable data source: data based on sound records, procedures, investigations or analyses that are properly documented and recognised as the best available assessment methods.</t>
  </si>
  <si>
    <t xml:space="preserve">Fairly reliable data source: worse than ***, but better than *. </t>
  </si>
  <si>
    <t xml:space="preserve">Unreliable data source: data based on extrapolation from limited reliable samples or on informed guesses. </t>
  </si>
  <si>
    <t xml:space="preserve">When arithmetic operations are executed, the uncertainty of the input data is propagated. In the case of the water balance, the uncertainty is highly variable from data item to data item, because may be accurately metered although other (e.g. ilegal consumption) are inevitably rough estimates. 
This application allows the user to assess the accuracy band of the indicators based on the accuracy bands os the input data. Traditionally, according to the errors theory,  error propagation was referred, and a pessimistic perspective of the error propagation was adopted. For instance in the case of sums and subtractions, the assessment of the absolute valu of the result as made suming the module of the absolute value of the parts. 
Nowadays, in accordance with the GUM (Guide to the expression of Uncertainty in Measurement, International Organization for Standardization, Geneva, 1993), the uncertainty analysis theory is used instead of the error propagation principles. Assuming that uncertainty is normally distributed, and using again the example, the uncertainty of a sum or of a subtractions can be assessed as the square root of the sum of the squares of the terms. 
This application offers the possibility of assessing the accuracy of the indicators using either the classical error propagation or the uncertainty propagation according to the GUM. The user may select any of these two options offered, although the second should be preferred. </t>
  </si>
  <si>
    <t>Agua captada</t>
  </si>
  <si>
    <t>Agua importada (crudao no tratada) facturada por terceros (contabilizada en términos operacionales)</t>
  </si>
  <si>
    <t>(Contabilizada en términos económicos)</t>
  </si>
  <si>
    <t>Agua importada (cruda o no tratada) no facturada por terceros</t>
  </si>
  <si>
    <t>Volumen de entrada al sistema (contabilizada en términos operacionales)</t>
  </si>
  <si>
    <t>Seleccione unidades</t>
  </si>
  <si>
    <t>Para cambiar de línea presione "Alt"+"Enter"</t>
  </si>
  <si>
    <t>Estimado de los errores sistemáticos del volumen de entrada al sistema</t>
  </si>
  <si>
    <t>En términos financieros (valor de entrada respecto al volumen facturado), se asume una exactitud de 0-5%.</t>
  </si>
  <si>
    <r>
      <t>Nota:</t>
    </r>
    <r>
      <rPr>
        <sz val="8"/>
        <rFont val="Arial"/>
        <family val="2"/>
      </rPr>
      <t xml:space="preserve"> en la columna "Exacittud" se deben incurrir los errores no sistemáticos relativos a la medición (o estimación), lectura, trasmisión, registro o procesos de consulta. Los errores sistemáticos deben ser especificados en la hoja Input (5) - Pérdidas aparentes.</t>
    </r>
  </si>
  <si>
    <t>CÀLCULO DEL CONSUMO FACTURADO MEDIDO</t>
  </si>
  <si>
    <t>Distribución directa:</t>
  </si>
  <si>
    <t>Consumo residencial</t>
  </si>
  <si>
    <t>Consumo residencial y de servicios</t>
  </si>
  <si>
    <t>Consumo público</t>
  </si>
  <si>
    <t>Consumo industrial</t>
  </si>
  <si>
    <t>Otros consumos facturados medidos</t>
  </si>
  <si>
    <t>Agua exportada</t>
  </si>
  <si>
    <t>Agua transferida para otros sistemas de la misma entidad (facturada)</t>
  </si>
  <si>
    <t>Agua vendida a otras entidades gestoras</t>
  </si>
  <si>
    <t>CÁLCULO DEL CONSUMO FACTURADO NO MEDIDO</t>
  </si>
  <si>
    <t>Consumo facturado no medido relativo a:</t>
  </si>
  <si>
    <t>Abonados residenciales, comerciales y otros no medidos</t>
  </si>
  <si>
    <t>Consumo por riego de jardines</t>
  </si>
  <si>
    <t>Consumo por limpieza de calles</t>
  </si>
  <si>
    <t>Consumo en hidrantes</t>
  </si>
  <si>
    <t>Otros consumos no facturados no medidos</t>
  </si>
  <si>
    <t>Consumo facturado no medido:</t>
  </si>
  <si>
    <t>(contabilizado en términos operacionales)</t>
  </si>
  <si>
    <t>(contabilizado en términos económicos)</t>
  </si>
  <si>
    <t xml:space="preserve">Seleccione unidades </t>
  </si>
  <si>
    <t>Adaptar la lista a la clasificación de consumidores usada por la entidad gestora.</t>
  </si>
  <si>
    <t>Especifique cualquier otra clasificación de cliente.</t>
  </si>
  <si>
    <t>Adaptar esta fórmula cuando se estime conveniente.</t>
  </si>
  <si>
    <t>En algunos paises, el consumo para la extinción de incendios no se factura.</t>
  </si>
  <si>
    <t>Especifique cualquier otro tipo de consumo.</t>
  </si>
  <si>
    <t>Estimación de la franja de exactitud del error sistemático del volumen insertado en la segunda columna respecto al volumen realmente consumido.</t>
  </si>
  <si>
    <t>En términos financieros (valor de entrada respecto al volumen facturado), se asume una exactitud del 0-5%.</t>
  </si>
  <si>
    <t>Para insertar una nueva fila presione "Alt"+"Enter"</t>
  </si>
  <si>
    <t>Simplificación subyacente: la incertidumbre es nula cuando la variable también es igual a cero.</t>
  </si>
  <si>
    <t>CÁLCULO DEL CONSUMO NO FACTURADO AUTORIZADO</t>
  </si>
  <si>
    <t>CÁLCULO DEL CONSUMO NO FACTURADO MEDIDO</t>
  </si>
  <si>
    <t>Distribución directa (no facturada medida):</t>
  </si>
  <si>
    <t>Consumo propio de la entidad (medido)</t>
  </si>
  <si>
    <t>Extinción de incendios</t>
  </si>
  <si>
    <t>Agua exportada (no facturada medida):</t>
  </si>
  <si>
    <t>Agua transferida a otros sistemas de la misma entidad gestora</t>
  </si>
  <si>
    <t>Agua transferida a otras entidades gestoras</t>
  </si>
  <si>
    <t>Consumo autorizado no facturado medido:</t>
  </si>
  <si>
    <t>CÁLCULO DEL CONSUMO AUTORIZADO NO FACTURADO NO MEDIDO</t>
  </si>
  <si>
    <t>Estimación de cualquier consumo no facturado no medido proveniente de usos residenciales y comerciales (consumo autorizado no facturado no medido)</t>
  </si>
  <si>
    <t>Número de consumidores</t>
  </si>
  <si>
    <t>Consumo promedio per cápita</t>
  </si>
  <si>
    <t>Consumo por riego de jardines (consumo autorizado no facturado no medido)</t>
  </si>
  <si>
    <t>Consumo de riego por m2 de área irrigada</t>
  </si>
  <si>
    <t>Área irrigada</t>
  </si>
  <si>
    <t>Numero de meses de riego por año</t>
  </si>
  <si>
    <t>Consumo por limpieza de calles (autorizado no facturado no medido)</t>
  </si>
  <si>
    <t>Número de llenado de auto-tanques por día</t>
  </si>
  <si>
    <t>Capacidad promedio del auto-tanque</t>
  </si>
  <si>
    <t>Pariodo de limpieza de calles (número de días por año)</t>
  </si>
  <si>
    <t>Consumo para extinción de incendios (autorizado no facturado no medido)</t>
  </si>
  <si>
    <t>Número de días al año en los cuales los auto-tanques son llenados</t>
  </si>
  <si>
    <t>Consumo no medido propio de la entidad</t>
  </si>
  <si>
    <t>Consumo del proceso de tratamiento (excluyendo el agua reusada)</t>
  </si>
  <si>
    <t>Consumo en lavado de tuberías y depósitos de servicio</t>
  </si>
  <si>
    <t>Riego en las instalaciones de la empresa gestora</t>
  </si>
  <si>
    <t>Total</t>
  </si>
  <si>
    <t>Otros consumos autorizados no facturados no medidos</t>
  </si>
  <si>
    <t>Consumo autorizado no facturado no medido</t>
  </si>
  <si>
    <t>CONSUMO AUTORIZADO NO FACTURADO (m3/año)</t>
  </si>
  <si>
    <t>Valor (m3/año)</t>
  </si>
  <si>
    <t>meses/año</t>
  </si>
  <si>
    <t>n.º/día</t>
  </si>
  <si>
    <t>días/año</t>
  </si>
  <si>
    <t>Especifique otros tipos de consumos</t>
  </si>
  <si>
    <t>Especifique otros tipos de consumidores.</t>
  </si>
  <si>
    <t>Para cambiar de fila presione "Alt"+"Enter"</t>
  </si>
  <si>
    <t>Uso no autorizado:</t>
  </si>
  <si>
    <t>Consumo relativo a la utilización fraudulenta de cajas y bocas de incendio y de riego</t>
  </si>
  <si>
    <t>Consumo relativo a conexiones ilícitas</t>
  </si>
  <si>
    <t>Estimación de los errores sistemáticos del volumen de entrada al sistema</t>
  </si>
  <si>
    <t>Agua captada (m3)</t>
  </si>
  <si>
    <t xml:space="preserve">Agua importada (cruda o no tratada) facturada por terceros (m3) </t>
  </si>
  <si>
    <t xml:space="preserve">Agua importada (cruda o no tratada)  no facturada por terceros (m3) </t>
  </si>
  <si>
    <t>Estimación de los errores sistemáticos del consumo autorizado</t>
  </si>
  <si>
    <t>Estimación de los errores sistemáticos de la medición a los clientes (errres del medidor, errores en la lectura, errores en el registro)</t>
  </si>
  <si>
    <t>Estimación del error sistemático del agua autorizada no medida</t>
  </si>
  <si>
    <t>Balance de errores sistemáticos del volumen de entrada y del consumo autorizado</t>
  </si>
  <si>
    <t>PÉRDIDAS APARENTES (m3/año)</t>
  </si>
  <si>
    <t>Adaptar la lista a la clasificación de consumidores existente.</t>
  </si>
  <si>
    <t>Valores positivos o negativos son válidos</t>
  </si>
  <si>
    <t>Op27 = A19 x 1000 / (C24 x H2 / 24) (applicable to distribution systems)</t>
  </si>
  <si>
    <t xml:space="preserve">         É indispensável ter a opção de macros activa (Tools&gt;macro&gt;security, seleccionar "medium" na janela "security level", fechar o MS Excel, tornar a abrir e escolher "Enable macros" na janela que aparece automaticamente). </t>
  </si>
  <si>
    <t xml:space="preserve">         Macros must be enabled (Tools&gt;macro&gt;security, select "medium" in the window "security level", close MS Excel, open it again, and select "Enable macros" in the window that pops up automatically). </t>
  </si>
  <si>
    <t>G57 - Average water charges for direct consumption</t>
  </si>
  <si>
    <t>Utility name:</t>
  </si>
  <si>
    <t>E-mail of name of the person in charge of the water balance assessment</t>
  </si>
  <si>
    <t>System or sub-system identification</t>
  </si>
  <si>
    <t>Complementary data required for the assessment of water losses indicators</t>
  </si>
  <si>
    <t xml:space="preserve">Average operating head </t>
  </si>
  <si>
    <t>Insert the name of the contact person responsable for filling up the data.</t>
  </si>
  <si>
    <t>Insert the e-mail of the person responsible for filling up the data.</t>
  </si>
  <si>
    <t xml:space="preserve">In general, one year (e.g. 2006). No specific format required. </t>
  </si>
  <si>
    <t>Inserir no formato que preferir a especificação do período em análise. Em geral será um ano (ex.: 2006)</t>
  </si>
  <si>
    <t>Data required only for the assessment of the infrastructure leakage index</t>
  </si>
  <si>
    <t xml:space="preserve">In general, water balance refers to anual periods. For shorter periods the accuracy of the information on metered water and billed water tends to decrease. Results are allows expressed in m3/ano,even when the assessmet periods are different. </t>
  </si>
  <si>
    <t>Data required only by the indicator "non-revenue water by cost".</t>
  </si>
  <si>
    <t>In the case of bulk water supply systems, use the average water charge for exported water.
Data required only by the indicator "Non-revenue water by cost".</t>
  </si>
  <si>
    <t>Data required only by the indicator "Non-revenue water by cost". 
Use the highest of: (i) the variable component of imported water charge; (ii) long run marginal cost (LRMC) for own sources.</t>
  </si>
  <si>
    <t>To insert new row press "Alt"+"Enter"</t>
  </si>
  <si>
    <t>Select units</t>
  </si>
  <si>
    <t>Imported (raw or untreated) water billed by third parties              (point of view: operat.)</t>
  </si>
  <si>
    <t xml:space="preserve">(point of view: economics) </t>
  </si>
  <si>
    <t>Imported (raw or untreated) water not billed by third parties</t>
  </si>
  <si>
    <t>System input volume                                            (point of view: operational)</t>
  </si>
  <si>
    <t xml:space="preserve">                                                                      (point of view: economics)</t>
  </si>
  <si>
    <t>Comments</t>
  </si>
  <si>
    <t>ASSESSMENT OF THE BILLED METERED CONSUMPTION</t>
  </si>
  <si>
    <t>Direct distribution (unbilled metered):</t>
  </si>
  <si>
    <t>Reliability and accuracy bands</t>
  </si>
  <si>
    <t>Reliability bands</t>
  </si>
  <si>
    <t>Acurracy bands</t>
  </si>
  <si>
    <t>Select option:</t>
  </si>
  <si>
    <t>Reliability bands recommended in the IWA manual on performance indicators are adopted as default. The user can customise them (cells can be edited).</t>
  </si>
  <si>
    <t>To insert new row press "Alt"+"Enter".</t>
  </si>
  <si>
    <t>Flow units can be customised. The user is requested to specify the corresponding conversion factor into cu.m/year.</t>
  </si>
  <si>
    <t>Units conversion of flow into cu.m/year</t>
  </si>
  <si>
    <t>cu.m/year</t>
  </si>
  <si>
    <t>WATER BALANCE COMPONENTS (cu.m/year)</t>
  </si>
  <si>
    <t>cu.m/km/day</t>
  </si>
  <si>
    <t>cu.m/connection/year</t>
  </si>
  <si>
    <t>Neste caso admite-se a simplificação de considerar que o Incerteza é nulo se o valor da variável for nula.</t>
  </si>
  <si>
    <t>E5_F5 G5_H5</t>
  </si>
  <si>
    <t>J5</t>
  </si>
  <si>
    <t>K5</t>
  </si>
  <si>
    <t>H6</t>
  </si>
  <si>
    <t>H7</t>
  </si>
  <si>
    <t>H8</t>
  </si>
  <si>
    <t>H9</t>
  </si>
  <si>
    <t>H10</t>
  </si>
  <si>
    <t>E12</t>
  </si>
  <si>
    <t>Unit</t>
  </si>
  <si>
    <t>Conversion factor</t>
  </si>
  <si>
    <t>CONFIGURATION OPTIONS</t>
  </si>
  <si>
    <t>Fiabilidade</t>
  </si>
  <si>
    <t>Exactidão</t>
  </si>
  <si>
    <t>*</t>
  </si>
  <si>
    <t>**</t>
  </si>
  <si>
    <t>***</t>
  </si>
  <si>
    <t>Classes de fiabildade</t>
  </si>
  <si>
    <t>Auditorias de perdas</t>
  </si>
  <si>
    <t>H5</t>
  </si>
  <si>
    <t>Exact bands recommended in the IWA and IRAR manual on performance indicators are adopted as default. The user can customise them (cells can be edited).</t>
  </si>
  <si>
    <t>As classes de exactidão indicadas são as recomendadas no manual de indicadores de desempenho da IWA e pelo IRAR. Podem ser alteradas pelo utilizador (as células são editáveis).</t>
  </si>
  <si>
    <t xml:space="preserve">Cálculo do balanço hídrico e dos indicadores de perdas de água </t>
  </si>
  <si>
    <t>Dados gerais sobre o sistema a que se refere o balanço hídrico</t>
  </si>
  <si>
    <t>Designação da entidade gestora</t>
  </si>
  <si>
    <t xml:space="preserve">Designação da unidade operacional </t>
  </si>
  <si>
    <t>E-mail do responsável pelo balanço hídrico</t>
  </si>
  <si>
    <t>Designação do sistema ou subsistema</t>
  </si>
  <si>
    <t xml:space="preserve">  Water transferred to other systems of the same undertaking (billed)</t>
  </si>
  <si>
    <t xml:space="preserve">   Watering consumption per cu.m of irrigated area</t>
  </si>
  <si>
    <t xml:space="preserve">   Utitily own consumption (facilities and irrigated areas)</t>
  </si>
  <si>
    <t xml:space="preserve">  Imported (raw or untreated) water billed by third parties (cu.m)</t>
  </si>
  <si>
    <t xml:space="preserve">  Imported (raw or untreated) water not billed by third parties (cu.m)</t>
  </si>
  <si>
    <t xml:space="preserve">  Estimate of the systematic error of the clients metering (meter, meter reading and reccording errors)</t>
  </si>
  <si>
    <t xml:space="preserve">  Illegal consumption from hydrants</t>
  </si>
  <si>
    <t xml:space="preserve">  Consumption from illegal connections</t>
  </si>
  <si>
    <t>OPÇÕES DE CONFIGURAÇÃO</t>
  </si>
  <si>
    <t>Unidade</t>
  </si>
  <si>
    <t>Factor de conversão</t>
  </si>
  <si>
    <t>l/s</t>
  </si>
  <si>
    <t>Opção escolhida:</t>
  </si>
  <si>
    <r>
      <t>m</t>
    </r>
    <r>
      <rPr>
        <vertAlign val="superscript"/>
        <sz val="10"/>
        <rFont val="Arial"/>
        <family val="2"/>
      </rPr>
      <t>3</t>
    </r>
    <r>
      <rPr>
        <sz val="10"/>
        <rFont val="Arial"/>
        <family val="2"/>
      </rPr>
      <t>/h</t>
    </r>
  </si>
  <si>
    <r>
      <t>m</t>
    </r>
    <r>
      <rPr>
        <vertAlign val="superscript"/>
        <sz val="10"/>
        <rFont val="Arial"/>
        <family val="2"/>
      </rPr>
      <t>3</t>
    </r>
    <r>
      <rPr>
        <sz val="10"/>
        <rFont val="Arial"/>
        <family val="2"/>
      </rPr>
      <t>/dia</t>
    </r>
  </si>
  <si>
    <r>
      <t>m</t>
    </r>
    <r>
      <rPr>
        <vertAlign val="superscript"/>
        <sz val="10"/>
        <rFont val="Arial"/>
        <family val="2"/>
      </rPr>
      <t>3</t>
    </r>
    <r>
      <rPr>
        <sz val="10"/>
        <rFont val="Arial"/>
        <family val="2"/>
      </rPr>
      <t>/mês</t>
    </r>
  </si>
  <si>
    <r>
      <t>m</t>
    </r>
    <r>
      <rPr>
        <vertAlign val="superscript"/>
        <sz val="10"/>
        <rFont val="Arial"/>
        <family val="2"/>
      </rPr>
      <t>3</t>
    </r>
    <r>
      <rPr>
        <sz val="10"/>
        <rFont val="Arial"/>
        <family val="2"/>
      </rPr>
      <t>/ano</t>
    </r>
  </si>
  <si>
    <t>Classes de fiabilidade e de exactidão</t>
  </si>
  <si>
    <r>
      <t>Colunas auxiliares</t>
    </r>
    <r>
      <rPr>
        <sz val="10"/>
        <rFont val="Arial"/>
        <family val="2"/>
      </rPr>
      <t xml:space="preserve"> (não visíveis para o utilizador)</t>
    </r>
  </si>
  <si>
    <t>Período a que se refere o cálculo:</t>
  </si>
  <si>
    <t>Dados baseados em estimativas ou extrapolações a partir de uma amostra limitada.</t>
  </si>
  <si>
    <t>Dados baseados em medições exaustivas, registos fidedignos, procedimentos, investigações ou análises adequadamente documentadas e reconhecidas como o melhor método de cálculo.</t>
  </si>
  <si>
    <t>Classes de exactidão</t>
  </si>
  <si>
    <t>Distribuição directa:</t>
  </si>
  <si>
    <t>Água exportada:</t>
  </si>
  <si>
    <t xml:space="preserve">  Consumo doméstico</t>
  </si>
  <si>
    <t xml:space="preserve">  Consumo público</t>
  </si>
  <si>
    <t xml:space="preserve">  Consumo industrial</t>
  </si>
  <si>
    <t xml:space="preserve">  Água vendida a outras entidades gestoras</t>
  </si>
  <si>
    <r>
      <t>m</t>
    </r>
    <r>
      <rPr>
        <vertAlign val="superscript"/>
        <sz val="10"/>
        <rFont val="Arial"/>
        <family val="2"/>
      </rPr>
      <t>3</t>
    </r>
  </si>
  <si>
    <t xml:space="preserve">   Número de consumidores</t>
  </si>
  <si>
    <t>(nº)</t>
  </si>
  <si>
    <t>l/dia</t>
  </si>
  <si>
    <t>(n.º)</t>
  </si>
  <si>
    <t>horas/dia</t>
  </si>
  <si>
    <t xml:space="preserve">   Capacidade média de cada autotanque</t>
  </si>
  <si>
    <t xml:space="preserve">   Número de dias de utilização por ano</t>
  </si>
  <si>
    <t>dias/ano</t>
  </si>
  <si>
    <t xml:space="preserve">  Consumo próprio da entidade (medido)</t>
  </si>
  <si>
    <t xml:space="preserve">   Consumo nas instalações e espaços verdes da entidade</t>
  </si>
  <si>
    <t xml:space="preserve">Consumo facturado medido: </t>
  </si>
  <si>
    <t xml:space="preserve">Consumo facturado não medido: </t>
  </si>
  <si>
    <t>CÁLCULO DO CONSUMO FACTURADO MEDIDO</t>
  </si>
  <si>
    <t>CÁLCULO DO CONSUMO FACTURADO NÃO MEDIDO</t>
  </si>
  <si>
    <t>CÁLCULO DO CONSUMO AUTORIZADO NÃO FACTURADO</t>
  </si>
  <si>
    <t>CÁLCULO DO CONSUMO AUTORIZADO NÃO FACTURADO MEDIDO</t>
  </si>
  <si>
    <t>CÁLCULO DO CONSUMO AUTORIZADO NÃO FACTURADO NÃO MEDIDO</t>
  </si>
  <si>
    <t xml:space="preserve">  Água transferida para outras entidades gestoras</t>
  </si>
  <si>
    <t xml:space="preserve">Consumo autorizado não facturado medido: </t>
  </si>
  <si>
    <t xml:space="preserve">Consumo autorizado não facturado não medido: </t>
  </si>
  <si>
    <t>Consumo autorizado</t>
  </si>
  <si>
    <t>Consumo facturado medido</t>
  </si>
  <si>
    <t>Consumo facturado não medido</t>
  </si>
  <si>
    <t>Perdas de água</t>
  </si>
  <si>
    <t>Perdas reais</t>
  </si>
  <si>
    <t>Água entrada no sistema</t>
  </si>
  <si>
    <t>Perdas aparentes</t>
  </si>
  <si>
    <t>Uso não autorizado</t>
  </si>
  <si>
    <t>Erros de medição</t>
  </si>
  <si>
    <t>Fugas nas condutas de adução e/ou distribuição</t>
  </si>
  <si>
    <t>Fugas e extravasamentos nos reservatórios de adução e/ou distribuição</t>
  </si>
  <si>
    <t>Fugas nos ramais (a montante do ponto de medição)</t>
  </si>
  <si>
    <t>Consumo não facturado medido</t>
  </si>
  <si>
    <t>Consumo autorizado não facturado</t>
  </si>
  <si>
    <t>Consumo não facturado não medido</t>
  </si>
  <si>
    <t>Água não facturada</t>
  </si>
  <si>
    <t xml:space="preserve">   Consumo de processo no tratamento (excluindo volume reutilizado)</t>
  </si>
  <si>
    <t xml:space="preserve">   Consumo para lavagem de condutas e reservatórios</t>
  </si>
  <si>
    <t>Indicadores de recursos hídricos</t>
  </si>
  <si>
    <t>Indicadores operacionais</t>
  </si>
  <si>
    <t>Indicadores financeiros</t>
  </si>
  <si>
    <t>m</t>
  </si>
  <si>
    <t>m c.a.</t>
  </si>
  <si>
    <t>km</t>
  </si>
  <si>
    <t>Comprimento total da rede</t>
  </si>
  <si>
    <t>Número total de ramais</t>
  </si>
  <si>
    <t>Altura piezométrica média de serviço</t>
  </si>
  <si>
    <t>Indicador operacional</t>
  </si>
  <si>
    <t>Passo 1:</t>
  </si>
  <si>
    <t>Passo 2:</t>
  </si>
  <si>
    <t>Passo 3:</t>
  </si>
  <si>
    <t>Passo 4:</t>
  </si>
  <si>
    <t>Passo 5:</t>
  </si>
  <si>
    <t>Passo 6:</t>
  </si>
  <si>
    <t>Passo 7:</t>
  </si>
  <si>
    <t>Passo 8:</t>
  </si>
  <si>
    <t>Passo 9:</t>
  </si>
  <si>
    <t xml:space="preserve">Calculado o balanço hídrico, é possível calcular os principais indicadores de perdas. A International Water Association recomenda os seguintes: </t>
  </si>
  <si>
    <t>Indicadores de perdas de água</t>
  </si>
  <si>
    <t>Balanço hídrico</t>
  </si>
  <si>
    <t xml:space="preserve">Embora não sendo um indicador de perdas, o indicador de água não medida é fundamental no contexto do controlo de perdas nos sistemas para se ter uma noção da parcela de água entrada no sistema que é contabilizada como consumo medido, independentemente de ser ou não facturado. O grau de confiança dos valores do balanço hídrico dependem em grande medida deste factor.  </t>
  </si>
  <si>
    <t>Período em análise:</t>
  </si>
  <si>
    <t>Perdas aparentes por ramal (%) (válido para sistemas de distribuição ou completos)</t>
  </si>
  <si>
    <t xml:space="preserve">Água não facturada em termos de volume (%) </t>
  </si>
  <si>
    <t xml:space="preserve">Água não facturada em termos de custo (%) </t>
  </si>
  <si>
    <t xml:space="preserve">Água não medida (%)  </t>
  </si>
  <si>
    <t>Duração do período a que se refere o balanço hídrico</t>
  </si>
  <si>
    <t>dias</t>
  </si>
  <si>
    <t>Custos correntes</t>
  </si>
  <si>
    <t>Tarifa média para consumidores directos</t>
  </si>
  <si>
    <t>Custo unitário assumido das perdas reais</t>
  </si>
  <si>
    <r>
      <t>€/m</t>
    </r>
    <r>
      <rPr>
        <vertAlign val="superscript"/>
        <sz val="10"/>
        <rFont val="Arial"/>
        <family val="2"/>
      </rPr>
      <t>3</t>
    </r>
  </si>
  <si>
    <t>CÁLCULO DAS PERDAS REAIS</t>
  </si>
  <si>
    <t>Uso não autorizado:</t>
  </si>
  <si>
    <t xml:space="preserve">  Consumo relativo a ligações ilícitas</t>
  </si>
  <si>
    <t>%</t>
  </si>
  <si>
    <t>Perdas reais por comprimento de conduta (l/km /dia com sistema em pressão) (válido para sistemas de produção e adução)</t>
  </si>
  <si>
    <t xml:space="preserve">Índice infra-estrutural de fugas (-) </t>
  </si>
  <si>
    <t>Ineficiência na utilização dos recursos hídricos (%)</t>
  </si>
  <si>
    <t>Perdas reais (2)</t>
  </si>
  <si>
    <t>Perdas reais (1)</t>
  </si>
  <si>
    <t>Gama de exactidão</t>
  </si>
  <si>
    <t>Componente do balanço hídrico:</t>
  </si>
  <si>
    <t>Perdas aparentes por volume de água entrada no sistema (%) (válido p/ sistemas de produção e adução)</t>
  </si>
  <si>
    <t xml:space="preserve">   Consumo médio por consumidor</t>
  </si>
  <si>
    <t xml:space="preserve">   Average unit consumption</t>
  </si>
  <si>
    <t>Perdas reais por ramal (l/ramal/dia com sistema em pressão) (válido p/ sist. de distribuição ou completos)</t>
  </si>
  <si>
    <r>
      <t>å</t>
    </r>
    <r>
      <rPr>
        <sz val="10"/>
        <rFont val="Arial"/>
        <family val="2"/>
      </rPr>
      <t xml:space="preserve"> </t>
    </r>
    <r>
      <rPr>
        <sz val="10"/>
        <rFont val="Symbol"/>
        <family val="1"/>
        <charset val="2"/>
      </rPr>
      <t>½</t>
    </r>
    <r>
      <rPr>
        <sz val="10"/>
        <rFont val="Arial"/>
        <family val="2"/>
      </rPr>
      <t>E</t>
    </r>
    <r>
      <rPr>
        <vertAlign val="subscript"/>
        <sz val="10"/>
        <rFont val="Arial"/>
        <family val="2"/>
      </rPr>
      <t>i</t>
    </r>
    <r>
      <rPr>
        <sz val="10"/>
        <rFont val="Symbol"/>
        <family val="1"/>
        <charset val="2"/>
      </rPr>
      <t xml:space="preserve">½ </t>
    </r>
    <r>
      <rPr>
        <vertAlign val="subscript"/>
        <sz val="8"/>
        <rFont val="Arial"/>
        <family val="2"/>
      </rPr>
      <t>máx.</t>
    </r>
  </si>
  <si>
    <r>
      <t>å</t>
    </r>
    <r>
      <rPr>
        <sz val="10"/>
        <rFont val="Arial"/>
        <family val="2"/>
      </rPr>
      <t xml:space="preserve"> </t>
    </r>
    <r>
      <rPr>
        <sz val="10"/>
        <rFont val="Symbol"/>
        <family val="1"/>
        <charset val="2"/>
      </rPr>
      <t>½</t>
    </r>
    <r>
      <rPr>
        <sz val="10"/>
        <rFont val="Arial"/>
        <family val="2"/>
      </rPr>
      <t>E</t>
    </r>
    <r>
      <rPr>
        <vertAlign val="subscript"/>
        <sz val="10"/>
        <rFont val="Arial"/>
        <family val="2"/>
      </rPr>
      <t>i</t>
    </r>
    <r>
      <rPr>
        <sz val="10"/>
        <rFont val="Symbol"/>
        <family val="1"/>
        <charset val="2"/>
      </rPr>
      <t xml:space="preserve">½ </t>
    </r>
    <r>
      <rPr>
        <vertAlign val="subscript"/>
        <sz val="8"/>
        <rFont val="Arial"/>
        <family val="2"/>
      </rPr>
      <t>min.</t>
    </r>
  </si>
  <si>
    <r>
      <t>Ö</t>
    </r>
    <r>
      <rPr>
        <sz val="10"/>
        <rFont val="Arial"/>
        <family val="2"/>
      </rPr>
      <t>(</t>
    </r>
    <r>
      <rPr>
        <sz val="10"/>
        <rFont val="Symbol"/>
        <family val="1"/>
        <charset val="2"/>
      </rPr>
      <t>å</t>
    </r>
    <r>
      <rPr>
        <sz val="10"/>
        <rFont val="Arial"/>
        <family val="2"/>
      </rPr>
      <t xml:space="preserve"> E</t>
    </r>
    <r>
      <rPr>
        <vertAlign val="subscript"/>
        <sz val="10"/>
        <rFont val="Arial"/>
        <family val="2"/>
      </rPr>
      <t>i</t>
    </r>
    <r>
      <rPr>
        <vertAlign val="superscript"/>
        <sz val="10"/>
        <rFont val="Arial"/>
        <family val="2"/>
      </rPr>
      <t>2</t>
    </r>
    <r>
      <rPr>
        <sz val="10"/>
        <rFont val="Arial"/>
        <family val="2"/>
      </rPr>
      <t>)</t>
    </r>
    <r>
      <rPr>
        <vertAlign val="subscript"/>
        <sz val="8"/>
        <rFont val="Arial"/>
        <family val="2"/>
      </rPr>
      <t>min.</t>
    </r>
  </si>
  <si>
    <r>
      <t>Ö</t>
    </r>
    <r>
      <rPr>
        <sz val="10"/>
        <rFont val="Arial"/>
        <family val="2"/>
      </rPr>
      <t>(</t>
    </r>
    <r>
      <rPr>
        <sz val="10"/>
        <rFont val="Symbol"/>
        <family val="1"/>
        <charset val="2"/>
      </rPr>
      <t>å</t>
    </r>
    <r>
      <rPr>
        <sz val="10"/>
        <rFont val="Arial"/>
        <family val="2"/>
      </rPr>
      <t xml:space="preserve"> E</t>
    </r>
    <r>
      <rPr>
        <vertAlign val="subscript"/>
        <sz val="10"/>
        <rFont val="Arial"/>
        <family val="2"/>
      </rPr>
      <t>i</t>
    </r>
    <r>
      <rPr>
        <vertAlign val="superscript"/>
        <sz val="10"/>
        <rFont val="Arial"/>
        <family val="2"/>
      </rPr>
      <t>2</t>
    </r>
    <r>
      <rPr>
        <sz val="10"/>
        <rFont val="Arial"/>
        <family val="2"/>
      </rPr>
      <t>)</t>
    </r>
    <r>
      <rPr>
        <vertAlign val="subscript"/>
        <sz val="8"/>
        <rFont val="Arial"/>
        <family val="2"/>
      </rPr>
      <t>máx.</t>
    </r>
  </si>
  <si>
    <t xml:space="preserve">  Água transferida para outros sistemas da mesma entidade </t>
  </si>
  <si>
    <r>
      <t>e</t>
    </r>
    <r>
      <rPr>
        <vertAlign val="subscript"/>
        <sz val="8"/>
        <rFont val="Arial"/>
        <family val="2"/>
      </rPr>
      <t>máx</t>
    </r>
    <r>
      <rPr>
        <sz val="8"/>
        <rFont val="Arial"/>
        <family val="2"/>
      </rPr>
      <t>.</t>
    </r>
  </si>
  <si>
    <t>Perdas reais por comprimento de conduta</t>
  </si>
  <si>
    <t>l/ramal/dia</t>
  </si>
  <si>
    <t>l/km/dia</t>
  </si>
  <si>
    <t xml:space="preserve">(-) </t>
  </si>
  <si>
    <t>Indicadores de desempenho:</t>
  </si>
  <si>
    <t>WR1 = A19 / A3 x 100</t>
  </si>
  <si>
    <t>Op39 = (A3 - A8 - A11) / A3 x 100</t>
  </si>
  <si>
    <t>Fi46 = A21 / A3 x 100</t>
  </si>
  <si>
    <t>Indicadores de perdas recomendados pela IWA</t>
  </si>
  <si>
    <t>Fi47 = ((A13 + A18) x G57 + A19 x G58) / G5 x 100</t>
  </si>
  <si>
    <t>A13 - Consumo autorizado não facturado</t>
  </si>
  <si>
    <t>G57 -Tarifa média para consumidores directos</t>
  </si>
  <si>
    <t>G5 - Custos correntes</t>
  </si>
  <si>
    <t xml:space="preserve">  Água transferida para outros sistemas da mesma entidade (facturada)</t>
  </si>
  <si>
    <t>€/ano</t>
  </si>
  <si>
    <t>Ineficiência na utilização dos recursos hídricos</t>
  </si>
  <si>
    <t>n.º</t>
  </si>
  <si>
    <t>A3 - Água entrada no sistema</t>
  </si>
  <si>
    <t>A19 - Perdas reais</t>
  </si>
  <si>
    <t>(-)</t>
  </si>
  <si>
    <t xml:space="preserve">Perdas de água por ramal </t>
  </si>
  <si>
    <t>Op23 = (A15 x 365 / H1) / C24 (válido para sistemas de distribuição)</t>
  </si>
  <si>
    <t>Op24 = (A15 / 365) / C8 (válido para sistemas de produção e adução)</t>
  </si>
  <si>
    <t>Perdas aparentes por volume de água entrada no sistema</t>
  </si>
  <si>
    <t>Op26 = A18 / A3 x 100 (válido para sistemas de produção e adução)</t>
  </si>
  <si>
    <t>Op25 = A18 / (A3-A5-A7) x 100 (válido para sistemas de distribuição ou completos)</t>
  </si>
  <si>
    <t xml:space="preserve">              Bulk supply system</t>
  </si>
  <si>
    <t xml:space="preserve">              Distribution system</t>
  </si>
  <si>
    <t xml:space="preserve">Perdas reais por comprimento de conduta </t>
  </si>
  <si>
    <t>Perdas reais por ramal</t>
  </si>
  <si>
    <t>Op27 = A19 x 1000 / (C24 x H2 / 24) (válido para sistemas de distribuição ou completos)</t>
  </si>
  <si>
    <t>Água não medida</t>
  </si>
  <si>
    <t>Op27 - Perdas reais por ramal</t>
  </si>
  <si>
    <t>Água bruta exportada</t>
  </si>
  <si>
    <t>kPa</t>
  </si>
  <si>
    <t>D34 - Pressão média de operação</t>
  </si>
  <si>
    <t>C24 - Número de ramais</t>
  </si>
  <si>
    <t>C8 - Comprimento de condutas</t>
  </si>
  <si>
    <t>A21 - Água não facturada</t>
  </si>
  <si>
    <t>A18 - Perdas aparentes</t>
  </si>
  <si>
    <t xml:space="preserve">H2 - Tempo de pressurização do sistema </t>
  </si>
  <si>
    <t xml:space="preserve">C24 - Número de ramais </t>
  </si>
  <si>
    <t xml:space="preserve">A19 - Perdas reais </t>
  </si>
  <si>
    <t xml:space="preserve">C8 - Comprimento de condutas </t>
  </si>
  <si>
    <t xml:space="preserve">A18 - Perdas aparentes </t>
  </si>
  <si>
    <t>A7 - Água tratada exportada</t>
  </si>
  <si>
    <t>A5 - Água bruta exportada</t>
  </si>
  <si>
    <t xml:space="preserve">A15 - Perdas de água </t>
  </si>
  <si>
    <t xml:space="preserve">H1 - Duração do período de referência </t>
  </si>
  <si>
    <t>A15 - Perdas de água</t>
  </si>
  <si>
    <t>Tempo de pressurização do sistema</t>
  </si>
  <si>
    <t xml:space="preserve">   Número de enchimentos de autotanques por dia  </t>
  </si>
  <si>
    <r>
      <t>€/m</t>
    </r>
    <r>
      <rPr>
        <vertAlign val="superscript"/>
        <sz val="8"/>
        <rFont val="Arial"/>
        <family val="2"/>
      </rPr>
      <t>3</t>
    </r>
  </si>
  <si>
    <r>
      <t>å</t>
    </r>
    <r>
      <rPr>
        <sz val="10"/>
        <rFont val="Arial"/>
        <family val="2"/>
      </rPr>
      <t xml:space="preserve"> </t>
    </r>
    <r>
      <rPr>
        <sz val="10"/>
        <rFont val="Symbol"/>
        <family val="1"/>
        <charset val="2"/>
      </rPr>
      <t>½e</t>
    </r>
    <r>
      <rPr>
        <vertAlign val="subscript"/>
        <sz val="10"/>
        <rFont val="Arial"/>
        <family val="2"/>
      </rPr>
      <t>i</t>
    </r>
    <r>
      <rPr>
        <sz val="10"/>
        <rFont val="Symbol"/>
        <family val="1"/>
        <charset val="2"/>
      </rPr>
      <t xml:space="preserve">½ </t>
    </r>
    <r>
      <rPr>
        <vertAlign val="subscript"/>
        <sz val="8"/>
        <rFont val="Arial"/>
        <family val="2"/>
      </rPr>
      <t>min.</t>
    </r>
  </si>
  <si>
    <r>
      <t>å</t>
    </r>
    <r>
      <rPr>
        <sz val="10"/>
        <rFont val="Arial"/>
        <family val="2"/>
      </rPr>
      <t xml:space="preserve"> </t>
    </r>
    <r>
      <rPr>
        <sz val="10"/>
        <rFont val="Symbol"/>
        <family val="1"/>
        <charset val="2"/>
      </rPr>
      <t>½e</t>
    </r>
    <r>
      <rPr>
        <vertAlign val="subscript"/>
        <sz val="10"/>
        <rFont val="Arial"/>
        <family val="2"/>
      </rPr>
      <t>i</t>
    </r>
    <r>
      <rPr>
        <sz val="10"/>
        <rFont val="Symbol"/>
        <family val="1"/>
        <charset val="2"/>
      </rPr>
      <t xml:space="preserve">½ </t>
    </r>
    <r>
      <rPr>
        <vertAlign val="subscript"/>
        <sz val="8"/>
        <rFont val="Arial"/>
        <family val="2"/>
      </rPr>
      <t>máx.</t>
    </r>
  </si>
  <si>
    <r>
      <t>Ö</t>
    </r>
    <r>
      <rPr>
        <sz val="10"/>
        <rFont val="Arial"/>
        <family val="2"/>
      </rPr>
      <t>(</t>
    </r>
    <r>
      <rPr>
        <sz val="10"/>
        <rFont val="Symbol"/>
        <family val="1"/>
        <charset val="2"/>
      </rPr>
      <t>å</t>
    </r>
    <r>
      <rPr>
        <sz val="10"/>
        <rFont val="Arial"/>
        <family val="2"/>
      </rPr>
      <t xml:space="preserve"> </t>
    </r>
    <r>
      <rPr>
        <sz val="10"/>
        <rFont val="Symbol"/>
        <family val="1"/>
        <charset val="2"/>
      </rPr>
      <t>e</t>
    </r>
    <r>
      <rPr>
        <vertAlign val="subscript"/>
        <sz val="10"/>
        <rFont val="Arial"/>
        <family val="2"/>
      </rPr>
      <t>i</t>
    </r>
    <r>
      <rPr>
        <vertAlign val="superscript"/>
        <sz val="10"/>
        <rFont val="Arial"/>
        <family val="2"/>
      </rPr>
      <t>2</t>
    </r>
    <r>
      <rPr>
        <sz val="10"/>
        <rFont val="Arial"/>
        <family val="2"/>
      </rPr>
      <t>)</t>
    </r>
    <r>
      <rPr>
        <vertAlign val="subscript"/>
        <sz val="8"/>
        <rFont val="Arial"/>
        <family val="2"/>
      </rPr>
      <t>min.</t>
    </r>
  </si>
  <si>
    <r>
      <t>Ö</t>
    </r>
    <r>
      <rPr>
        <sz val="10"/>
        <rFont val="Arial"/>
        <family val="2"/>
      </rPr>
      <t>(</t>
    </r>
    <r>
      <rPr>
        <sz val="10"/>
        <rFont val="Symbol"/>
        <family val="1"/>
        <charset val="2"/>
      </rPr>
      <t>å</t>
    </r>
    <r>
      <rPr>
        <sz val="10"/>
        <rFont val="Arial"/>
        <family val="2"/>
      </rPr>
      <t xml:space="preserve"> </t>
    </r>
    <r>
      <rPr>
        <sz val="10"/>
        <rFont val="Symbol"/>
        <family val="1"/>
        <charset val="2"/>
      </rPr>
      <t>e</t>
    </r>
    <r>
      <rPr>
        <vertAlign val="subscript"/>
        <sz val="10"/>
        <rFont val="Arial"/>
        <family val="2"/>
      </rPr>
      <t>i</t>
    </r>
    <r>
      <rPr>
        <vertAlign val="superscript"/>
        <sz val="10"/>
        <rFont val="Arial"/>
        <family val="2"/>
      </rPr>
      <t>2</t>
    </r>
    <r>
      <rPr>
        <sz val="10"/>
        <rFont val="Arial"/>
        <family val="2"/>
      </rPr>
      <t>)</t>
    </r>
    <r>
      <rPr>
        <vertAlign val="subscript"/>
        <sz val="8"/>
        <rFont val="Arial"/>
        <family val="2"/>
      </rPr>
      <t>máx.</t>
    </r>
  </si>
  <si>
    <t>Para utilizar esta aplicación, las celdas en blanco de las celdas (1) a (6) deben ser rellenadas. Las celdas numéricas coloreadas son calculadas automáticamente. Los resultados se presentan en las hojas "Output(2)", "Output(3)" y "Output(4)". Si desea cambiar las opciones de configuración, utilice la hoja correpondiente.</t>
  </si>
  <si>
    <t>Output(1)                     -   Hoja de presentación</t>
  </si>
  <si>
    <t>Instruc.                        -   Instrucciones</t>
  </si>
  <si>
    <t>Output(2)                     -   Resultados: síntesis</t>
  </si>
  <si>
    <t>Output(3)                     -   Resultados: indicadores de pérdidas de agua</t>
  </si>
  <si>
    <t>Output(4)                     -   Resultados: componentes del balance hídrico</t>
  </si>
  <si>
    <t>Input(1)                       -   (1) Datos del sistema</t>
  </si>
  <si>
    <t>Input(2)                       -   (2) Volúmenes de entrada al sistema</t>
  </si>
  <si>
    <t>Input(4)                       -   (4) Consumo autorizado no facturado</t>
  </si>
  <si>
    <t>Input(5)                       -   (5) Pérdidas aparentes</t>
  </si>
  <si>
    <t>Input(6)                       -   (6) Pérdidas reales</t>
  </si>
  <si>
    <t>Configuration options    -  Opciones de configuración</t>
  </si>
  <si>
    <t>Fiabilidad (de la fuente de datos): la fiabilidad de la fuente considera la incertidumbre sobre qué tan fiable puede ser la fuente de los datos, es decir, hasta qué punto los datos generan resultados consistentes, estables, y uniformes basados en observaciones repetidas bajo las mismas condicones cada vez (ver bandas de fiabilidad, en la hoja "opciones de configuración").
Exactitud (de la medida): la exactitud considera los errores de medición en la adquisición de los datos de entrada, esto es, la cercanía de las observaciones, cálculos o estimativos al valor verdadero o aceptado como verdadero. La exactitud está relacionada al resultado, y se distingue de la precisión, la cual está relacionada a la operación mediante la cual fue obtenido el resultado.</t>
  </si>
  <si>
    <t>IMPORTANTE:
Esta aplicación es sólo para propósitos de formación. LNEC e IRAR no se hacen responsables por las consecuencias de posibles defectos o imperfecciones. Cualquier deficiencia detectada debe seer reportada a halegre@lnec.pt</t>
  </si>
  <si>
    <t>Balance hídrico</t>
  </si>
  <si>
    <t>El principal objetivo del balance hídrico es calcular el monto del agua no facturada y de las pérdidas (totales, aparentes y reales). Los pasos para calcular el monto del agua no facturada y de las pérdidas de agua son los siguientes:</t>
  </si>
  <si>
    <t>Definir los límites exactos del sistema (o sector de la red) aauditar; definir las fechas de referencia (un año).</t>
  </si>
  <si>
    <t>Definir el volumen  de entrada al sistema y anotarlo en Input (2).</t>
  </si>
  <si>
    <t>Definir el consumo facturado y medido y el facturado y no medido en Input (3); estos valores permiten el cálculo automático del consumo facturado autorizado y el agua facturada.</t>
  </si>
  <si>
    <t>Cálculo automático (por la aplicación) del volúmen de agua no facturada como volúmen de entrada al sistema menos agua facturada.</t>
  </si>
  <si>
    <t>Definir el consumo medido no facturado y el consumo no medido no facturado en Input (4); la aplicación considera la suma como el consumo actorizado no facturado.</t>
  </si>
  <si>
    <t>La adición automática de los volúmenes de consumo autorizado facturado y de consumo no autorizado y no facturado; el resultado es el consumo autorizado.</t>
  </si>
  <si>
    <t>El cálculo automático de las pérdidas de agua, como la diferencia entre volumen de entrada al sistema y consumo autorizado.</t>
  </si>
  <si>
    <t>Valorar los componentes del consumo no autorizado y de inexactitudes en la medición mediante los mejores medios disponibles, y anotarlo en Input (5); la suma es automáticamente registrada como pérdidas aparentes.</t>
  </si>
  <si>
    <t>Valoración automática de las pérdidas reales menos las pérdidas aparentes.</t>
  </si>
  <si>
    <t>l/día</t>
  </si>
  <si>
    <r>
      <t>m</t>
    </r>
    <r>
      <rPr>
        <vertAlign val="superscript"/>
        <sz val="10"/>
        <rFont val="Arial"/>
        <family val="2"/>
      </rPr>
      <t>3</t>
    </r>
    <r>
      <rPr>
        <sz val="10"/>
        <rFont val="Arial"/>
        <family val="2"/>
      </rPr>
      <t>/día</t>
    </r>
  </si>
  <si>
    <r>
      <t>m</t>
    </r>
    <r>
      <rPr>
        <vertAlign val="superscript"/>
        <sz val="10"/>
        <rFont val="Arial"/>
        <family val="2"/>
      </rPr>
      <t>3</t>
    </r>
    <r>
      <rPr>
        <sz val="10"/>
        <rFont val="Arial"/>
        <family val="2"/>
      </rPr>
      <t>/mes</t>
    </r>
  </si>
  <si>
    <r>
      <t>Nota</t>
    </r>
    <r>
      <rPr>
        <sz val="8"/>
        <rFont val="Arial"/>
        <family val="2"/>
      </rPr>
      <t xml:space="preserve">:  Na coluna "Exactidão" devem ser incluídos os erros não sistemáticos relativos ao processo de medição (ou estimação), de comunicação/leitura, de registo e de consulta. Os erros sistemáticos decorrentes de submedições ou subestimativas sistemáticas devem, nesta aplicação, ser especificados separadamente, na folha (5) - Perdas aparentes. </t>
    </r>
  </si>
  <si>
    <t>C4</t>
  </si>
  <si>
    <t>D5</t>
  </si>
  <si>
    <t>D4</t>
  </si>
  <si>
    <t>E4</t>
  </si>
  <si>
    <t>F4</t>
  </si>
  <si>
    <t>G4</t>
  </si>
  <si>
    <t>Distribuição directa (não facturada medida):</t>
  </si>
  <si>
    <t xml:space="preserve">    Consumo autorizado facturado</t>
  </si>
  <si>
    <t>Perdas totais</t>
  </si>
  <si>
    <t xml:space="preserve">    Consumo autorizado não facturado</t>
  </si>
  <si>
    <t xml:space="preserve">                   Perdas aparentes</t>
  </si>
  <si>
    <t xml:space="preserve">                   Perdas reais</t>
  </si>
  <si>
    <t xml:space="preserve">                   Aparent losses</t>
  </si>
  <si>
    <t xml:space="preserve">                   Real losses</t>
  </si>
  <si>
    <t xml:space="preserve">    Unbilled authorised consumption</t>
  </si>
  <si>
    <t xml:space="preserve">    Billed authorised consumption</t>
  </si>
  <si>
    <t>Total losses</t>
  </si>
  <si>
    <t>Água exportada (não facturada medida):</t>
  </si>
  <si>
    <t>Estimativa de consumo doméstico, comercial e de serviços de clientes sem contador (autorizado não facturado não medido)</t>
  </si>
  <si>
    <t>Consumo para rega de espaços verdes (autorizado não facturado não medido)</t>
  </si>
  <si>
    <t xml:space="preserve">   Consumo de rega por m2 de área irrigada</t>
  </si>
  <si>
    <t>Consumo para lavagem de ruas  (autorizado não facturado não medido)</t>
  </si>
  <si>
    <t>Consumo para serviço de combate a incêndio  (autorizado não facturado não medido)</t>
  </si>
  <si>
    <t>Consumo próprio da entidade (não medido)</t>
  </si>
  <si>
    <t>CONSUMO AUTORIZADO NÃO FACTURADO (m3/ano)</t>
  </si>
  <si>
    <t>Valor
(m3/ano)</t>
  </si>
  <si>
    <t>C3</t>
  </si>
  <si>
    <t>D3</t>
  </si>
  <si>
    <t>E3</t>
  </si>
  <si>
    <t>F3</t>
  </si>
  <si>
    <t>G3</t>
  </si>
  <si>
    <t>months/year</t>
  </si>
  <si>
    <t>n.º/day</t>
  </si>
  <si>
    <t>days/year</t>
  </si>
  <si>
    <t>C23</t>
  </si>
  <si>
    <t>C25_C29</t>
  </si>
  <si>
    <t>C27_C31</t>
  </si>
  <si>
    <t xml:space="preserve">  Água captada (m3)</t>
  </si>
  <si>
    <t xml:space="preserve">  Água importada (tratada ou não tratada) facturada por terceiros (m3)</t>
  </si>
  <si>
    <t xml:space="preserve">  Água importada (tratada ou não tratada) não facturada por terceiros (m3)</t>
  </si>
  <si>
    <t>PERDAS APARENTES (m3/ano)</t>
  </si>
  <si>
    <t>Unauthorized use:</t>
  </si>
  <si>
    <t>E2</t>
  </si>
  <si>
    <t>G2</t>
  </si>
  <si>
    <t>H2</t>
  </si>
  <si>
    <t>I2</t>
  </si>
  <si>
    <t>C9</t>
  </si>
  <si>
    <t>Conversão de unidades de caudal para m3/ano</t>
  </si>
  <si>
    <t>J4_K4</t>
  </si>
  <si>
    <t>Value
(cu.m/ year)</t>
  </si>
  <si>
    <t>Financial indicators</t>
  </si>
  <si>
    <t>Water losses per connection (cu.m/service connection/year)  (applicable to distribution systems)</t>
  </si>
  <si>
    <t>Water losses per mains length (cu.m/km/day) (applicable to bulk supply systems)</t>
  </si>
  <si>
    <t>horas</t>
  </si>
  <si>
    <t>hours</t>
  </si>
  <si>
    <t>Apparent losses (%) (applicable to distribution systems)</t>
  </si>
  <si>
    <t>Apparent losses per mains length (%) (applicable to bulk supply systems)</t>
  </si>
  <si>
    <t>Real losses per mains length (l/km /day when the system is pressurised) (applicable to bulk supply systems)</t>
  </si>
  <si>
    <t>Real losses per connection (l/connection/day when the system is pressurised) (applicable to distribution systems)</t>
  </si>
  <si>
    <t>Non-revenue water by volume (%)</t>
  </si>
  <si>
    <t>Perdas de água por ramal</t>
  </si>
  <si>
    <t xml:space="preserve">Perdas aparentes por volume de água entrada no sistema </t>
  </si>
  <si>
    <t>Índice infra-estrutural de fugas</t>
  </si>
  <si>
    <t>Água não facturada em termos de volume</t>
  </si>
  <si>
    <t xml:space="preserve">Water losses per connection </t>
  </si>
  <si>
    <t>Infrastructure leakage index</t>
  </si>
  <si>
    <t>Non-revenue water by volume</t>
  </si>
  <si>
    <t xml:space="preserve">Unmetered water </t>
  </si>
  <si>
    <t>Água não facturada em termos de custo</t>
  </si>
  <si>
    <t>Input(1)                       -   (1) Dados do sistema</t>
  </si>
  <si>
    <t>Input(2)                       -   (2) Água entrada no sistema</t>
  </si>
  <si>
    <t>Input(3)                       -   (3) Consumo facturado</t>
  </si>
  <si>
    <t>Input(4)                       -   (4) Consumo autorizado não facturado</t>
  </si>
  <si>
    <t>Input(5)                       -   (5) Perdas aparentes</t>
  </si>
  <si>
    <t>Input(6)                       -   (6) Perdas reais</t>
  </si>
  <si>
    <t>Configuration options   -   Opções de configuração</t>
  </si>
  <si>
    <t>Input(1)                       -   (1) System data</t>
  </si>
  <si>
    <t>Input(2)                       -   (2) System input volumes</t>
  </si>
  <si>
    <t>Configuration options    -  Configuration options</t>
  </si>
  <si>
    <t>€/año</t>
  </si>
  <si>
    <t xml:space="preserve">Periodo: </t>
  </si>
  <si>
    <t>días</t>
  </si>
  <si>
    <t>Exactitud</t>
  </si>
  <si>
    <t>Ineficiencia en la utilización de los recursos hídricos</t>
  </si>
  <si>
    <t>A3 - Consumo autorizado</t>
  </si>
  <si>
    <t>A19 - Pérdidas reales</t>
  </si>
  <si>
    <t>Indicadores operacionales</t>
  </si>
  <si>
    <t>Op23 = (A15 x 365 / H1) / C24 (aplicable a sistemas de distribución)</t>
  </si>
  <si>
    <t>A15 - Pérdidas de agua</t>
  </si>
  <si>
    <t>C24 - Número de acometidas</t>
  </si>
  <si>
    <t xml:space="preserve">H1 - Periodo de evaluación </t>
  </si>
  <si>
    <t>Op24 = (A15 / 365) / C8 (aplicable a la mayoría de los sistemas de abastecimiento)</t>
  </si>
  <si>
    <t>C8 - Longitud de tuberías</t>
  </si>
  <si>
    <t>Op26 = A18 / A3 x 100 (aplicable a la mayoría de los sistemas de abastecimiento)</t>
  </si>
  <si>
    <t>A3 - Longitud de tuberías</t>
  </si>
  <si>
    <t>A18 - Pérdidas aparentes</t>
  </si>
  <si>
    <t>Op25 = A18 / (A3-A5-A7) x 100 (aplicable a la mayoría de los sistemas de abastecimiento)</t>
  </si>
  <si>
    <t>A5 - Agua no tratada exportada</t>
  </si>
  <si>
    <t>A7 - Agua tratada exportada</t>
  </si>
  <si>
    <t>Op28 = A19 x 1000 / (C8 x H2 x 365 / 24) (aplicable a la mayoría de los sistemas de abastecimiento)</t>
  </si>
  <si>
    <t>Tiempo en que el sistema se encuentra presurizado</t>
  </si>
  <si>
    <t>Op27 = A19 x 1000 / (C24 x H2 / 24) (aplicable a la mayoría de los sistemas de abastecimiento)</t>
  </si>
  <si>
    <t>C24 -Número de acometidas</t>
  </si>
  <si>
    <t>H2 - Tiempo en que el sistema se encuentra presurizado</t>
  </si>
  <si>
    <t>Índice de fuga infraestructural (-)</t>
  </si>
  <si>
    <t>Op27 - Pérdidas reales por acometidas</t>
  </si>
  <si>
    <t>C25 - Longitud promedio de acometida de servicio</t>
  </si>
  <si>
    <t>D34 - Presión media de operación</t>
  </si>
  <si>
    <t xml:space="preserve">Agua no facturada en términos de volumen (%) </t>
  </si>
  <si>
    <t>A3 - Volumen ingresado al sistema</t>
  </si>
  <si>
    <t>A21 - Agua no facturada</t>
  </si>
  <si>
    <t xml:space="preserve">Agua no facturada en términos de coste (%) </t>
  </si>
  <si>
    <t>A13 -Consumo autorizado no facturado</t>
  </si>
  <si>
    <t>G57 - Tárifa media para consumos directos</t>
  </si>
  <si>
    <t>G58 - Coste unitario atribuido a las pérdidas reales</t>
  </si>
  <si>
    <t>G5 - Costes acumulados</t>
  </si>
  <si>
    <t>A8 - Consumo facturado medido</t>
  </si>
  <si>
    <t>A11 - Consumo no facturado medido</t>
  </si>
  <si>
    <t>Para sistemas de trasmisión y distribución, utilizar la tarifa promedio para agua exportada</t>
  </si>
  <si>
    <t>Consumo autorizado facturado</t>
  </si>
  <si>
    <t>Pérdidas totales</t>
  </si>
  <si>
    <t>Pérdidas reales</t>
  </si>
  <si>
    <t>Datos generales del sistema al que se refiere el balance hídrico</t>
  </si>
  <si>
    <t>Nombre de la entidad gestora o abastecimiento:</t>
  </si>
  <si>
    <t>ID o designación de la unidad operacional</t>
  </si>
  <si>
    <t>Nombre del responsable del cálculo del balance hídrico</t>
  </si>
  <si>
    <t>Correo electrónico del responsable del cálculo del balance hídrico</t>
  </si>
  <si>
    <t>Identificación del sistema o subsistema</t>
  </si>
  <si>
    <t>Unidades</t>
  </si>
  <si>
    <t>Fiabilidad</t>
  </si>
  <si>
    <t>Periodo de cálculo:</t>
  </si>
  <si>
    <t>Datos complementarios necesarios para la evaluación de los indicadores de pérdidas de agua</t>
  </si>
  <si>
    <t>Longitud de las tuberías de distribución</t>
  </si>
  <si>
    <t>Longitud de acometidas de servicio</t>
  </si>
  <si>
    <t>Altura piezométrica media de operación</t>
  </si>
  <si>
    <t>Agua no tratada exportada</t>
  </si>
  <si>
    <t>Longitud promedio de la acometida de servicio (entre los límites de la propieddad y el medidor)</t>
  </si>
  <si>
    <t>Periodo de calculo del balance hídrico</t>
  </si>
  <si>
    <t>Tiempo en el cual el sistema se encuentra presurizado</t>
  </si>
  <si>
    <t>Costes acumulados</t>
  </si>
  <si>
    <t>Agua no facturada por coste</t>
  </si>
  <si>
    <t>Coste unitario atribuido a pérdidas reales</t>
  </si>
  <si>
    <t>Comentarios</t>
  </si>
  <si>
    <t>m3/año</t>
  </si>
  <si>
    <t>Introduzca el nombre de la persona responsable del llenado de los datos.</t>
  </si>
  <si>
    <t>Introduzca el correo electrónico de la persona responsable del llenado de los datos</t>
  </si>
  <si>
    <t>En general, un año (por ejemplo, 2006). No se requiere un formato específico.</t>
  </si>
  <si>
    <t>Datos requeridos sólo para el cálculo del índice de fugas infraestructural</t>
  </si>
  <si>
    <t>En general, el balance de agua se refiere a períodos anuales. Para periodos más cortos la exactitud de la información sobre agua medida y sobre agua facturada tiende a decrecer. Los resultados disponibles están expresados en m3/año, aún cuando los periodos de cálculo sean diferentes.</t>
  </si>
  <si>
    <t>Datos requeridos sólo para el indicador "agua no facturada por coste"</t>
  </si>
  <si>
    <t>En el caso de la mayoría de los sistemas de abastecimiento de agua, utilizar la tarifa promedio para agua exportada.
Datos requeridos sólo para el indicador "agua no facturada por coste".</t>
  </si>
  <si>
    <t>Datos requeridos sólo para el indicador "agua no facturada por coste".
Utilizar el más alto entre: (i) el componente variable de la tarifa de agua importada; (ii) coste marginal de largo plazo para fuentes propias (LRMC, por sus siglas en inglés)</t>
  </si>
  <si>
    <t>Para insertar una nueva fila presiones "Alt"+"Enter"</t>
  </si>
  <si>
    <t>Datos de entrada del sistema</t>
  </si>
  <si>
    <t>IMPORTANTE:
Trata-se de uma aplicação para fins didácticos, ainda em fase de teste. O LNEC e IRAR não se responsabilizam pelas consequências de eventuais erros de cálculo que possam existir. Agradece-se que quaisquer deficiências detectadas sejam reportadas a halegre@lnec.pt.</t>
  </si>
  <si>
    <t>Cálculo (pela aplicação) do volume de água não facturada por subtracção entre a água entrada no sistema e a água facturada.</t>
  </si>
  <si>
    <t xml:space="preserve">          Instructions:</t>
  </si>
  <si>
    <t>A10</t>
  </si>
  <si>
    <t>A11</t>
  </si>
  <si>
    <t xml:space="preserve">             Sistema de produção e adução</t>
  </si>
  <si>
    <t xml:space="preserve">             Sistema de distribuição ou completo</t>
  </si>
  <si>
    <t xml:space="preserve">         This aplication is part of the Manual "Controlo de perdas de água em sistemas públicos de adução e distribuição", (IRAR, LNEC e INAG, 2005). It was developed by LNEC (Alegre, 2004) and aims to support the assessment of the water balance components and the water losses performance indicators recommended by the International Water Association (IWA). It is highly recommended that this application is used in conjunction with the referred manual, particularly its Chapter 5. 
         This application is available free of charge at the websites of IRAR - Instituto Regulador de Águas e Resíduos (www.irar.pt) and of LNEC - Laboratório Nacional de Engenharia Civil, Núcleo de Engenharia Sanitária (www.dha.lnec.pt/nes/portugues/actividade.html). 
         The periodic visit to these sites is recommended in order to check whether new versions are available.   </t>
  </si>
  <si>
    <t>Output(1)                     -   Front page</t>
  </si>
  <si>
    <t>Output(3)                     -   Results: water losses indicators</t>
  </si>
  <si>
    <t>Output(2)                     -   Results: synthesis</t>
  </si>
  <si>
    <t>Output(4)                     -   Results: water balance components</t>
  </si>
  <si>
    <t xml:space="preserve">         White cells in worksheets (1) to (6) shall be fulfilled in order to use this application. Numeric coloured cells are assessed automatically. Results are presented in the worksheets "Output(2)", "Output(3)" and "Output(4)". If you wish to change configuration options, use the corresponding worksheet.  </t>
  </si>
  <si>
    <t xml:space="preserve">         Para usar esta aplicação deverá preencher os dados solicitados nas folhas numeradas de (1) a (6). As células a preencher pelo utilizador são as de cor branca. As células com conteúdo numérico coloridas são obtidas por cálculo feito pela própria aplicação. Os resultados são apresentados nas folhas "Output(2)", "Output(3)" e "Output(4)". Se pretender alterar opções de configuração, utilize a folha "Configuration options". </t>
  </si>
  <si>
    <t>IMPORTANT:
This is an application for training purposes. LNEC and IRAR are not responsible by the consequences of possible bugs. Any deficiencies detected should be reported to halegre@lnec.pt.</t>
  </si>
  <si>
    <t>Water balance</t>
  </si>
  <si>
    <t>Step 0:</t>
  </si>
  <si>
    <t>Step 1:</t>
  </si>
  <si>
    <t>Step 2:</t>
  </si>
  <si>
    <t>Step 3:</t>
  </si>
  <si>
    <t>Step 4:</t>
  </si>
  <si>
    <t>Step 5:</t>
  </si>
  <si>
    <t>Step 6:</t>
  </si>
  <si>
    <t>Step 7:</t>
  </si>
  <si>
    <t>Step 8:</t>
  </si>
  <si>
    <t>Step 9:</t>
  </si>
  <si>
    <t>General data of the system that the water balance refers to</t>
  </si>
  <si>
    <t xml:space="preserve">Operational unit ID </t>
  </si>
  <si>
    <t>Name of responsible for water balance assessment</t>
  </si>
  <si>
    <t>Cu.m/year</t>
  </si>
  <si>
    <t>Average service connection lenght (between the property boundery and the meter)</t>
  </si>
  <si>
    <t>Water balance assessment period</t>
  </si>
  <si>
    <t>UNBILLED AUTHORISED CONSUMPTION (cu.m/ano)</t>
  </si>
  <si>
    <t>Other unbilled unmetered authorised consumption</t>
  </si>
  <si>
    <t>Specify any other types of consumer</t>
  </si>
  <si>
    <t>Especificar eventuais outras categorias de consumidor</t>
  </si>
  <si>
    <t>Adaptar lista às categorias de consumidores adoptada pela entidade gestora em causa</t>
  </si>
  <si>
    <t>Soma (pela aplicação) dos volumes correspondentes ao consumo autorizado facturado e ao consumo autorizado não facturado; o resultado corresponde ao consumo autorizado.</t>
  </si>
  <si>
    <t>Cálculo (pela aplicação) das perdas de água como a diferença entre a água entrada no sistema e o consumo autorizado.</t>
  </si>
  <si>
    <t>Cálculo (pela aplicação) das perdas reais subtraindo as perdas aparentes das perdas de água.</t>
  </si>
  <si>
    <t>Output(2)                     -   Resultados síntese</t>
  </si>
  <si>
    <t>Output(3)                     -   Resultados indicadores</t>
  </si>
  <si>
    <t>Output(4)                     -   Resultados balanço hidríco</t>
  </si>
  <si>
    <t>Output(1)                     -   Folha de rosto</t>
  </si>
  <si>
    <t>Instruc.                        -   Instruções</t>
  </si>
  <si>
    <t>En caso de ser necesario, especifique otros tipos de consumos ilegales</t>
  </si>
  <si>
    <t>CÁLCULO DE LAS PÉRDIDAS REALES</t>
  </si>
  <si>
    <t>El cáculo de las pérdidas reales posibilita el cierre del ciclo de balance hídrico. Por un lado, ellas son calculadas como la diferencia entre las pérdias totales y las aparentes. Por otro lado, pueden ser calculadas como se propone en esta hoja de cálculo. La comparación entre estos dos valores permitirá identificar la necesidad de mejorar la calidad de algunos datos usados o de cambiar algunas estimaciones actuales, con la finalidad de obtener un resultado coherente y más realista.</t>
  </si>
  <si>
    <t>Fugas en tuberías de trasmisión y/o distribución.</t>
  </si>
  <si>
    <t>Fugas y desbordamientos en tanques de almacenamiento de trasmisión y/o distribución</t>
  </si>
  <si>
    <t>Propagación de errores bajeada en la teoría de errores clásica</t>
  </si>
  <si>
    <t>Propagación de incertitud bajeada en el ISO - GUM</t>
  </si>
  <si>
    <t xml:space="preserve">             Sistema de producción y transporte</t>
  </si>
  <si>
    <t xml:space="preserve">             Sistema de distribución o completo</t>
  </si>
  <si>
    <t>OPCIONES DE CONFIGURACIÓN</t>
  </si>
  <si>
    <t>Conversión de unidades de caudal en m3/año</t>
  </si>
  <si>
    <t>Franjas de fiabilidad y de exactitud</t>
  </si>
  <si>
    <t>Franjas de fiabilidad</t>
  </si>
  <si>
    <t>Fuente de datos altamente fiable: datos basados en registros, procedimientos, investigaciones o análisis que son adecuadamente documentados y reconocidos como los mejores métods de cálculo disponibles.</t>
  </si>
  <si>
    <t>Fuente de datos simplemente fiable: peor que ***, pero mejor que *.</t>
  </si>
  <si>
    <t>Fuente de datos no fiable: datos basados en extrapolaciones desde muestras limitadamente fiables o en suposiciones reportadas</t>
  </si>
  <si>
    <t>Bandas de exactitud</t>
  </si>
  <si>
    <t>Unidad</t>
  </si>
  <si>
    <t>Factor de conversión</t>
  </si>
  <si>
    <t>Opciones para el cálculo de la franja de exactitud de los resultados</t>
  </si>
  <si>
    <t>Cuando se ejecutan operaciones aritméticas, la incertidumbre en los datos de entrada se propaga. En el caso del balance hídrico, la incertidumbre varía en gran medida de un ítem de datos a otro, porque tal vez algunos pueden estar medidos con exactitud mientras que otros (por ejemplo, el consumo ilegal) son inevitablemente estimaciones aproximadas.
Esta aplicación le permite al usuario calcular la franja de exactitud de los indicadores basándose en las franjas de exactitud de los datos de entrada. Tradicionalmente, de acuerdo con la teoría de los errores, se ha adoptado la perspectiva pesimista de la propagación del error. Por ejemplo, en el caso de sumas y restas, el cálculo del valor absoluto del resultado es hecho al sumar el módulo del valor absoluto de las partes.
Hoy por hoy, de acuerdo con la GUM (Guide to the expression of Uncertainty in Measurement, International Organization for Standardization, Geneva, 1993), la teoría de análisis de la incertidumbre se usa en vez de los principios de propagación del error. Asumiendo que la incertidumbre está normalmente distribuida, y usando de nuevo el ejemplo, la incertidumbre de la suma o de la resta puede ser calculada como la raíz cuadrada de la suma de los cuadradaos de los términos.
Esta aplicación permite calcular la exactitud de los indicadores usando, o bien la propagación del error clásica, o bien la propagación de la incertidumbre de acuerdo a la GUM. El usuario puede seleccionar alguna de las dos opciones ofrecidas, aunque se recomienda elegir la segunda.</t>
  </si>
  <si>
    <t>Opción escogida:</t>
  </si>
  <si>
    <t>Se han adoptado por defecto las franjas de fiabilidad recomendadas en el manual de la IWA sobre indicadores de gestión. El usuario puede personalizarlas (las celdas pueden ser editadas).</t>
  </si>
  <si>
    <t>Para insertar una nueva fila presione "Alt"+"Enter".</t>
  </si>
  <si>
    <t>Las unidades de caudal pueden ser personalizadas. Al usuario se le solicita especificar el correspondiente factor de conversión a m3/año.</t>
  </si>
  <si>
    <t xml:space="preserve">Se han adoptado las franjas exactas recomendadas en el manual de indicadores de gestión de la IWA y IRAR. El usuario puede personalizarlas (las celdas pueden ser editadas). </t>
  </si>
  <si>
    <t xml:space="preserve">A execução de operações aritmétmicas entre números com determinados níveis de incerteza provoca a propagação dessas incertezas para os resultados. No cálculo do balanço hídrico, as incertezas inerentes a cada componente podem ser muito diferenciadas entre si, já que algumas parcelas decorrem de medições muito fiáveis, enquanto outras (por exemplo os consumos ilícitos) são, pela sua natureza, muito pouco fiáveis.
Esta aplicação permite calcular a banda de exactidão (expressa em termos de incerteza) de cada componente do balanço hídrico e dos indicadores de desempenho das perdas em função das bandas de exactidão dos dados de entrada.Tradicionalmente, de acordo com a teoria de erros, falava-se de propagação de erros e adoptava-se um ponto de vista pessimista para a sua avaliação.Por exemplo, no caso de somas e subtracções, o cálculo do erro absoluto do resultado era feito pela soma do módulo dos erros absolutos das parcelas. 
Hoje em dia, de acordo com o GUM (Guide to the expression of Uncertainty in Measurement, International Organization for Standardization, Geneva, 1993), deixou de se adoptar a teoria de erros, substituindo-a pela análise de incerteza. Se se admitir que a incerteza segue uma distribuição normal, a incerteza de somas e subtracções (para usar o mesmo exemplo) pode ser calculada pela raiz quadrada da soma dos quadrados das incertezas-padrão das parcelas. 
Esta aplicação permite, fundamentalmente para afins didácticos, calcular a exactidão dos indicadores com base na abordagem clássica da teoria de erros ou com base na propagação de incerteza, feita de acordo com o GUM. O utilizador deve escolher a opção preferida, embora se recomende a escolha da segunda. </t>
  </si>
  <si>
    <t xml:space="preserve">Determinação do consumo facturado medido e do consumo facturado não medido na folha Input (3); com estes valores parciais a aplicação calcula a soma como consumo autorizado facturado e como água facturada. </t>
  </si>
  <si>
    <t>Definição do consumo não facturado medido e o consumo não facturado não medido na folha Input (4); a aplicação calcula a soma como consumo autorizado não facturado.</t>
  </si>
  <si>
    <t>Avaliação, usando os melhores métodos disponíveis, das parcelas do uso não autorizado e dos erros de medição na folha Input (5); soma e registo (pela aplicação) em perdas aparentes.</t>
  </si>
  <si>
    <t xml:space="preserve">Avaliação, na folha Input (6), das parcelas das perdas reais usando os melhores métodos disponíveis (análise de caudais nocturnos, dados de medição zonada, cálculos de frequência/caudal/duração das roturas, modelação de perdas baseada em dados locais sobre o nível-base de perdas, etc.); soma (pela aplicação) e comparação com o resultado das perdas reais calculado no Passo 8. </t>
  </si>
  <si>
    <t xml:space="preserve">Determinação do volume de água entrada no sistema na folha Input (2). </t>
  </si>
  <si>
    <t>O principal objectivo do balanço hídrico é o cálculo da água não facturada e das perdas de água (totais, aparentes e reais). Os passos para calcular a água não facturada e as perdas de água são os seguintes:</t>
  </si>
  <si>
    <t>Perdas de água por comprimento de conduta (m3/km/dia) (válido para sistemas de produção e adução)</t>
  </si>
  <si>
    <t>Perdas de água por ramal (m3/ramal/ano)  (válido para sistemas de distribuição)</t>
  </si>
  <si>
    <t>Passo 0:</t>
  </si>
  <si>
    <t>A13</t>
  </si>
  <si>
    <t>A14</t>
  </si>
  <si>
    <t>A15</t>
  </si>
  <si>
    <t>A16</t>
  </si>
  <si>
    <t>A17</t>
  </si>
  <si>
    <t>A18</t>
  </si>
  <si>
    <t>A19</t>
  </si>
  <si>
    <t>A20</t>
  </si>
  <si>
    <t>A21</t>
  </si>
  <si>
    <t>A22</t>
  </si>
  <si>
    <r>
      <t xml:space="preserve">          </t>
    </r>
    <r>
      <rPr>
        <u/>
        <sz val="10"/>
        <rFont val="Arial"/>
        <family val="2"/>
      </rPr>
      <t>Instruções de uso</t>
    </r>
    <r>
      <rPr>
        <sz val="10"/>
        <rFont val="Arial"/>
        <family val="2"/>
      </rPr>
      <t>:</t>
    </r>
  </si>
  <si>
    <t>Reliability</t>
  </si>
  <si>
    <t>Accuracy</t>
  </si>
  <si>
    <t>Para forçar mudança de linha carregue "Alt"+"Enter"</t>
  </si>
  <si>
    <t>A6</t>
  </si>
  <si>
    <t>A7</t>
  </si>
  <si>
    <t>A26</t>
  </si>
  <si>
    <t>A27</t>
  </si>
  <si>
    <t>A28</t>
  </si>
  <si>
    <t>Cells</t>
  </si>
  <si>
    <t>A24</t>
  </si>
  <si>
    <t>G3_G18</t>
  </si>
  <si>
    <t>Inserir e-mail da pessoa responsável pelo preenchimento dos dados.</t>
  </si>
  <si>
    <t>Inserir o nome da pessoa responsável pelo preenchimento dos dados.</t>
  </si>
  <si>
    <t>Dado necessário apenas para cálculo do indicador infra-estrutural de perdas</t>
  </si>
  <si>
    <t>A21_A23</t>
  </si>
  <si>
    <t>Em geral o balanço hídrico refere-se a períodos anuais, abaixo dos quais a informação sobre a água medida e sobre a água facturada baixam muito de exactidão. Os resultados são sempre apresentados em m3/ano, mesmo que o período em análise seja diferente.</t>
  </si>
  <si>
    <t>Dado necessário apenas para o indicador de água não facturada em termos de custos.</t>
  </si>
  <si>
    <t>Para sistemas de produção e adução utilizar a tarifa média para água exportada.
Dado necessário apenas para o indicador de água não facturada em termos de custo.</t>
  </si>
  <si>
    <t>Dado necessário apenas para o indicador de água não facturada em termos de custos. 
Deve ser utilizado o custo marginal (i.e. componente variável) de longo prazo (i.e. se a não alteração da tendência de crescimento da necessidade de água implicar a construção de uma nova captação) da origem de água mais cara que é utilizada.</t>
  </si>
  <si>
    <t>Comentário</t>
  </si>
  <si>
    <t>Comment</t>
  </si>
  <si>
    <t>To change row press "Alt"+"Enter"</t>
  </si>
  <si>
    <t>D10</t>
  </si>
  <si>
    <t>D13_F13</t>
  </si>
  <si>
    <t>A61</t>
  </si>
  <si>
    <t>Para sistemas de produção e adução utilizar a tarifa média para água exportada</t>
  </si>
  <si>
    <t>Estimativa da gama de erro não sistemático entre o valor inserido e o volume realmente entrado no sistema.</t>
  </si>
  <si>
    <t>F7_F12</t>
  </si>
  <si>
    <t>Considera-se que em termos financeiros a gama de exactidão é de 0-5%</t>
  </si>
  <si>
    <t>A5</t>
  </si>
  <si>
    <t>A11_A12</t>
  </si>
  <si>
    <t>Adaptar lista à classificação de consumidores adoptada pela entidade gestora em causa</t>
  </si>
  <si>
    <t>Especificar eventuais outros tipos de consumo</t>
  </si>
  <si>
    <t>A23</t>
  </si>
  <si>
    <t>A25</t>
  </si>
  <si>
    <t xml:space="preserve">Adaptar caso a caso o modo de cálculo desta  estimativa. </t>
  </si>
  <si>
    <t>Em Portugal o consumo para combate a incêndios não é, em geral, facturado</t>
  </si>
  <si>
    <t>F4_F20</t>
  </si>
  <si>
    <t>G4_G20</t>
  </si>
  <si>
    <t>F33</t>
  </si>
  <si>
    <t>Considera-se que em termos financeiros a gama de exactidão da áagua facturada é de 0-5%.</t>
  </si>
  <si>
    <t>H13_I13</t>
  </si>
  <si>
    <t>A4</t>
  </si>
  <si>
    <t>A8_A9</t>
  </si>
  <si>
    <t>A36_A37_A39</t>
  </si>
  <si>
    <t>F3_F16</t>
  </si>
  <si>
    <t>G3_G16</t>
  </si>
  <si>
    <t>H10_I10</t>
  </si>
  <si>
    <t>A20_A24_A28_A32</t>
  </si>
  <si>
    <t>A3</t>
  </si>
  <si>
    <t>A8_A13</t>
  </si>
  <si>
    <t>C6_C7</t>
  </si>
  <si>
    <t>Podem ser positivos ou negativos.</t>
  </si>
  <si>
    <t>Especificar eventuais outros tipos de consumo ilícito</t>
  </si>
  <si>
    <t>B5</t>
  </si>
  <si>
    <t>As classes de fiabilidade indicadas são as recomendadas no manual de indicadores de desempenho da IWA. Podem ser alteradas pelo utilizador (as células são editáveis).</t>
  </si>
  <si>
    <t>O utilizador pode substituir as unidades de caudal listadas por outras, desde que explicite o respectivo factor de conversão para m3/ano.</t>
  </si>
  <si>
    <t>Water balance components</t>
  </si>
  <si>
    <t xml:space="preserve">Billed metered consumption </t>
  </si>
  <si>
    <t>B16</t>
  </si>
  <si>
    <t>Propagação de erros baseada na teoria de erros clássica</t>
  </si>
  <si>
    <t>Classic error propagation</t>
  </si>
  <si>
    <t>Propagação de incerteza baseada no ISO - GUM</t>
  </si>
  <si>
    <t>B18</t>
  </si>
  <si>
    <t>Uncertainty progagation based on  ISO - GUM (Guide for Uncertainty Measurement)</t>
  </si>
  <si>
    <t>Billed unmetered consumption</t>
  </si>
  <si>
    <t>Unbilled metered consumption</t>
  </si>
  <si>
    <t>Unbilled unmetered consumption</t>
  </si>
  <si>
    <t>Unbilled authorised consumption</t>
  </si>
  <si>
    <t>Authorised consumption</t>
  </si>
  <si>
    <t>Water losses</t>
  </si>
  <si>
    <t xml:space="preserve">Unauthorised consumption </t>
  </si>
  <si>
    <t xml:space="preserve">Metering inaccuracies </t>
  </si>
  <si>
    <t xml:space="preserve">Apparent losses </t>
  </si>
  <si>
    <t>Real losses  (1)</t>
  </si>
  <si>
    <t>Leakage on transmission and/or distribution mains</t>
  </si>
  <si>
    <t>Leakage and overflows at transmission and/or distribution storage tanks</t>
  </si>
  <si>
    <t xml:space="preserve">Leakage on service connections up to the measurement point </t>
  </si>
  <si>
    <t>Real losses (2)</t>
  </si>
  <si>
    <t>Performance indicators:</t>
  </si>
  <si>
    <t>Inefficiency of use of water resources (%)</t>
  </si>
  <si>
    <t>Real losses per mains length</t>
  </si>
  <si>
    <t xml:space="preserve">Unmetered water (%)  </t>
  </si>
  <si>
    <t xml:space="preserve">Non-revenue water by cost (%) </t>
  </si>
  <si>
    <t>A18 - Apparent losses</t>
  </si>
  <si>
    <t>Apparent losses</t>
  </si>
  <si>
    <t>A19 - Real losses</t>
  </si>
  <si>
    <t>A3 - Authorised consumption</t>
  </si>
  <si>
    <t>Water losses per connection</t>
  </si>
  <si>
    <t>A15 - Water losses</t>
  </si>
  <si>
    <t>C24 - Number of connections</t>
  </si>
  <si>
    <t>Water losses per mains length</t>
  </si>
  <si>
    <t>C8 - Mains length</t>
  </si>
  <si>
    <t>Apparent losses per mains length</t>
  </si>
  <si>
    <t>A3 - Mains length</t>
  </si>
  <si>
    <t>Inefficiency of use of water resources</t>
  </si>
  <si>
    <t>Operational indicators</t>
  </si>
  <si>
    <t>Water resources indicators</t>
  </si>
  <si>
    <t xml:space="preserve">C8 - Mains lenght </t>
  </si>
  <si>
    <t>Real losses per connection</t>
  </si>
  <si>
    <t>Infrastructure leakage index (-)</t>
  </si>
  <si>
    <t>Op27 - Real losses per connections</t>
  </si>
  <si>
    <t xml:space="preserve">H1 - Assessment period </t>
  </si>
  <si>
    <t>A5 - Exported raw water</t>
  </si>
  <si>
    <t>A7 - Exported treated water</t>
  </si>
  <si>
    <t>A3 - System input volume</t>
  </si>
  <si>
    <t>A21 - Non-revenue water</t>
  </si>
  <si>
    <t>A13 - Unbilled authorised consumption</t>
  </si>
  <si>
    <t>A8 - Billed metered consumption</t>
  </si>
  <si>
    <t>A11 - Unbilled metered consumption</t>
  </si>
  <si>
    <t>H2 - Time system is pressurised</t>
  </si>
  <si>
    <t>C25 - Average service connection length</t>
  </si>
  <si>
    <t>D34 - Average operating pressure</t>
  </si>
  <si>
    <t>G5 - Running costs</t>
  </si>
  <si>
    <t>G58 - Attributed unit cost for real losses</t>
  </si>
  <si>
    <t xml:space="preserve">Non-Revenue Water by Volume (%) </t>
  </si>
  <si>
    <t>Operational indicator</t>
  </si>
  <si>
    <t>Unmetered water</t>
  </si>
  <si>
    <t>Unmetered water indicator</t>
  </si>
  <si>
    <t>IWA recomendad losses indicators</t>
  </si>
  <si>
    <t>l/connection/day</t>
  </si>
  <si>
    <t>Non-revenue water by cost</t>
  </si>
  <si>
    <t>Attributed unit cost for real losses</t>
  </si>
  <si>
    <t>Running costs</t>
  </si>
  <si>
    <t>Exported raw water</t>
  </si>
  <si>
    <t>Distribution mains length</t>
  </si>
  <si>
    <t>Service connection length</t>
  </si>
  <si>
    <t>Time system is pressurised</t>
  </si>
  <si>
    <t>Water abstracted</t>
  </si>
  <si>
    <t xml:space="preserve">  Residential consumption </t>
  </si>
  <si>
    <t xml:space="preserve">  Industrial consumption</t>
  </si>
  <si>
    <t xml:space="preserve">  Public consumption</t>
  </si>
  <si>
    <t xml:space="preserve">  Commercial and services consumption</t>
  </si>
  <si>
    <t>Exported water:</t>
  </si>
  <si>
    <t>Billed metered consumption</t>
  </si>
  <si>
    <t>UNBILLED CONSUMPTION CALCULATION</t>
  </si>
  <si>
    <t xml:space="preserve">Billed unmetered consumption: </t>
  </si>
  <si>
    <t>Direct distribution:</t>
  </si>
  <si>
    <t xml:space="preserve">  Others billed metered consumptions</t>
  </si>
  <si>
    <t>UNBILLED AUTHORISED CONSUMPTION CALCULATION</t>
  </si>
  <si>
    <t>UNBILLED METERED AUTHORISED CONSUMPTION CALCULATION</t>
  </si>
  <si>
    <t>UNBILLED UNMETERED AUTHORISED CONSUMPTION CALCULATION</t>
  </si>
  <si>
    <t xml:space="preserve">Unbilled metered authorised consumption: </t>
  </si>
  <si>
    <t>Non-revenue water</t>
  </si>
  <si>
    <t>Real losses</t>
  </si>
  <si>
    <t>REAL LOSSES CALCULATION</t>
  </si>
  <si>
    <t>The calculation of real losses allow for closing the water balance cycle. On the one hand, they are assessed as the difference between total and apparent losses. On the other hand, they can also be assessed as presented in this worksheet. The comparison between these two values will allow for identifying the need for improving the quality of some of the data used or for changing current estimates, in order to get a coherent and more realistic result.</t>
  </si>
  <si>
    <t xml:space="preserve">  Hydrant consumption </t>
  </si>
  <si>
    <t xml:space="preserve">  Other unbilled unmetered consumption</t>
  </si>
  <si>
    <t>Billed non-metered consumption related to:</t>
  </si>
  <si>
    <t xml:space="preserve">  Residential, commercial and other unmetered customers</t>
  </si>
  <si>
    <t>(point of view: opeartional)</t>
  </si>
  <si>
    <t>(point of view: economics)</t>
  </si>
  <si>
    <t>To change row press "Alt"+"Enter".</t>
  </si>
  <si>
    <t>Options for the assessment of result accuracy band</t>
  </si>
  <si>
    <t>Select language</t>
  </si>
  <si>
    <t>Exported water (unbilled metered):</t>
  </si>
  <si>
    <t>Unbilled unmetered authorised consumption</t>
  </si>
  <si>
    <t xml:space="preserve">   Number of consumers </t>
  </si>
  <si>
    <t xml:space="preserve">Define system input volume and enter in Input (2). </t>
  </si>
  <si>
    <t>Define exact limits of the system (or sector of the network) to be audited; define reference dates (one year).</t>
  </si>
  <si>
    <t xml:space="preserve">Define billed metered consumption and billed unmetered consumption in Input (3); these values allows for the automatic assessment of billed authorised consumption and revenue water.  </t>
  </si>
  <si>
    <t>Automatic assessment (by the application) of the volume of non-revenue water as system input volume minus revenue water.</t>
  </si>
  <si>
    <t>Balanço dos erros sistemáticos da água entrada e do consumo autorizado</t>
  </si>
  <si>
    <t>Balance of the systematic errors of input volume and authorised consumption</t>
  </si>
  <si>
    <t xml:space="preserve">Define unbilled metered consumption and unbilled unmetered consumption in Input (4); the application calculates the sum as the unbilled autorised consumption. </t>
  </si>
  <si>
    <t xml:space="preserve">Automatic addition of the volumes of billed authorised consumption and of unbilled authorised consumption; the result is the autorised consumption. </t>
  </si>
  <si>
    <t>Automatic calculation of water losses, as the difference between system input volume and authorised consumption.</t>
  </si>
  <si>
    <t xml:space="preserve">Assess components of unauthorised consumption and metering inaccuracies by best means available and input in Input (5); the sum is automatically registered as apparent losses. </t>
  </si>
  <si>
    <t>Automatic assessment of real losses as water losses minus apparent losses.</t>
  </si>
  <si>
    <t xml:space="preserve">Assess components of real losses  in Input (6) by best means available (night flow analysis, burst frequency/flow rate/duration calculations, modelling, etc.); automatic addition of these values should be crosscheck with volume of real losses assessd in Step 8. </t>
  </si>
  <si>
    <t>Water losses indicators</t>
  </si>
  <si>
    <t>Estado</t>
  </si>
  <si>
    <t>Câmara</t>
  </si>
  <si>
    <t>Calculei a relação entre km de conduta e ramais. Considerei 25% das perdas reais como fugas em ramais e 75% para fugas em condutas.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</si>
</sst>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1" x14ac:knownFonts="1">
    <font>
      <sz val="10"/>
      <name val="Arial"/>
    </font>
    <font>
      <sz val="10"/>
      <name val="Arial"/>
      <family val="2"/>
    </font>
    <font>
      <sz val="10"/>
      <name val="Arial"/>
      <family val="2"/>
    </font>
    <font>
      <b/>
      <sz val="10"/>
      <name val="Arial"/>
      <family val="2"/>
    </font>
    <font>
      <sz val="8"/>
      <name val="Arial"/>
      <family val="2"/>
    </font>
    <font>
      <b/>
      <i/>
      <sz val="8"/>
      <name val="Arial"/>
      <family val="2"/>
    </font>
    <font>
      <b/>
      <sz val="8"/>
      <name val="Arial"/>
      <family val="2"/>
    </font>
    <font>
      <b/>
      <sz val="14"/>
      <name val="Arial"/>
      <family val="2"/>
    </font>
    <font>
      <sz val="8"/>
      <name val="Arial"/>
      <family val="2"/>
    </font>
    <font>
      <vertAlign val="superscript"/>
      <sz val="10"/>
      <name val="Arial"/>
      <family val="2"/>
    </font>
    <font>
      <b/>
      <sz val="12"/>
      <name val="Arial"/>
      <family val="2"/>
    </font>
    <font>
      <u/>
      <sz val="10"/>
      <color indexed="12"/>
      <name val="Arial"/>
      <family val="2"/>
    </font>
    <font>
      <sz val="14"/>
      <name val="Arial"/>
      <family val="2"/>
    </font>
    <font>
      <sz val="12"/>
      <name val="Arial"/>
      <family val="2"/>
    </font>
    <font>
      <b/>
      <u/>
      <sz val="8"/>
      <name val="Arial"/>
      <family val="2"/>
    </font>
    <font>
      <vertAlign val="subscript"/>
      <sz val="10"/>
      <name val="Arial"/>
      <family val="2"/>
    </font>
    <font>
      <sz val="10"/>
      <name val="Symbol"/>
      <family val="1"/>
      <charset val="2"/>
    </font>
    <font>
      <b/>
      <sz val="16"/>
      <name val="Arial"/>
      <family val="2"/>
    </font>
    <font>
      <sz val="10"/>
      <color indexed="10"/>
      <name val="Arial"/>
      <family val="2"/>
    </font>
    <font>
      <b/>
      <sz val="8"/>
      <name val="Arial"/>
      <family val="2"/>
    </font>
    <font>
      <b/>
      <u/>
      <sz val="12"/>
      <name val="Arial"/>
      <family val="2"/>
    </font>
    <font>
      <b/>
      <sz val="12"/>
      <color indexed="62"/>
      <name val="Arial"/>
      <family val="2"/>
    </font>
    <font>
      <sz val="14"/>
      <color indexed="9"/>
      <name val="Arial"/>
      <family val="2"/>
    </font>
    <font>
      <b/>
      <sz val="12"/>
      <color indexed="9"/>
      <name val="Arial"/>
      <family val="2"/>
    </font>
    <font>
      <sz val="10"/>
      <color indexed="8"/>
      <name val="Arial"/>
      <family val="2"/>
    </font>
    <font>
      <vertAlign val="superscript"/>
      <sz val="8"/>
      <name val="Arial"/>
      <family val="2"/>
    </font>
    <font>
      <vertAlign val="subscript"/>
      <sz val="8"/>
      <name val="Arial"/>
      <family val="2"/>
    </font>
    <font>
      <sz val="12"/>
      <name val="Arial"/>
      <family val="2"/>
    </font>
    <font>
      <b/>
      <sz val="10"/>
      <name val="Arial"/>
      <family val="2"/>
    </font>
    <font>
      <b/>
      <sz val="10"/>
      <name val="Symbol"/>
      <family val="1"/>
      <charset val="2"/>
    </font>
    <font>
      <sz val="8"/>
      <color indexed="9"/>
      <name val="Arial"/>
      <family val="2"/>
    </font>
    <font>
      <b/>
      <sz val="8"/>
      <color indexed="9"/>
      <name val="Symbol"/>
      <family val="1"/>
      <charset val="2"/>
    </font>
    <font>
      <b/>
      <sz val="8"/>
      <color indexed="9"/>
      <name val="Arial"/>
      <family val="2"/>
    </font>
    <font>
      <sz val="10"/>
      <color indexed="9"/>
      <name val="Arial"/>
      <family val="2"/>
    </font>
    <font>
      <sz val="8"/>
      <color indexed="18"/>
      <name val="Arial"/>
      <family val="2"/>
    </font>
    <font>
      <b/>
      <sz val="8"/>
      <color indexed="9"/>
      <name val="Arial Black"/>
      <family val="2"/>
    </font>
    <font>
      <sz val="8"/>
      <color indexed="9"/>
      <name val="Arial"/>
      <family val="2"/>
    </font>
    <font>
      <b/>
      <sz val="10"/>
      <color indexed="8"/>
      <name val="Arial"/>
      <family val="2"/>
    </font>
    <font>
      <i/>
      <sz val="8"/>
      <color indexed="18"/>
      <name val="Arial"/>
      <family val="2"/>
    </font>
    <font>
      <u/>
      <sz val="8"/>
      <name val="Arial"/>
      <family val="2"/>
    </font>
    <font>
      <i/>
      <sz val="8"/>
      <name val="Arial"/>
      <family val="2"/>
    </font>
    <font>
      <sz val="9"/>
      <name val="Arial"/>
      <family val="2"/>
    </font>
    <font>
      <b/>
      <u/>
      <sz val="8"/>
      <color indexed="18"/>
      <name val="Arial"/>
      <family val="2"/>
    </font>
    <font>
      <u/>
      <sz val="10"/>
      <name val="Arial"/>
      <family val="2"/>
    </font>
    <font>
      <b/>
      <sz val="9"/>
      <name val="Arial"/>
      <family val="2"/>
    </font>
    <font>
      <sz val="9"/>
      <name val="Arial"/>
      <family val="2"/>
    </font>
    <font>
      <sz val="10.5"/>
      <name val="Arial"/>
      <family val="2"/>
    </font>
    <font>
      <b/>
      <sz val="11"/>
      <name val="Arial"/>
      <family val="2"/>
    </font>
    <font>
      <sz val="8"/>
      <color indexed="10"/>
      <name val="Arial"/>
      <family val="2"/>
    </font>
    <font>
      <sz val="8"/>
      <color rgb="FF000000"/>
      <name val="Tahoma"/>
      <family val="2"/>
    </font>
    <font>
      <sz val="8"/>
      <color indexed="81"/>
      <name val="Tahoma"/>
      <family val="2"/>
    </font>
  </fonts>
  <fills count="15">
    <fill>
      <patternFill patternType="none"/>
    </fill>
    <fill>
      <patternFill patternType="gray125"/>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43"/>
        <bgColor indexed="64"/>
      </patternFill>
    </fill>
    <fill>
      <patternFill patternType="solid">
        <fgColor indexed="9"/>
        <bgColor indexed="64"/>
      </patternFill>
    </fill>
    <fill>
      <patternFill patternType="solid">
        <fgColor indexed="13"/>
        <bgColor indexed="64"/>
      </patternFill>
    </fill>
    <fill>
      <patternFill patternType="solid">
        <fgColor indexed="51"/>
        <bgColor indexed="64"/>
      </patternFill>
    </fill>
    <fill>
      <patternFill patternType="solid">
        <fgColor indexed="18"/>
        <bgColor indexed="64"/>
      </patternFill>
    </fill>
    <fill>
      <patternFill patternType="solid">
        <fgColor indexed="56"/>
        <bgColor indexed="64"/>
      </patternFill>
    </fill>
    <fill>
      <patternFill patternType="solid">
        <fgColor indexed="8"/>
        <bgColor indexed="64"/>
      </patternFill>
    </fill>
    <fill>
      <patternFill patternType="solid">
        <fgColor indexed="62"/>
        <bgColor indexed="64"/>
      </patternFill>
    </fill>
    <fill>
      <patternFill patternType="solid">
        <fgColor indexed="46"/>
        <bgColor indexed="64"/>
      </patternFill>
    </fill>
    <fill>
      <patternFill patternType="solid">
        <fgColor indexed="22"/>
        <bgColor indexed="64"/>
      </patternFill>
    </fill>
  </fills>
  <borders count="82">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right style="medium">
        <color auto="1"/>
      </right>
      <top/>
      <bottom/>
      <diagonal/>
    </border>
    <border>
      <left/>
      <right style="medium">
        <color auto="1"/>
      </right>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thin">
        <color auto="1"/>
      </top>
      <bottom/>
      <diagonal/>
    </border>
    <border>
      <left/>
      <right/>
      <top/>
      <bottom style="thin">
        <color auto="1"/>
      </bottom>
      <diagonal/>
    </border>
    <border>
      <left style="thin">
        <color auto="1"/>
      </left>
      <right/>
      <top/>
      <bottom/>
      <diagonal/>
    </border>
    <border>
      <left style="thin">
        <color auto="1"/>
      </left>
      <right style="medium">
        <color auto="1"/>
      </right>
      <top style="medium">
        <color auto="1"/>
      </top>
      <bottom style="medium">
        <color auto="1"/>
      </bottom>
      <diagonal/>
    </border>
    <border>
      <left style="thin">
        <color auto="1"/>
      </left>
      <right style="medium">
        <color auto="1"/>
      </right>
      <top/>
      <bottom/>
      <diagonal/>
    </border>
    <border>
      <left/>
      <right style="medium">
        <color auto="1"/>
      </right>
      <top/>
      <bottom style="thin">
        <color auto="1"/>
      </bottom>
      <diagonal/>
    </border>
    <border>
      <left style="thin">
        <color auto="1"/>
      </left>
      <right style="medium">
        <color auto="1"/>
      </right>
      <top/>
      <bottom style="medium">
        <color auto="1"/>
      </bottom>
      <diagonal/>
    </border>
    <border>
      <left/>
      <right style="medium">
        <color auto="1"/>
      </right>
      <top style="medium">
        <color auto="1"/>
      </top>
      <bottom style="thin">
        <color auto="1"/>
      </bottom>
      <diagonal/>
    </border>
    <border>
      <left style="thin">
        <color auto="1"/>
      </left>
      <right style="thin">
        <color auto="1"/>
      </right>
      <top/>
      <bottom/>
      <diagonal/>
    </border>
    <border>
      <left/>
      <right/>
      <top style="medium">
        <color auto="1"/>
      </top>
      <bottom style="medium">
        <color auto="1"/>
      </bottom>
      <diagonal/>
    </border>
    <border>
      <left/>
      <right/>
      <top/>
      <bottom style="medium">
        <color auto="1"/>
      </bottom>
      <diagonal/>
    </border>
    <border>
      <left/>
      <right/>
      <top style="medium">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medium">
        <color indexed="18"/>
      </bottom>
      <diagonal/>
    </border>
    <border>
      <left style="medium">
        <color auto="1"/>
      </left>
      <right/>
      <top style="thin">
        <color auto="1"/>
      </top>
      <bottom/>
      <diagonal/>
    </border>
    <border>
      <left style="thin">
        <color indexed="8"/>
      </left>
      <right style="medium">
        <color auto="1"/>
      </right>
      <top/>
      <bottom/>
      <diagonal/>
    </border>
    <border>
      <left style="thin">
        <color auto="1"/>
      </left>
      <right style="medium">
        <color auto="1"/>
      </right>
      <top style="thin">
        <color auto="1"/>
      </top>
      <bottom style="thin">
        <color indexed="8"/>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medium">
        <color auto="1"/>
      </right>
      <top style="medium">
        <color auto="1"/>
      </top>
      <bottom style="thin">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diagonal/>
    </border>
    <border>
      <left/>
      <right style="thin">
        <color auto="1"/>
      </right>
      <top style="medium">
        <color auto="1"/>
      </top>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style="thin">
        <color auto="1"/>
      </top>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style="thin">
        <color auto="1"/>
      </left>
      <right/>
      <top/>
      <bottom style="medium">
        <color auto="1"/>
      </bottom>
      <diagonal/>
    </border>
    <border>
      <left/>
      <right style="medium">
        <color auto="1"/>
      </right>
      <top style="thin">
        <color auto="1"/>
      </top>
      <bottom/>
      <diagonal/>
    </border>
    <border>
      <left style="medium">
        <color auto="1"/>
      </left>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thick">
        <color indexed="10"/>
      </left>
      <right style="thick">
        <color indexed="10"/>
      </right>
      <top style="thick">
        <color indexed="10"/>
      </top>
      <bottom style="thick">
        <color indexed="10"/>
      </bottom>
      <diagonal/>
    </border>
    <border>
      <left/>
      <right/>
      <top style="thin">
        <color auto="1"/>
      </top>
      <bottom style="thin">
        <color auto="1"/>
      </bottom>
      <diagonal/>
    </border>
    <border>
      <left style="medium">
        <color indexed="10"/>
      </left>
      <right style="medium">
        <color indexed="10"/>
      </right>
      <top style="medium">
        <color indexed="10"/>
      </top>
      <bottom style="medium">
        <color indexed="10"/>
      </bottom>
      <diagonal/>
    </border>
    <border>
      <left style="medium">
        <color auto="1"/>
      </left>
      <right style="medium">
        <color auto="1"/>
      </right>
      <top/>
      <bottom style="thin">
        <color auto="1"/>
      </bottom>
      <diagonal/>
    </border>
    <border>
      <left/>
      <right style="thick">
        <color auto="1"/>
      </right>
      <top style="medium">
        <color auto="1"/>
      </top>
      <bottom style="medium">
        <color auto="1"/>
      </bottom>
      <diagonal/>
    </border>
    <border>
      <left/>
      <right style="thick">
        <color auto="1"/>
      </right>
      <top style="medium">
        <color auto="1"/>
      </top>
      <bottom/>
      <diagonal/>
    </border>
    <border>
      <left/>
      <right style="thick">
        <color auto="1"/>
      </right>
      <top style="thin">
        <color auto="1"/>
      </top>
      <bottom style="thin">
        <color auto="1"/>
      </bottom>
      <diagonal/>
    </border>
    <border>
      <left style="medium">
        <color auto="1"/>
      </left>
      <right style="thin">
        <color auto="1"/>
      </right>
      <top/>
      <bottom style="thin">
        <color auto="1"/>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 fillId="0" borderId="0" applyNumberFormat="0" applyFill="0" applyBorder="0" applyAlignment="0" applyProtection="0">
      <alignment vertical="top"/>
      <protection locked="0"/>
    </xf>
    <xf numFmtId="0" fontId="1" fillId="0" borderId="0"/>
  </cellStyleXfs>
  <cellXfs count="815">
    <xf numFmtId="0" fontId="0" fillId="0" borderId="0" xfId="0"/>
    <xf numFmtId="0" fontId="3" fillId="0" borderId="0" xfId="0" applyFont="1"/>
    <xf numFmtId="0" fontId="0" fillId="2" borderId="0" xfId="0" applyFill="1"/>
    <xf numFmtId="0" fontId="3" fillId="2" borderId="0" xfId="0" applyFont="1" applyFill="1"/>
    <xf numFmtId="0" fontId="2" fillId="2" borderId="0" xfId="0" applyFont="1" applyFill="1" applyAlignment="1">
      <alignment horizontal="justify"/>
    </xf>
    <xf numFmtId="0" fontId="3" fillId="3" borderId="0" xfId="0" applyFont="1" applyFill="1" applyAlignment="1">
      <alignment horizontal="left"/>
    </xf>
    <xf numFmtId="0" fontId="3" fillId="3" borderId="0" xfId="0" applyFont="1" applyFill="1"/>
    <xf numFmtId="0" fontId="10" fillId="0" borderId="0" xfId="0" applyFont="1"/>
    <xf numFmtId="0" fontId="0" fillId="2" borderId="1" xfId="0" applyFill="1" applyBorder="1"/>
    <xf numFmtId="0" fontId="0" fillId="2" borderId="2" xfId="0" applyFill="1" applyBorder="1"/>
    <xf numFmtId="0" fontId="0" fillId="2" borderId="3" xfId="0" applyFill="1" applyBorder="1"/>
    <xf numFmtId="0" fontId="0" fillId="0" borderId="0" xfId="0" applyAlignment="1">
      <alignment horizontal="left"/>
    </xf>
    <xf numFmtId="0" fontId="7" fillId="0" borderId="0" xfId="0" applyFont="1" applyAlignment="1">
      <alignment horizontal="center"/>
    </xf>
    <xf numFmtId="0" fontId="7" fillId="0" borderId="0" xfId="0" applyFont="1" applyAlignment="1"/>
    <xf numFmtId="0" fontId="12" fillId="0" borderId="0" xfId="0" quotePrefix="1" applyFont="1" applyAlignment="1"/>
    <xf numFmtId="0" fontId="13" fillId="0" borderId="0" xfId="0" quotePrefix="1" applyFont="1" applyAlignment="1"/>
    <xf numFmtId="0" fontId="13" fillId="0" borderId="0" xfId="0" applyFont="1"/>
    <xf numFmtId="0" fontId="0" fillId="0" borderId="0" xfId="0" applyFill="1"/>
    <xf numFmtId="0" fontId="8" fillId="0" borderId="0" xfId="0" applyFont="1" applyFill="1" applyBorder="1"/>
    <xf numFmtId="0" fontId="0" fillId="0" borderId="0" xfId="0" applyBorder="1" applyAlignment="1">
      <alignment horizontal="center"/>
    </xf>
    <xf numFmtId="0" fontId="0" fillId="2" borderId="4" xfId="0" applyFill="1" applyBorder="1"/>
    <xf numFmtId="0" fontId="3" fillId="0" borderId="0" xfId="0" applyFont="1" applyBorder="1" applyAlignment="1"/>
    <xf numFmtId="0" fontId="2" fillId="0" borderId="0" xfId="0" applyFont="1" applyAlignment="1">
      <alignment horizontal="justify"/>
    </xf>
    <xf numFmtId="0" fontId="0" fillId="0" borderId="0" xfId="0" applyBorder="1"/>
    <xf numFmtId="0" fontId="17" fillId="0" borderId="0" xfId="0" applyFont="1"/>
    <xf numFmtId="0" fontId="0" fillId="0" borderId="0" xfId="0" applyFill="1" applyAlignment="1">
      <alignment horizontal="left"/>
    </xf>
    <xf numFmtId="0" fontId="8" fillId="0" borderId="0" xfId="0" applyFont="1" applyFill="1" applyBorder="1" applyAlignment="1">
      <alignment vertical="center" wrapText="1"/>
    </xf>
    <xf numFmtId="0" fontId="0" fillId="0" borderId="0" xfId="0" applyAlignment="1">
      <alignment vertical="center"/>
    </xf>
    <xf numFmtId="0" fontId="8" fillId="0" borderId="0" xfId="0" quotePrefix="1" applyFont="1" applyFill="1" applyBorder="1" applyAlignment="1">
      <alignment vertical="center" wrapText="1"/>
    </xf>
    <xf numFmtId="0" fontId="8" fillId="0" borderId="0" xfId="0" applyFont="1" applyFill="1" applyBorder="1" applyAlignment="1">
      <alignment vertical="center"/>
    </xf>
    <xf numFmtId="0" fontId="8" fillId="0" borderId="0" xfId="0" applyFont="1" applyFill="1" applyAlignment="1">
      <alignment wrapText="1"/>
    </xf>
    <xf numFmtId="0" fontId="6" fillId="0" borderId="0" xfId="0" applyFont="1" applyFill="1" applyBorder="1" applyAlignment="1">
      <alignment horizontal="left" vertical="center" wrapText="1"/>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2" fillId="2" borderId="0" xfId="0" applyFont="1" applyFill="1" applyBorder="1" applyAlignment="1">
      <alignment horizontal="justify"/>
    </xf>
    <xf numFmtId="0" fontId="3" fillId="2" borderId="0" xfId="0" applyFont="1" applyFill="1" applyBorder="1" applyAlignment="1">
      <alignment horizontal="justify"/>
    </xf>
    <xf numFmtId="0" fontId="0" fillId="2" borderId="7" xfId="0" applyFill="1" applyBorder="1"/>
    <xf numFmtId="0" fontId="2" fillId="2" borderId="0" xfId="0" applyFont="1" applyFill="1" applyBorder="1" applyAlignment="1">
      <alignment horizontal="justify" wrapText="1"/>
    </xf>
    <xf numFmtId="0" fontId="3" fillId="5" borderId="8" xfId="0" applyFont="1" applyFill="1" applyBorder="1"/>
    <xf numFmtId="0" fontId="2" fillId="5" borderId="9" xfId="0" applyFont="1" applyFill="1" applyBorder="1"/>
    <xf numFmtId="0" fontId="8" fillId="0" borderId="0" xfId="0" applyFont="1" applyFill="1" applyBorder="1" applyAlignment="1">
      <alignment horizontal="center" vertical="center"/>
    </xf>
    <xf numFmtId="0" fontId="3" fillId="2" borderId="0" xfId="0" applyFont="1" applyFill="1" applyAlignment="1">
      <alignment horizontal="justify"/>
    </xf>
    <xf numFmtId="0" fontId="3" fillId="2" borderId="0" xfId="0" applyFont="1" applyFill="1" applyAlignment="1">
      <alignment horizontal="left" wrapText="1"/>
    </xf>
    <xf numFmtId="0" fontId="2" fillId="2" borderId="9" xfId="0" applyFont="1" applyFill="1" applyBorder="1"/>
    <xf numFmtId="0" fontId="0" fillId="2" borderId="10" xfId="0" applyFill="1" applyBorder="1"/>
    <xf numFmtId="0" fontId="0" fillId="2" borderId="11" xfId="0" applyFill="1" applyBorder="1"/>
    <xf numFmtId="0" fontId="0" fillId="0" borderId="0" xfId="0" applyFill="1" applyBorder="1"/>
    <xf numFmtId="49" fontId="2" fillId="0" borderId="7" xfId="0" applyNumberFormat="1" applyFont="1" applyFill="1" applyBorder="1" applyAlignment="1">
      <alignment horizontal="justify"/>
    </xf>
    <xf numFmtId="0" fontId="0" fillId="0" borderId="0" xfId="0" quotePrefix="1" applyFill="1"/>
    <xf numFmtId="0" fontId="3" fillId="2" borderId="0" xfId="0" applyFont="1" applyFill="1" applyBorder="1"/>
    <xf numFmtId="0" fontId="0" fillId="2" borderId="6" xfId="0" applyFill="1" applyBorder="1"/>
    <xf numFmtId="0" fontId="0" fillId="2" borderId="12" xfId="0" applyFill="1" applyBorder="1"/>
    <xf numFmtId="0" fontId="0" fillId="2" borderId="13" xfId="0" applyFill="1" applyBorder="1"/>
    <xf numFmtId="49" fontId="0" fillId="0" borderId="0" xfId="0" applyNumberFormat="1" applyFill="1" applyBorder="1" applyAlignment="1">
      <alignment horizontal="center"/>
    </xf>
    <xf numFmtId="0" fontId="14" fillId="0" borderId="0" xfId="0" applyFont="1" applyFill="1"/>
    <xf numFmtId="0" fontId="8" fillId="2" borderId="0" xfId="0" applyFont="1" applyFill="1" applyAlignment="1">
      <alignment horizontal="left" vertical="top" wrapText="1"/>
    </xf>
    <xf numFmtId="0" fontId="6" fillId="2" borderId="0" xfId="0" applyFont="1" applyFill="1" applyAlignment="1">
      <alignment horizontal="justify" vertical="top"/>
    </xf>
    <xf numFmtId="0" fontId="6" fillId="3" borderId="0" xfId="0" applyFont="1" applyFill="1" applyAlignment="1">
      <alignment horizontal="justify" vertical="top"/>
    </xf>
    <xf numFmtId="0" fontId="8" fillId="3" borderId="0" xfId="0" applyFont="1" applyFill="1" applyAlignment="1">
      <alignment horizontal="left" vertical="top" wrapText="1"/>
    </xf>
    <xf numFmtId="0" fontId="10" fillId="2" borderId="0" xfId="0" applyFont="1" applyFill="1"/>
    <xf numFmtId="0" fontId="2" fillId="2" borderId="0" xfId="0" applyFont="1" applyFill="1"/>
    <xf numFmtId="0" fontId="6" fillId="2" borderId="0" xfId="0" applyFont="1" applyFill="1"/>
    <xf numFmtId="0" fontId="4" fillId="2" borderId="0" xfId="0" applyFont="1" applyFill="1"/>
    <xf numFmtId="0" fontId="0" fillId="2" borderId="14" xfId="0" applyFill="1" applyBorder="1"/>
    <xf numFmtId="0" fontId="2" fillId="2" borderId="2" xfId="0" applyFont="1" applyFill="1" applyBorder="1"/>
    <xf numFmtId="0" fontId="2" fillId="2" borderId="3" xfId="0" applyFont="1" applyFill="1" applyBorder="1"/>
    <xf numFmtId="1" fontId="0" fillId="0" borderId="0" xfId="0" applyNumberFormat="1"/>
    <xf numFmtId="0" fontId="3" fillId="0" borderId="0" xfId="0" applyFont="1" applyAlignment="1">
      <alignment horizontal="left"/>
    </xf>
    <xf numFmtId="0" fontId="4" fillId="2" borderId="1" xfId="0" applyFont="1" applyFill="1" applyBorder="1" applyAlignment="1">
      <alignment horizontal="center" wrapText="1"/>
    </xf>
    <xf numFmtId="0" fontId="5" fillId="2" borderId="2" xfId="0" applyFont="1" applyFill="1" applyBorder="1" applyAlignment="1">
      <alignment horizontal="center" wrapText="1"/>
    </xf>
    <xf numFmtId="0" fontId="0" fillId="2" borderId="3" xfId="0" applyFill="1" applyBorder="1" applyAlignment="1">
      <alignment wrapText="1"/>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8" fillId="2" borderId="15" xfId="0" applyFont="1" applyFill="1" applyBorder="1" applyAlignment="1">
      <alignment horizontal="center" wrapText="1"/>
    </xf>
    <xf numFmtId="0" fontId="0" fillId="2" borderId="15" xfId="0" applyFill="1" applyBorder="1" applyAlignment="1">
      <alignment wrapText="1"/>
    </xf>
    <xf numFmtId="0" fontId="0" fillId="2" borderId="16" xfId="0" applyFill="1" applyBorder="1" applyAlignment="1">
      <alignment wrapText="1"/>
    </xf>
    <xf numFmtId="0" fontId="0" fillId="2" borderId="2" xfId="0" applyFill="1" applyBorder="1" applyAlignment="1">
      <alignment textRotation="90" wrapText="1"/>
    </xf>
    <xf numFmtId="0" fontId="0" fillId="2" borderId="3" xfId="0" applyFill="1" applyBorder="1" applyAlignment="1">
      <alignment textRotation="90" wrapText="1"/>
    </xf>
    <xf numFmtId="0" fontId="6" fillId="5" borderId="1" xfId="0" applyFont="1" applyFill="1" applyBorder="1" applyAlignment="1">
      <alignment horizontal="center" wrapText="1"/>
    </xf>
    <xf numFmtId="0" fontId="5" fillId="5" borderId="2" xfId="0" applyFont="1" applyFill="1" applyBorder="1" applyAlignment="1">
      <alignment horizontal="center" wrapText="1"/>
    </xf>
    <xf numFmtId="0" fontId="8" fillId="5" borderId="2" xfId="0" applyFont="1" applyFill="1" applyBorder="1" applyAlignment="1">
      <alignment horizontal="center" wrapText="1"/>
    </xf>
    <xf numFmtId="0" fontId="0" fillId="5" borderId="2" xfId="0" applyFill="1" applyBorder="1" applyAlignment="1">
      <alignment wrapText="1"/>
    </xf>
    <xf numFmtId="0" fontId="0" fillId="5" borderId="3" xfId="0" applyFill="1" applyBorder="1" applyAlignment="1">
      <alignment wrapText="1"/>
    </xf>
    <xf numFmtId="0" fontId="4" fillId="5" borderId="2" xfId="0" applyFont="1" applyFill="1" applyBorder="1" applyAlignment="1">
      <alignment horizontal="center" wrapText="1"/>
    </xf>
    <xf numFmtId="0" fontId="4" fillId="2" borderId="17" xfId="0" applyFont="1" applyFill="1" applyBorder="1" applyAlignment="1">
      <alignment horizontal="center" wrapText="1"/>
    </xf>
    <xf numFmtId="0" fontId="5" fillId="2" borderId="18" xfId="0" applyFont="1" applyFill="1" applyBorder="1" applyAlignment="1">
      <alignment horizontal="center" wrapText="1"/>
    </xf>
    <xf numFmtId="0" fontId="4" fillId="2" borderId="19" xfId="0" applyFont="1" applyFill="1" applyBorder="1" applyAlignment="1">
      <alignment horizontal="center" wrapText="1"/>
    </xf>
    <xf numFmtId="0" fontId="4" fillId="2" borderId="18" xfId="0" applyFont="1" applyFill="1" applyBorder="1" applyAlignment="1">
      <alignment horizontal="center" wrapText="1"/>
    </xf>
    <xf numFmtId="0" fontId="0" fillId="0" borderId="0" xfId="0" applyAlignment="1">
      <alignment horizontal="right" vertical="center"/>
    </xf>
    <xf numFmtId="0" fontId="4" fillId="2" borderId="7" xfId="0" applyFont="1" applyFill="1" applyBorder="1" applyAlignment="1">
      <alignment horizontal="left" vertical="center" wrapText="1"/>
    </xf>
    <xf numFmtId="0" fontId="4" fillId="2" borderId="1" xfId="0" applyFont="1" applyFill="1" applyBorder="1" applyAlignment="1">
      <alignment horizontal="center" vertical="top" wrapText="1"/>
    </xf>
    <xf numFmtId="0" fontId="4" fillId="2" borderId="20" xfId="0" applyFont="1" applyFill="1" applyBorder="1" applyAlignment="1">
      <alignment horizontal="center" vertical="top" wrapText="1"/>
    </xf>
    <xf numFmtId="49" fontId="0" fillId="2" borderId="0" xfId="0" applyNumberFormat="1" applyFill="1" applyAlignment="1">
      <alignment horizontal="center"/>
    </xf>
    <xf numFmtId="0" fontId="8" fillId="2" borderId="0" xfId="0" applyFont="1" applyFill="1"/>
    <xf numFmtId="0" fontId="4" fillId="0" borderId="0" xfId="0" applyFont="1" applyFill="1"/>
    <xf numFmtId="0" fontId="8" fillId="0" borderId="0" xfId="0" applyFont="1" applyFill="1"/>
    <xf numFmtId="0" fontId="8" fillId="2" borderId="0" xfId="0" applyFont="1" applyFill="1" applyAlignment="1">
      <alignment wrapText="1"/>
    </xf>
    <xf numFmtId="0" fontId="0" fillId="5" borderId="2" xfId="0" applyFill="1" applyBorder="1"/>
    <xf numFmtId="0" fontId="4" fillId="2" borderId="7" xfId="0" applyFont="1" applyFill="1" applyBorder="1" applyAlignment="1">
      <alignment horizontal="center" vertical="center" wrapText="1"/>
    </xf>
    <xf numFmtId="0" fontId="18" fillId="0" borderId="0" xfId="0" applyFont="1" applyFill="1"/>
    <xf numFmtId="0" fontId="8" fillId="2" borderId="0" xfId="0" applyFont="1" applyFill="1" applyBorder="1"/>
    <xf numFmtId="0" fontId="8" fillId="2" borderId="18" xfId="0" applyFont="1" applyFill="1" applyBorder="1"/>
    <xf numFmtId="0" fontId="8" fillId="2" borderId="19" xfId="0" applyFont="1" applyFill="1" applyBorder="1"/>
    <xf numFmtId="0" fontId="3" fillId="2" borderId="21" xfId="0" applyFont="1" applyFill="1" applyBorder="1"/>
    <xf numFmtId="0" fontId="3" fillId="2" borderId="4" xfId="0" applyFont="1" applyFill="1" applyBorder="1"/>
    <xf numFmtId="0" fontId="3" fillId="2" borderId="1" xfId="0" applyFont="1" applyFill="1" applyBorder="1"/>
    <xf numFmtId="0" fontId="2" fillId="0" borderId="0" xfId="0" applyFont="1"/>
    <xf numFmtId="0" fontId="4" fillId="5" borderId="7" xfId="0" applyFont="1" applyFill="1" applyBorder="1" applyAlignment="1">
      <alignment horizontal="center" vertical="center"/>
    </xf>
    <xf numFmtId="0" fontId="4" fillId="2" borderId="7" xfId="0" applyFont="1" applyFill="1" applyBorder="1" applyAlignment="1">
      <alignment horizontal="center" vertical="center"/>
    </xf>
    <xf numFmtId="0" fontId="10" fillId="0" borderId="0" xfId="0" applyFont="1" applyBorder="1" applyAlignment="1"/>
    <xf numFmtId="0" fontId="27" fillId="0" borderId="0" xfId="0" applyFont="1"/>
    <xf numFmtId="0" fontId="22" fillId="0" borderId="0" xfId="0" applyFont="1" applyFill="1" applyAlignment="1"/>
    <xf numFmtId="0" fontId="23" fillId="0" borderId="0" xfId="0" applyFont="1" applyFill="1" applyAlignment="1"/>
    <xf numFmtId="0" fontId="7" fillId="0" borderId="0" xfId="0" applyFont="1" applyAlignment="1">
      <alignment horizontal="left"/>
    </xf>
    <xf numFmtId="0" fontId="3" fillId="0" borderId="0" xfId="0" applyFont="1" applyBorder="1" applyAlignment="1">
      <alignment horizontal="left"/>
    </xf>
    <xf numFmtId="0" fontId="4" fillId="2" borderId="9" xfId="0" applyFont="1" applyFill="1" applyBorder="1" applyAlignment="1">
      <alignment horizontal="left" vertical="center"/>
    </xf>
    <xf numFmtId="0" fontId="8" fillId="2" borderId="22" xfId="0" applyFont="1" applyFill="1" applyBorder="1" applyAlignment="1">
      <alignment horizontal="left"/>
    </xf>
    <xf numFmtId="0" fontId="8" fillId="2" borderId="0" xfId="0" applyFont="1" applyFill="1" applyBorder="1" applyAlignment="1">
      <alignment horizontal="left" vertical="center"/>
    </xf>
    <xf numFmtId="0" fontId="8" fillId="2" borderId="0" xfId="0" applyFont="1" applyFill="1" applyBorder="1" applyAlignment="1">
      <alignment horizontal="left"/>
    </xf>
    <xf numFmtId="0" fontId="8" fillId="2" borderId="23" xfId="0" applyFont="1" applyFill="1" applyBorder="1" applyAlignment="1">
      <alignment horizontal="left"/>
    </xf>
    <xf numFmtId="0" fontId="3" fillId="0" borderId="0" xfId="0" applyFont="1" applyAlignment="1">
      <alignment horizontal="left" vertical="center"/>
    </xf>
    <xf numFmtId="0" fontId="3" fillId="0" borderId="0" xfId="0" applyFont="1" applyFill="1" applyBorder="1"/>
    <xf numFmtId="0" fontId="16" fillId="0" borderId="15" xfId="0" applyFont="1" applyFill="1" applyBorder="1" applyAlignment="1">
      <alignment horizontal="center"/>
    </xf>
    <xf numFmtId="0" fontId="3" fillId="2" borderId="17" xfId="0" applyFont="1" applyFill="1" applyBorder="1"/>
    <xf numFmtId="0" fontId="6" fillId="2" borderId="18" xfId="0" applyFont="1" applyFill="1" applyBorder="1"/>
    <xf numFmtId="0" fontId="6" fillId="2" borderId="17" xfId="0" applyFont="1" applyFill="1" applyBorder="1"/>
    <xf numFmtId="0" fontId="28" fillId="2" borderId="21" xfId="0" applyFont="1" applyFill="1" applyBorder="1"/>
    <xf numFmtId="0" fontId="8" fillId="2" borderId="18" xfId="0" applyFont="1" applyFill="1" applyBorder="1" applyAlignment="1">
      <alignment horizontal="left"/>
    </xf>
    <xf numFmtId="0" fontId="0" fillId="0" borderId="24" xfId="0" applyBorder="1" applyAlignment="1">
      <alignment horizontal="right" vertical="center"/>
    </xf>
    <xf numFmtId="0" fontId="7" fillId="2" borderId="17" xfId="0" applyFont="1" applyFill="1" applyBorder="1"/>
    <xf numFmtId="0" fontId="0" fillId="0" borderId="0" xfId="0" applyAlignment="1">
      <alignment horizontal="center"/>
    </xf>
    <xf numFmtId="0" fontId="3" fillId="2" borderId="4" xfId="0" applyFont="1" applyFill="1" applyBorder="1" applyAlignment="1">
      <alignment horizontal="center"/>
    </xf>
    <xf numFmtId="0" fontId="8" fillId="0" borderId="0" xfId="0" applyFont="1" applyFill="1" applyBorder="1" applyAlignment="1">
      <alignment horizontal="center"/>
    </xf>
    <xf numFmtId="0" fontId="8" fillId="0" borderId="0" xfId="0" applyFont="1" applyAlignment="1">
      <alignment horizontal="center"/>
    </xf>
    <xf numFmtId="0" fontId="19" fillId="2" borderId="1" xfId="0" applyFont="1" applyFill="1" applyBorder="1" applyAlignment="1">
      <alignment horizontal="center"/>
    </xf>
    <xf numFmtId="0" fontId="8" fillId="2" borderId="8" xfId="0" applyFont="1" applyFill="1" applyBorder="1" applyAlignment="1">
      <alignment horizontal="center"/>
    </xf>
    <xf numFmtId="0" fontId="8" fillId="5" borderId="25" xfId="0" applyFont="1" applyFill="1" applyBorder="1" applyAlignment="1">
      <alignment horizontal="center"/>
    </xf>
    <xf numFmtId="0" fontId="8" fillId="5" borderId="14" xfId="0" applyFont="1" applyFill="1" applyBorder="1" applyAlignment="1">
      <alignment horizontal="center"/>
    </xf>
    <xf numFmtId="0" fontId="8" fillId="5" borderId="26" xfId="0" applyFont="1" applyFill="1" applyBorder="1" applyAlignment="1">
      <alignment horizontal="center"/>
    </xf>
    <xf numFmtId="0" fontId="8" fillId="2" borderId="26" xfId="0" applyFont="1" applyFill="1" applyBorder="1" applyAlignment="1">
      <alignment horizontal="center"/>
    </xf>
    <xf numFmtId="2" fontId="8" fillId="5" borderId="26" xfId="0" applyNumberFormat="1" applyFont="1" applyFill="1" applyBorder="1" applyAlignment="1">
      <alignment horizontal="center"/>
    </xf>
    <xf numFmtId="0" fontId="8" fillId="2" borderId="15" xfId="0" applyFont="1" applyFill="1" applyBorder="1" applyAlignment="1">
      <alignment horizontal="center"/>
    </xf>
    <xf numFmtId="0" fontId="8" fillId="2" borderId="27" xfId="0" applyFont="1" applyFill="1" applyBorder="1" applyAlignment="1">
      <alignment horizontal="center"/>
    </xf>
    <xf numFmtId="0" fontId="8" fillId="5" borderId="28" xfId="0" applyFont="1" applyFill="1" applyBorder="1" applyAlignment="1">
      <alignment horizontal="center"/>
    </xf>
    <xf numFmtId="0" fontId="8" fillId="2" borderId="29" xfId="0" applyFont="1" applyFill="1" applyBorder="1" applyAlignment="1">
      <alignment horizontal="center"/>
    </xf>
    <xf numFmtId="0" fontId="8" fillId="0" borderId="30" xfId="0" applyFont="1" applyBorder="1" applyAlignment="1">
      <alignment horizontal="center"/>
    </xf>
    <xf numFmtId="0" fontId="19" fillId="0" borderId="0" xfId="0" applyFont="1" applyBorder="1" applyAlignment="1">
      <alignment horizontal="center"/>
    </xf>
    <xf numFmtId="0" fontId="8" fillId="0" borderId="0" xfId="0" applyFont="1" applyBorder="1"/>
    <xf numFmtId="0" fontId="19" fillId="0" borderId="0" xfId="0" applyFont="1" applyBorder="1" applyAlignment="1"/>
    <xf numFmtId="0" fontId="8" fillId="2" borderId="31" xfId="0" applyFont="1" applyFill="1" applyBorder="1"/>
    <xf numFmtId="1" fontId="19" fillId="5" borderId="21" xfId="0" applyNumberFormat="1" applyFont="1" applyFill="1" applyBorder="1"/>
    <xf numFmtId="0" fontId="19" fillId="5" borderId="31" xfId="0" applyFont="1" applyFill="1" applyBorder="1"/>
    <xf numFmtId="0" fontId="8" fillId="5" borderId="22" xfId="0" applyFont="1" applyFill="1" applyBorder="1" applyAlignment="1">
      <alignment horizontal="left" vertical="center"/>
    </xf>
    <xf numFmtId="0" fontId="8" fillId="5" borderId="0" xfId="0" applyFont="1" applyFill="1" applyBorder="1" applyAlignment="1">
      <alignment horizontal="left" vertical="center"/>
    </xf>
    <xf numFmtId="1" fontId="19" fillId="5" borderId="21" xfId="0" applyNumberFormat="1" applyFont="1" applyFill="1" applyBorder="1" applyAlignment="1">
      <alignment horizontal="right"/>
    </xf>
    <xf numFmtId="0" fontId="19" fillId="5" borderId="31" xfId="0" applyFont="1" applyFill="1" applyBorder="1" applyAlignment="1">
      <alignment horizontal="left" vertical="center"/>
    </xf>
    <xf numFmtId="0" fontId="8" fillId="5" borderId="0" xfId="0" applyFont="1" applyFill="1" applyBorder="1" applyAlignment="1">
      <alignment horizontal="left" vertical="center" wrapText="1"/>
    </xf>
    <xf numFmtId="0" fontId="8" fillId="5" borderId="24" xfId="0" applyFont="1" applyFill="1" applyBorder="1"/>
    <xf numFmtId="0" fontId="8" fillId="2" borderId="23" xfId="0" applyFont="1" applyFill="1" applyBorder="1" applyAlignment="1">
      <alignment horizontal="left" vertical="center"/>
    </xf>
    <xf numFmtId="0" fontId="19" fillId="2" borderId="0" xfId="0" applyFont="1" applyFill="1" applyBorder="1" applyAlignment="1">
      <alignment horizontal="left" vertical="center" wrapText="1"/>
    </xf>
    <xf numFmtId="0" fontId="19" fillId="5" borderId="31" xfId="0" applyFont="1" applyFill="1" applyBorder="1" applyAlignment="1">
      <alignment horizontal="left" vertical="center" wrapText="1"/>
    </xf>
    <xf numFmtId="164" fontId="19" fillId="5" borderId="21" xfId="0" applyNumberFormat="1" applyFont="1" applyFill="1" applyBorder="1" applyAlignment="1">
      <alignment horizontal="right"/>
    </xf>
    <xf numFmtId="0" fontId="19" fillId="2" borderId="31" xfId="0" applyFont="1" applyFill="1" applyBorder="1"/>
    <xf numFmtId="0" fontId="8" fillId="2" borderId="31" xfId="0" applyFont="1" applyFill="1" applyBorder="1" applyAlignment="1">
      <alignment horizontal="left" vertical="center"/>
    </xf>
    <xf numFmtId="1" fontId="19" fillId="5" borderId="19" xfId="0" applyNumberFormat="1" applyFont="1" applyFill="1" applyBorder="1"/>
    <xf numFmtId="0" fontId="19" fillId="5" borderId="32" xfId="0" applyFont="1" applyFill="1" applyBorder="1" applyAlignment="1">
      <alignment horizontal="left" vertical="center" wrapText="1"/>
    </xf>
    <xf numFmtId="0" fontId="8" fillId="2" borderId="23" xfId="0" applyFont="1" applyFill="1" applyBorder="1"/>
    <xf numFmtId="0" fontId="19" fillId="0" borderId="0" xfId="0" applyFont="1" applyFill="1" applyBorder="1" applyAlignment="1">
      <alignment horizontal="left" vertical="center" wrapText="1"/>
    </xf>
    <xf numFmtId="0" fontId="8" fillId="2" borderId="33" xfId="0" applyFont="1" applyFill="1" applyBorder="1"/>
    <xf numFmtId="0" fontId="8" fillId="2" borderId="33" xfId="0" applyFont="1" applyFill="1" applyBorder="1" applyAlignment="1">
      <alignment horizontal="left" vertical="center"/>
    </xf>
    <xf numFmtId="0" fontId="19" fillId="2" borderId="33" xfId="0" applyFont="1" applyFill="1" applyBorder="1" applyAlignment="1">
      <alignment horizontal="left" vertical="center" wrapText="1"/>
    </xf>
    <xf numFmtId="0" fontId="8" fillId="2" borderId="6" xfId="0" applyFont="1" applyFill="1" applyBorder="1" applyAlignment="1">
      <alignment horizontal="center"/>
    </xf>
    <xf numFmtId="1" fontId="8" fillId="3" borderId="34" xfId="0" applyNumberFormat="1" applyFont="1" applyFill="1" applyBorder="1" applyAlignment="1">
      <alignment horizontal="center"/>
    </xf>
    <xf numFmtId="1" fontId="8" fillId="3" borderId="35" xfId="0" quotePrefix="1" applyNumberFormat="1" applyFont="1" applyFill="1" applyBorder="1" applyAlignment="1">
      <alignment horizontal="center"/>
    </xf>
    <xf numFmtId="1" fontId="8" fillId="3" borderId="35" xfId="0" applyNumberFormat="1" applyFont="1" applyFill="1" applyBorder="1" applyAlignment="1">
      <alignment horizontal="center"/>
    </xf>
    <xf numFmtId="1" fontId="8" fillId="3" borderId="36" xfId="0" applyNumberFormat="1" applyFont="1" applyFill="1" applyBorder="1" applyAlignment="1">
      <alignment horizontal="center"/>
    </xf>
    <xf numFmtId="0" fontId="8" fillId="3" borderId="0" xfId="0" applyFont="1" applyFill="1" applyBorder="1" applyAlignment="1">
      <alignment horizontal="left" vertical="center"/>
    </xf>
    <xf numFmtId="0" fontId="8" fillId="3" borderId="0" xfId="0" applyFont="1" applyFill="1" applyBorder="1" applyAlignment="1">
      <alignment horizontal="left"/>
    </xf>
    <xf numFmtId="0" fontId="8" fillId="5" borderId="34" xfId="0" applyFont="1" applyFill="1" applyBorder="1" applyAlignment="1">
      <alignment horizontal="left" vertical="center"/>
    </xf>
    <xf numFmtId="0" fontId="0" fillId="0" borderId="0" xfId="0" applyAlignment="1">
      <alignment horizontal="right"/>
    </xf>
    <xf numFmtId="0" fontId="29" fillId="0" borderId="0" xfId="0" applyFont="1"/>
    <xf numFmtId="0" fontId="34" fillId="2" borderId="0" xfId="0" applyFont="1" applyFill="1"/>
    <xf numFmtId="0" fontId="2" fillId="0" borderId="0" xfId="0" applyFont="1" applyFill="1" applyBorder="1" applyAlignment="1">
      <alignment horizontal="justify"/>
    </xf>
    <xf numFmtId="0" fontId="0" fillId="6" borderId="7" xfId="0" applyFill="1" applyBorder="1" applyProtection="1">
      <protection locked="0"/>
    </xf>
    <xf numFmtId="0" fontId="0" fillId="5" borderId="0" xfId="0" applyFill="1" applyProtection="1">
      <protection locked="0"/>
    </xf>
    <xf numFmtId="0" fontId="0" fillId="0" borderId="0" xfId="0" applyFill="1" applyBorder="1" applyProtection="1">
      <protection locked="0"/>
    </xf>
    <xf numFmtId="0" fontId="0" fillId="0" borderId="9" xfId="0" applyFill="1" applyBorder="1" applyProtection="1">
      <protection locked="0"/>
    </xf>
    <xf numFmtId="0" fontId="2" fillId="0" borderId="7" xfId="0" applyFont="1" applyFill="1" applyBorder="1" applyAlignment="1" applyProtection="1">
      <alignment horizontal="justify"/>
      <protection locked="0"/>
    </xf>
    <xf numFmtId="0" fontId="2" fillId="2" borderId="0" xfId="0" applyFont="1" applyFill="1" applyAlignment="1" applyProtection="1">
      <alignment horizontal="justify"/>
      <protection locked="0"/>
    </xf>
    <xf numFmtId="0" fontId="2" fillId="2" borderId="0" xfId="0" applyFont="1" applyFill="1" applyAlignment="1">
      <alignment horizontal="left"/>
    </xf>
    <xf numFmtId="0" fontId="2" fillId="2" borderId="0" xfId="0" applyFont="1" applyFill="1" applyBorder="1" applyAlignment="1">
      <alignment horizontal="left"/>
    </xf>
    <xf numFmtId="0" fontId="3" fillId="5" borderId="9" xfId="0" applyFont="1" applyFill="1" applyBorder="1"/>
    <xf numFmtId="0" fontId="0" fillId="2" borderId="0" xfId="0" applyFill="1" applyProtection="1">
      <protection locked="0"/>
    </xf>
    <xf numFmtId="0" fontId="0" fillId="0" borderId="0" xfId="0" applyFill="1" applyAlignment="1" applyProtection="1">
      <alignment horizontal="center"/>
      <protection locked="0"/>
    </xf>
    <xf numFmtId="0" fontId="6" fillId="0" borderId="0" xfId="0" applyFont="1" applyAlignment="1">
      <alignment horizontal="left"/>
    </xf>
    <xf numFmtId="0" fontId="4" fillId="7" borderId="15" xfId="0" applyFont="1" applyFill="1" applyBorder="1" applyAlignment="1">
      <alignment horizontal="center" wrapText="1"/>
    </xf>
    <xf numFmtId="0" fontId="5" fillId="7" borderId="15" xfId="0" applyFont="1" applyFill="1" applyBorder="1" applyAlignment="1">
      <alignment horizontal="center" wrapText="1"/>
    </xf>
    <xf numFmtId="0" fontId="0" fillId="7" borderId="15" xfId="0" applyFill="1" applyBorder="1" applyAlignment="1">
      <alignment wrapText="1"/>
    </xf>
    <xf numFmtId="0" fontId="0" fillId="7" borderId="16" xfId="0" applyFill="1" applyBorder="1" applyAlignment="1">
      <alignment wrapText="1"/>
    </xf>
    <xf numFmtId="0" fontId="6" fillId="8" borderId="20" xfId="0" applyFont="1" applyFill="1" applyBorder="1" applyAlignment="1">
      <alignment horizontal="center" wrapText="1"/>
    </xf>
    <xf numFmtId="0" fontId="5" fillId="8" borderId="15" xfId="0" applyFont="1" applyFill="1" applyBorder="1" applyAlignment="1">
      <alignment horizontal="center" wrapText="1"/>
    </xf>
    <xf numFmtId="0" fontId="4" fillId="8" borderId="15" xfId="0" applyFont="1" applyFill="1" applyBorder="1" applyAlignment="1">
      <alignment horizontal="center" wrapText="1"/>
    </xf>
    <xf numFmtId="0" fontId="0" fillId="8" borderId="0" xfId="0" applyFill="1"/>
    <xf numFmtId="0" fontId="4" fillId="8" borderId="0" xfId="0" applyFont="1" applyFill="1" applyBorder="1" applyAlignment="1">
      <alignment horizontal="center" wrapText="1"/>
    </xf>
    <xf numFmtId="0" fontId="0" fillId="8" borderId="37" xfId="0" applyFill="1" applyBorder="1" applyAlignment="1">
      <alignment wrapText="1"/>
    </xf>
    <xf numFmtId="0" fontId="6" fillId="7" borderId="20" xfId="0" applyFont="1" applyFill="1" applyBorder="1" applyAlignment="1">
      <alignment horizontal="center" wrapText="1"/>
    </xf>
    <xf numFmtId="0" fontId="4" fillId="7" borderId="2" xfId="0" applyFont="1" applyFill="1" applyBorder="1" applyAlignment="1">
      <alignment horizontal="center" wrapText="1"/>
    </xf>
    <xf numFmtId="0" fontId="4" fillId="3" borderId="1" xfId="0" applyFont="1" applyFill="1" applyBorder="1" applyAlignment="1">
      <alignment horizontal="center" wrapText="1"/>
    </xf>
    <xf numFmtId="0" fontId="5" fillId="3" borderId="2" xfId="0" applyFont="1" applyFill="1" applyBorder="1" applyAlignment="1">
      <alignment horizontal="center" wrapText="1"/>
    </xf>
    <xf numFmtId="0" fontId="4" fillId="3" borderId="2" xfId="0" applyFont="1" applyFill="1" applyBorder="1" applyAlignment="1">
      <alignment horizontal="center" wrapText="1"/>
    </xf>
    <xf numFmtId="0" fontId="4" fillId="3" borderId="3" xfId="0" applyFont="1" applyFill="1" applyBorder="1" applyAlignment="1">
      <alignment horizontal="center" wrapText="1"/>
    </xf>
    <xf numFmtId="0" fontId="6" fillId="4" borderId="1" xfId="0" applyFont="1" applyFill="1" applyBorder="1" applyAlignment="1">
      <alignment horizontal="center" wrapText="1"/>
    </xf>
    <xf numFmtId="0" fontId="5" fillId="4" borderId="2" xfId="0" applyFont="1" applyFill="1" applyBorder="1" applyAlignment="1">
      <alignment horizontal="center" wrapText="1"/>
    </xf>
    <xf numFmtId="0" fontId="4" fillId="4" borderId="2" xfId="0" applyFont="1" applyFill="1" applyBorder="1" applyAlignment="1">
      <alignment horizontal="center" wrapText="1"/>
    </xf>
    <xf numFmtId="0" fontId="0" fillId="4" borderId="2" xfId="0" applyFill="1" applyBorder="1"/>
    <xf numFmtId="0" fontId="8" fillId="4" borderId="2" xfId="0" applyFont="1" applyFill="1" applyBorder="1" applyAlignment="1">
      <alignment horizontal="center" wrapText="1"/>
    </xf>
    <xf numFmtId="0" fontId="0" fillId="4" borderId="2" xfId="0" applyFill="1" applyBorder="1" applyAlignment="1">
      <alignment wrapText="1"/>
    </xf>
    <xf numFmtId="0" fontId="0" fillId="4" borderId="3" xfId="0" applyFill="1" applyBorder="1" applyAlignment="1">
      <alignment wrapText="1"/>
    </xf>
    <xf numFmtId="1" fontId="0" fillId="0" borderId="0" xfId="0" quotePrefix="1" applyNumberFormat="1"/>
    <xf numFmtId="1" fontId="0" fillId="0" borderId="0" xfId="0" applyNumberFormat="1" applyBorder="1"/>
    <xf numFmtId="0" fontId="8" fillId="5" borderId="21" xfId="0" applyFont="1" applyFill="1" applyBorder="1" applyAlignment="1">
      <alignment horizontal="center"/>
    </xf>
    <xf numFmtId="0" fontId="0" fillId="2" borderId="0" xfId="0" applyFill="1" applyAlignment="1">
      <alignment horizontal="right"/>
    </xf>
    <xf numFmtId="49" fontId="0" fillId="2" borderId="0" xfId="0" applyNumberFormat="1" applyFill="1" applyAlignment="1">
      <alignment horizontal="left"/>
    </xf>
    <xf numFmtId="0" fontId="0" fillId="0" borderId="0" xfId="0" applyAlignment="1">
      <alignment wrapText="1"/>
    </xf>
    <xf numFmtId="0" fontId="2" fillId="0" borderId="0" xfId="0" applyFont="1" applyAlignment="1">
      <alignment wrapText="1"/>
    </xf>
    <xf numFmtId="0" fontId="8" fillId="0" borderId="7" xfId="0" applyFont="1" applyBorder="1" applyAlignment="1" applyProtection="1">
      <alignment wrapText="1"/>
      <protection locked="0"/>
    </xf>
    <xf numFmtId="0" fontId="0" fillId="0" borderId="0" xfId="0" applyFill="1" applyAlignment="1">
      <alignment wrapText="1"/>
    </xf>
    <xf numFmtId="0" fontId="8" fillId="0" borderId="0" xfId="0" applyFont="1" applyAlignment="1">
      <alignment wrapText="1"/>
    </xf>
    <xf numFmtId="0" fontId="0" fillId="0" borderId="0" xfId="0" applyBorder="1" applyAlignment="1">
      <alignment vertical="top" wrapText="1"/>
    </xf>
    <xf numFmtId="0" fontId="0" fillId="0" borderId="7" xfId="0" applyBorder="1" applyAlignment="1" applyProtection="1">
      <alignment wrapText="1"/>
      <protection locked="0"/>
    </xf>
    <xf numFmtId="0" fontId="8" fillId="0" borderId="0" xfId="0" applyFont="1" applyAlignment="1" applyProtection="1">
      <alignment vertical="top" wrapText="1"/>
      <protection locked="0"/>
    </xf>
    <xf numFmtId="0" fontId="8" fillId="0" borderId="7" xfId="0" applyFont="1" applyBorder="1" applyAlignment="1" applyProtection="1">
      <alignment vertical="top" wrapText="1"/>
      <protection locked="0"/>
    </xf>
    <xf numFmtId="0" fontId="8" fillId="0" borderId="34" xfId="0" applyFont="1" applyBorder="1" applyAlignment="1" applyProtection="1">
      <alignment vertical="top" wrapText="1"/>
      <protection locked="0"/>
    </xf>
    <xf numFmtId="0" fontId="0" fillId="0" borderId="30" xfId="0" applyBorder="1" applyAlignment="1" applyProtection="1">
      <alignment vertical="top" wrapText="1"/>
      <protection locked="0"/>
    </xf>
    <xf numFmtId="0" fontId="2" fillId="2" borderId="0" xfId="0" applyFont="1" applyFill="1" applyAlignment="1">
      <alignment horizontal="left" wrapText="1"/>
    </xf>
    <xf numFmtId="0" fontId="2" fillId="0" borderId="0" xfId="0" applyFont="1" applyFill="1" applyBorder="1" applyAlignment="1">
      <alignment horizontal="justify" wrapText="1"/>
    </xf>
    <xf numFmtId="0" fontId="2" fillId="0" borderId="9" xfId="0" applyFont="1" applyFill="1" applyBorder="1"/>
    <xf numFmtId="0" fontId="0" fillId="0" borderId="30" xfId="0" applyFill="1" applyBorder="1" applyAlignment="1" applyProtection="1">
      <alignment vertical="top" wrapText="1"/>
      <protection locked="0"/>
    </xf>
    <xf numFmtId="0" fontId="0" fillId="0" borderId="18" xfId="0" applyBorder="1"/>
    <xf numFmtId="0" fontId="4" fillId="2" borderId="7" xfId="0" quotePrefix="1" applyFont="1" applyFill="1" applyBorder="1" applyAlignment="1">
      <alignment horizontal="center" vertical="center" wrapText="1"/>
    </xf>
    <xf numFmtId="0" fontId="0" fillId="0" borderId="38" xfId="0" applyFill="1" applyBorder="1" applyAlignment="1">
      <alignment wrapText="1"/>
    </xf>
    <xf numFmtId="0" fontId="8" fillId="5" borderId="38" xfId="0" applyFont="1" applyFill="1" applyBorder="1" applyAlignment="1" applyProtection="1">
      <alignment horizontal="right" vertical="center"/>
    </xf>
    <xf numFmtId="0" fontId="4" fillId="5" borderId="39" xfId="0" applyFont="1" applyFill="1" applyBorder="1" applyAlignment="1" applyProtection="1">
      <alignment horizontal="left" vertical="center" wrapText="1"/>
    </xf>
    <xf numFmtId="0" fontId="4" fillId="5" borderId="40" xfId="0" applyFont="1" applyFill="1" applyBorder="1" applyAlignment="1" applyProtection="1">
      <alignment horizontal="left" vertical="center" wrapText="1"/>
    </xf>
    <xf numFmtId="9" fontId="8" fillId="0" borderId="0" xfId="0" applyNumberFormat="1" applyFont="1" applyFill="1" applyBorder="1" applyAlignment="1" applyProtection="1">
      <alignment horizontal="left" vertical="center"/>
      <protection locked="0"/>
    </xf>
    <xf numFmtId="0" fontId="8" fillId="5" borderId="22" xfId="0" applyFont="1" applyFill="1" applyBorder="1" applyAlignment="1" applyProtection="1">
      <alignment horizontal="right" vertical="center"/>
    </xf>
    <xf numFmtId="0" fontId="8" fillId="5" borderId="41" xfId="0" applyFont="1" applyFill="1" applyBorder="1" applyAlignment="1" applyProtection="1">
      <alignment horizontal="right" vertical="center"/>
    </xf>
    <xf numFmtId="0" fontId="8" fillId="5" borderId="42" xfId="0" applyFont="1" applyFill="1" applyBorder="1" applyAlignment="1" applyProtection="1">
      <alignment horizontal="right" vertical="center"/>
    </xf>
    <xf numFmtId="0" fontId="3" fillId="0" borderId="35" xfId="0" applyFont="1" applyFill="1" applyBorder="1" applyAlignment="1">
      <alignment horizontal="left"/>
    </xf>
    <xf numFmtId="9" fontId="8" fillId="0" borderId="34" xfId="0" applyNumberFormat="1" applyFont="1" applyFill="1" applyBorder="1" applyAlignment="1" applyProtection="1">
      <alignment horizontal="left" vertical="center"/>
      <protection locked="0"/>
    </xf>
    <xf numFmtId="9" fontId="8" fillId="0" borderId="9" xfId="0" applyNumberFormat="1" applyFont="1" applyFill="1" applyBorder="1" applyAlignment="1" applyProtection="1">
      <alignment horizontal="left" vertical="center"/>
      <protection locked="0"/>
    </xf>
    <xf numFmtId="9" fontId="8" fillId="0" borderId="43" xfId="0" applyNumberFormat="1" applyFont="1" applyFill="1" applyBorder="1" applyAlignment="1" applyProtection="1">
      <alignment horizontal="left" vertical="center"/>
      <protection locked="0"/>
    </xf>
    <xf numFmtId="0" fontId="4" fillId="5" borderId="14" xfId="0" applyFont="1" applyFill="1" applyBorder="1" applyAlignment="1" applyProtection="1">
      <alignment horizontal="left" vertical="center" wrapText="1"/>
    </xf>
    <xf numFmtId="0" fontId="4" fillId="0" borderId="33" xfId="0" applyFont="1" applyFill="1" applyBorder="1" applyAlignment="1">
      <alignment horizontal="left" vertical="center" wrapText="1"/>
    </xf>
    <xf numFmtId="0" fontId="8" fillId="0" borderId="44" xfId="0" quotePrefix="1" applyFont="1" applyFill="1" applyBorder="1" applyAlignment="1" applyProtection="1">
      <alignment vertical="center"/>
      <protection locked="0"/>
    </xf>
    <xf numFmtId="0" fontId="8" fillId="0" borderId="14" xfId="0" applyFont="1" applyFill="1" applyBorder="1" applyAlignment="1" applyProtection="1">
      <alignment vertical="center" wrapText="1"/>
      <protection locked="0"/>
    </xf>
    <xf numFmtId="0" fontId="8" fillId="0" borderId="12" xfId="0" applyFont="1" applyFill="1" applyBorder="1" applyAlignment="1" applyProtection="1">
      <alignment vertical="center" wrapText="1"/>
      <protection locked="0"/>
    </xf>
    <xf numFmtId="0" fontId="8" fillId="0" borderId="41" xfId="0" quotePrefix="1" applyFont="1" applyFill="1" applyBorder="1" applyAlignment="1" applyProtection="1">
      <alignment vertical="center"/>
      <protection locked="0"/>
    </xf>
    <xf numFmtId="0" fontId="8" fillId="0" borderId="13" xfId="0" quotePrefix="1" applyFont="1" applyFill="1" applyBorder="1" applyAlignment="1" applyProtection="1">
      <alignment vertical="center" wrapText="1"/>
      <protection locked="0"/>
    </xf>
    <xf numFmtId="0" fontId="0" fillId="0" borderId="45" xfId="0" applyFill="1" applyBorder="1" applyAlignment="1" applyProtection="1">
      <alignment horizontal="center" vertical="center"/>
      <protection locked="0"/>
    </xf>
    <xf numFmtId="0" fontId="0" fillId="0" borderId="26" xfId="0" applyFill="1" applyBorder="1" applyAlignment="1" applyProtection="1">
      <alignment vertical="center"/>
      <protection locked="0"/>
    </xf>
    <xf numFmtId="0" fontId="0" fillId="0" borderId="46" xfId="0" applyFill="1" applyBorder="1" applyAlignment="1" applyProtection="1">
      <alignment horizontal="center" vertical="center"/>
      <protection locked="0"/>
    </xf>
    <xf numFmtId="0" fontId="0" fillId="0" borderId="28" xfId="0" applyFill="1" applyBorder="1" applyAlignment="1" applyProtection="1">
      <alignment vertical="center"/>
      <protection locked="0"/>
    </xf>
    <xf numFmtId="0" fontId="8" fillId="5" borderId="19" xfId="0" applyFont="1" applyFill="1" applyBorder="1" applyAlignment="1">
      <alignment horizontal="center"/>
    </xf>
    <xf numFmtId="0" fontId="8" fillId="5" borderId="47" xfId="0" applyFont="1" applyFill="1" applyBorder="1" applyAlignment="1">
      <alignment horizontal="center"/>
    </xf>
    <xf numFmtId="0" fontId="0" fillId="0" borderId="0" xfId="0" applyProtection="1">
      <protection hidden="1"/>
    </xf>
    <xf numFmtId="0" fontId="16" fillId="3" borderId="21" xfId="0" applyFont="1" applyFill="1" applyBorder="1" applyAlignment="1" applyProtection="1">
      <alignment horizontal="center" vertical="center" wrapText="1"/>
      <protection hidden="1"/>
    </xf>
    <xf numFmtId="0" fontId="16" fillId="3" borderId="31" xfId="0" applyFont="1" applyFill="1" applyBorder="1" applyAlignment="1" applyProtection="1">
      <alignment vertical="center" wrapText="1"/>
      <protection hidden="1"/>
    </xf>
    <xf numFmtId="0" fontId="16" fillId="2" borderId="48" xfId="0" applyFont="1" applyFill="1" applyBorder="1" applyAlignment="1" applyProtection="1">
      <alignment horizontal="center" vertical="center"/>
      <protection hidden="1"/>
    </xf>
    <xf numFmtId="0" fontId="16" fillId="2" borderId="49" xfId="0" applyFont="1" applyFill="1" applyBorder="1" applyAlignment="1" applyProtection="1">
      <alignment horizontal="center" vertical="center"/>
      <protection hidden="1"/>
    </xf>
    <xf numFmtId="0" fontId="16" fillId="2" borderId="31" xfId="0" applyFont="1" applyFill="1" applyBorder="1" applyAlignment="1" applyProtection="1">
      <alignment horizontal="center" vertical="center"/>
      <protection hidden="1"/>
    </xf>
    <xf numFmtId="0" fontId="16" fillId="2" borderId="8" xfId="0" applyFont="1" applyFill="1" applyBorder="1" applyAlignment="1" applyProtection="1">
      <alignment horizontal="center" vertical="center"/>
      <protection hidden="1"/>
    </xf>
    <xf numFmtId="2" fontId="8" fillId="3" borderId="50" xfId="0" applyNumberFormat="1" applyFont="1" applyFill="1" applyBorder="1" applyProtection="1">
      <protection hidden="1"/>
    </xf>
    <xf numFmtId="1" fontId="8" fillId="2" borderId="50" xfId="0" applyNumberFormat="1" applyFont="1" applyFill="1" applyBorder="1" applyProtection="1">
      <protection hidden="1"/>
    </xf>
    <xf numFmtId="1" fontId="8" fillId="2" borderId="51" xfId="0" applyNumberFormat="1" applyFont="1" applyFill="1" applyBorder="1" applyProtection="1">
      <protection hidden="1"/>
    </xf>
    <xf numFmtId="2" fontId="8" fillId="3" borderId="52" xfId="0" applyNumberFormat="1" applyFont="1" applyFill="1" applyBorder="1" applyProtection="1">
      <protection hidden="1"/>
    </xf>
    <xf numFmtId="1" fontId="8" fillId="2" borderId="52" xfId="0" applyNumberFormat="1" applyFont="1" applyFill="1" applyBorder="1" applyProtection="1">
      <protection hidden="1"/>
    </xf>
    <xf numFmtId="1" fontId="8" fillId="2" borderId="9" xfId="0" applyNumberFormat="1" applyFont="1" applyFill="1" applyBorder="1" applyProtection="1">
      <protection hidden="1"/>
    </xf>
    <xf numFmtId="0" fontId="8" fillId="0" borderId="0" xfId="0" applyFont="1" applyFill="1" applyBorder="1" applyProtection="1">
      <protection hidden="1"/>
    </xf>
    <xf numFmtId="1" fontId="8" fillId="0" borderId="0" xfId="0" applyNumberFormat="1" applyFont="1" applyFill="1" applyBorder="1" applyProtection="1">
      <protection hidden="1"/>
    </xf>
    <xf numFmtId="2" fontId="8" fillId="3" borderId="53" xfId="0" applyNumberFormat="1" applyFont="1" applyFill="1" applyBorder="1" applyProtection="1">
      <protection hidden="1"/>
    </xf>
    <xf numFmtId="2" fontId="8" fillId="3" borderId="34" xfId="0" applyNumberFormat="1" applyFont="1" applyFill="1" applyBorder="1" applyProtection="1">
      <protection hidden="1"/>
    </xf>
    <xf numFmtId="1" fontId="8" fillId="2" borderId="53" xfId="0" applyNumberFormat="1" applyFont="1" applyFill="1" applyBorder="1" applyProtection="1">
      <protection hidden="1"/>
    </xf>
    <xf numFmtId="1" fontId="8" fillId="2" borderId="34" xfId="0" applyNumberFormat="1" applyFont="1" applyFill="1" applyBorder="1" applyProtection="1">
      <protection hidden="1"/>
    </xf>
    <xf numFmtId="2" fontId="8" fillId="3" borderId="24" xfId="0" applyNumberFormat="1" applyFont="1" applyFill="1" applyBorder="1" applyProtection="1">
      <protection hidden="1"/>
    </xf>
    <xf numFmtId="2" fontId="8" fillId="3" borderId="54" xfId="0" applyNumberFormat="1" applyFont="1" applyFill="1" applyBorder="1" applyProtection="1">
      <protection hidden="1"/>
    </xf>
    <xf numFmtId="1" fontId="8" fillId="2" borderId="24" xfId="0" applyNumberFormat="1" applyFont="1" applyFill="1" applyBorder="1" applyProtection="1">
      <protection hidden="1"/>
    </xf>
    <xf numFmtId="1" fontId="8" fillId="2" borderId="35" xfId="0" applyNumberFormat="1" applyFont="1" applyFill="1" applyBorder="1" applyProtection="1">
      <protection hidden="1"/>
    </xf>
    <xf numFmtId="2" fontId="6" fillId="5" borderId="21" xfId="0" applyNumberFormat="1" applyFont="1" applyFill="1" applyBorder="1" applyAlignment="1" applyProtection="1">
      <alignment vertical="center"/>
      <protection hidden="1"/>
    </xf>
    <xf numFmtId="2" fontId="6" fillId="5" borderId="49" xfId="0" applyNumberFormat="1" applyFont="1" applyFill="1" applyBorder="1" applyAlignment="1" applyProtection="1">
      <alignment vertical="center"/>
      <protection hidden="1"/>
    </xf>
    <xf numFmtId="1" fontId="6" fillId="5" borderId="31" xfId="0" applyNumberFormat="1" applyFont="1" applyFill="1" applyBorder="1" applyAlignment="1" applyProtection="1">
      <alignment vertical="center"/>
      <protection hidden="1"/>
    </xf>
    <xf numFmtId="0" fontId="0" fillId="0" borderId="0" xfId="0" applyAlignment="1" applyProtection="1">
      <alignment horizontal="right" vertical="center"/>
      <protection hidden="1"/>
    </xf>
    <xf numFmtId="1" fontId="0" fillId="0" borderId="0" xfId="0" applyNumberFormat="1" applyAlignment="1" applyProtection="1">
      <alignment horizontal="right" vertical="center"/>
      <protection hidden="1"/>
    </xf>
    <xf numFmtId="0" fontId="0" fillId="0" borderId="23" xfId="0" applyBorder="1" applyAlignment="1" applyProtection="1">
      <alignment horizontal="right" vertical="center"/>
      <protection hidden="1"/>
    </xf>
    <xf numFmtId="1" fontId="0" fillId="0" borderId="23" xfId="0" applyNumberFormat="1" applyBorder="1" applyAlignment="1" applyProtection="1">
      <alignment horizontal="right" vertical="center"/>
      <protection hidden="1"/>
    </xf>
    <xf numFmtId="2" fontId="8" fillId="3" borderId="43" xfId="0" applyNumberFormat="1" applyFont="1" applyFill="1" applyBorder="1" applyProtection="1">
      <protection hidden="1"/>
    </xf>
    <xf numFmtId="0" fontId="0" fillId="0" borderId="0" xfId="0" applyFill="1" applyBorder="1" applyProtection="1">
      <protection hidden="1"/>
    </xf>
    <xf numFmtId="0" fontId="16" fillId="0" borderId="0" xfId="0" applyFont="1" applyFill="1" applyBorder="1" applyAlignment="1" applyProtection="1">
      <alignment horizontal="center" vertical="center"/>
      <protection hidden="1"/>
    </xf>
    <xf numFmtId="0" fontId="0" fillId="0" borderId="0" xfId="0" applyFill="1" applyProtection="1">
      <protection hidden="1"/>
    </xf>
    <xf numFmtId="2" fontId="6" fillId="5" borderId="5" xfId="0" applyNumberFormat="1" applyFont="1" applyFill="1" applyBorder="1" applyAlignment="1" applyProtection="1">
      <alignment vertical="center"/>
      <protection hidden="1"/>
    </xf>
    <xf numFmtId="2" fontId="6" fillId="5" borderId="6" xfId="0" applyNumberFormat="1" applyFont="1" applyFill="1" applyBorder="1" applyAlignment="1" applyProtection="1">
      <alignment vertical="center"/>
      <protection hidden="1"/>
    </xf>
    <xf numFmtId="2" fontId="6" fillId="5" borderId="29" xfId="0" applyNumberFormat="1" applyFont="1" applyFill="1" applyBorder="1" applyAlignment="1" applyProtection="1">
      <alignment vertical="center"/>
      <protection hidden="1"/>
    </xf>
    <xf numFmtId="2" fontId="8" fillId="2" borderId="45" xfId="0" applyNumberFormat="1" applyFont="1" applyFill="1" applyBorder="1" applyProtection="1">
      <protection hidden="1"/>
    </xf>
    <xf numFmtId="2" fontId="8" fillId="2" borderId="15" xfId="0" applyNumberFormat="1" applyFont="1" applyFill="1" applyBorder="1" applyProtection="1">
      <protection hidden="1"/>
    </xf>
    <xf numFmtId="2" fontId="8" fillId="2" borderId="46" xfId="0" applyNumberFormat="1" applyFont="1" applyFill="1" applyBorder="1" applyProtection="1">
      <protection hidden="1"/>
    </xf>
    <xf numFmtId="2" fontId="8" fillId="2" borderId="16" xfId="0" applyNumberFormat="1" applyFont="1" applyFill="1" applyBorder="1" applyProtection="1">
      <protection hidden="1"/>
    </xf>
    <xf numFmtId="2" fontId="0" fillId="0" borderId="0" xfId="0" applyNumberFormat="1" applyFill="1" applyBorder="1" applyProtection="1">
      <protection hidden="1"/>
    </xf>
    <xf numFmtId="2" fontId="6" fillId="5" borderId="55" xfId="0" applyNumberFormat="1" applyFont="1" applyFill="1" applyBorder="1" applyAlignment="1" applyProtection="1">
      <alignment vertical="center"/>
      <protection hidden="1"/>
    </xf>
    <xf numFmtId="0" fontId="8" fillId="2" borderId="15" xfId="0" applyFont="1" applyFill="1" applyBorder="1" applyProtection="1">
      <protection hidden="1"/>
    </xf>
    <xf numFmtId="0" fontId="8" fillId="2" borderId="16" xfId="0" applyFont="1" applyFill="1" applyBorder="1" applyProtection="1">
      <protection hidden="1"/>
    </xf>
    <xf numFmtId="2" fontId="8" fillId="2" borderId="56" xfId="0" applyNumberFormat="1" applyFont="1" applyFill="1" applyBorder="1" applyProtection="1">
      <protection hidden="1"/>
    </xf>
    <xf numFmtId="2" fontId="8" fillId="2" borderId="14" xfId="0" applyNumberFormat="1" applyFont="1" applyFill="1" applyBorder="1" applyProtection="1">
      <protection hidden="1"/>
    </xf>
    <xf numFmtId="2" fontId="6" fillId="5" borderId="31" xfId="0" applyNumberFormat="1" applyFont="1" applyFill="1" applyBorder="1" applyAlignment="1" applyProtection="1">
      <alignment vertical="center"/>
      <protection hidden="1"/>
    </xf>
    <xf numFmtId="2" fontId="6" fillId="5" borderId="20" xfId="0" applyNumberFormat="1" applyFont="1" applyFill="1" applyBorder="1" applyAlignment="1" applyProtection="1">
      <alignment vertical="center"/>
      <protection hidden="1"/>
    </xf>
    <xf numFmtId="2" fontId="8" fillId="2" borderId="26" xfId="0" applyNumberFormat="1" applyFont="1" applyFill="1" applyBorder="1" applyProtection="1">
      <protection hidden="1"/>
    </xf>
    <xf numFmtId="2" fontId="8" fillId="2" borderId="24" xfId="0" applyNumberFormat="1" applyFont="1" applyFill="1" applyBorder="1" applyProtection="1">
      <protection hidden="1"/>
    </xf>
    <xf numFmtId="0" fontId="0" fillId="0" borderId="0" xfId="0" applyBorder="1" applyProtection="1">
      <protection hidden="1"/>
    </xf>
    <xf numFmtId="2" fontId="8" fillId="2" borderId="18" xfId="0" applyNumberFormat="1" applyFont="1" applyFill="1" applyBorder="1" applyProtection="1">
      <protection hidden="1"/>
    </xf>
    <xf numFmtId="2" fontId="8" fillId="2" borderId="0" xfId="0" applyNumberFormat="1" applyFont="1" applyFill="1" applyBorder="1" applyProtection="1">
      <protection hidden="1"/>
    </xf>
    <xf numFmtId="0" fontId="8" fillId="2" borderId="0" xfId="0" applyFont="1" applyFill="1" applyBorder="1" applyProtection="1">
      <protection hidden="1"/>
    </xf>
    <xf numFmtId="2" fontId="6" fillId="5" borderId="57" xfId="0" applyNumberFormat="1" applyFont="1" applyFill="1" applyBorder="1" applyAlignment="1" applyProtection="1">
      <alignment vertical="center"/>
      <protection hidden="1"/>
    </xf>
    <xf numFmtId="2" fontId="6" fillId="5" borderId="58" xfId="0" applyNumberFormat="1" applyFont="1" applyFill="1" applyBorder="1" applyAlignment="1" applyProtection="1">
      <alignment vertical="center"/>
      <protection hidden="1"/>
    </xf>
    <xf numFmtId="0" fontId="8" fillId="2" borderId="32" xfId="0" applyFont="1" applyFill="1" applyBorder="1" applyProtection="1">
      <protection hidden="1"/>
    </xf>
    <xf numFmtId="1" fontId="0" fillId="0" borderId="0" xfId="0" applyNumberFormat="1" applyProtection="1">
      <protection hidden="1"/>
    </xf>
    <xf numFmtId="0" fontId="0" fillId="0" borderId="0" xfId="0" applyAlignment="1" applyProtection="1">
      <alignment horizontal="right"/>
      <protection hidden="1"/>
    </xf>
    <xf numFmtId="0" fontId="8" fillId="2" borderId="50" xfId="0" applyFont="1" applyFill="1" applyBorder="1" applyProtection="1">
      <protection hidden="1"/>
    </xf>
    <xf numFmtId="0" fontId="8" fillId="2" borderId="51" xfId="0" applyFont="1" applyFill="1" applyBorder="1" applyProtection="1">
      <protection hidden="1"/>
    </xf>
    <xf numFmtId="0" fontId="8" fillId="2" borderId="24" xfId="0" applyFont="1" applyFill="1" applyBorder="1" applyProtection="1">
      <protection hidden="1"/>
    </xf>
    <xf numFmtId="0" fontId="8" fillId="2" borderId="35" xfId="0" applyFont="1" applyFill="1" applyBorder="1" applyProtection="1">
      <protection hidden="1"/>
    </xf>
    <xf numFmtId="0" fontId="8" fillId="2" borderId="59" xfId="0" applyFont="1" applyFill="1" applyBorder="1" applyProtection="1">
      <protection hidden="1"/>
    </xf>
    <xf numFmtId="0" fontId="8" fillId="2" borderId="36" xfId="0" applyFont="1" applyFill="1" applyBorder="1" applyProtection="1">
      <protection hidden="1"/>
    </xf>
    <xf numFmtId="0" fontId="30" fillId="9" borderId="0" xfId="0" applyFont="1" applyFill="1" applyAlignment="1" applyProtection="1">
      <alignment horizontal="right"/>
      <protection hidden="1"/>
    </xf>
    <xf numFmtId="1" fontId="30" fillId="10" borderId="0" xfId="0" applyNumberFormat="1" applyFont="1" applyFill="1" applyProtection="1">
      <protection hidden="1"/>
    </xf>
    <xf numFmtId="0" fontId="32" fillId="9" borderId="18" xfId="0" applyFont="1" applyFill="1" applyBorder="1" applyAlignment="1" applyProtection="1">
      <alignment horizontal="right"/>
      <protection hidden="1"/>
    </xf>
    <xf numFmtId="2" fontId="30" fillId="11" borderId="0" xfId="0" applyNumberFormat="1" applyFont="1" applyFill="1" applyProtection="1">
      <protection hidden="1"/>
    </xf>
    <xf numFmtId="2" fontId="30" fillId="10" borderId="0" xfId="0" applyNumberFormat="1" applyFont="1" applyFill="1" applyProtection="1">
      <protection hidden="1"/>
    </xf>
    <xf numFmtId="0" fontId="31" fillId="9" borderId="18" xfId="0" applyFont="1" applyFill="1" applyBorder="1" applyAlignment="1" applyProtection="1">
      <alignment horizontal="right"/>
      <protection hidden="1"/>
    </xf>
    <xf numFmtId="0" fontId="30" fillId="10" borderId="0" xfId="0" applyFont="1" applyFill="1" applyProtection="1">
      <protection hidden="1"/>
    </xf>
    <xf numFmtId="0" fontId="33" fillId="10" borderId="0" xfId="0" applyFont="1" applyFill="1" applyProtection="1">
      <protection hidden="1"/>
    </xf>
    <xf numFmtId="0" fontId="30" fillId="10" borderId="0" xfId="0" applyFont="1" applyFill="1" applyAlignment="1" applyProtection="1">
      <alignment horizontal="right"/>
      <protection hidden="1"/>
    </xf>
    <xf numFmtId="0" fontId="35" fillId="10" borderId="0" xfId="0" applyFont="1" applyFill="1" applyAlignment="1" applyProtection="1">
      <alignment horizontal="right"/>
      <protection hidden="1"/>
    </xf>
    <xf numFmtId="0" fontId="32" fillId="10" borderId="0" xfId="0" applyFont="1" applyFill="1" applyAlignment="1" applyProtection="1">
      <alignment horizontal="right"/>
      <protection hidden="1"/>
    </xf>
    <xf numFmtId="0" fontId="31" fillId="10" borderId="0" xfId="0" applyFont="1" applyFill="1" applyAlignment="1" applyProtection="1">
      <alignment horizontal="right"/>
      <protection hidden="1"/>
    </xf>
    <xf numFmtId="0" fontId="36" fillId="10" borderId="0" xfId="0" applyFont="1" applyFill="1" applyAlignment="1" applyProtection="1">
      <alignment horizontal="right"/>
      <protection hidden="1"/>
    </xf>
    <xf numFmtId="0" fontId="0" fillId="2" borderId="0" xfId="0" applyFill="1" applyProtection="1">
      <protection hidden="1"/>
    </xf>
    <xf numFmtId="0" fontId="0" fillId="0" borderId="0" xfId="0" applyBorder="1" applyAlignment="1" applyProtection="1">
      <alignment horizontal="center"/>
      <protection hidden="1"/>
    </xf>
    <xf numFmtId="0" fontId="3" fillId="2" borderId="1" xfId="0" applyFont="1" applyFill="1" applyBorder="1" applyAlignment="1" applyProtection="1">
      <alignment horizontal="center" wrapText="1"/>
      <protection hidden="1"/>
    </xf>
    <xf numFmtId="0" fontId="2" fillId="2" borderId="0" xfId="0" applyFont="1" applyFill="1" applyAlignment="1" applyProtection="1">
      <alignment horizontal="center" wrapText="1"/>
      <protection hidden="1"/>
    </xf>
    <xf numFmtId="0" fontId="0" fillId="2" borderId="0" xfId="0" applyFill="1" applyBorder="1" applyProtection="1">
      <protection hidden="1"/>
    </xf>
    <xf numFmtId="0" fontId="0" fillId="5" borderId="0" xfId="0" applyFill="1" applyBorder="1" applyProtection="1">
      <protection hidden="1"/>
    </xf>
    <xf numFmtId="0" fontId="3" fillId="0" borderId="0" xfId="0" applyFont="1" applyFill="1" applyProtection="1">
      <protection hidden="1"/>
    </xf>
    <xf numFmtId="0" fontId="3" fillId="0" borderId="0" xfId="0" applyFont="1" applyProtection="1">
      <protection hidden="1"/>
    </xf>
    <xf numFmtId="0" fontId="16" fillId="3" borderId="31" xfId="0" applyFont="1" applyFill="1" applyBorder="1" applyAlignment="1" applyProtection="1">
      <alignment horizontal="center" vertical="center" wrapText="1"/>
      <protection hidden="1"/>
    </xf>
    <xf numFmtId="0" fontId="8" fillId="3" borderId="22" xfId="0" applyFont="1" applyFill="1" applyBorder="1" applyProtection="1">
      <protection hidden="1"/>
    </xf>
    <xf numFmtId="0" fontId="8" fillId="3" borderId="34" xfId="0" applyFont="1" applyFill="1" applyBorder="1" applyProtection="1">
      <protection hidden="1"/>
    </xf>
    <xf numFmtId="0" fontId="8" fillId="2" borderId="53" xfId="0" applyFont="1" applyFill="1" applyBorder="1" applyProtection="1">
      <protection hidden="1"/>
    </xf>
    <xf numFmtId="0" fontId="8" fillId="2" borderId="34" xfId="0" applyFont="1" applyFill="1" applyBorder="1" applyProtection="1">
      <protection hidden="1"/>
    </xf>
    <xf numFmtId="0" fontId="8" fillId="3" borderId="0" xfId="0" applyFont="1" applyFill="1" applyBorder="1" applyProtection="1">
      <protection hidden="1"/>
    </xf>
    <xf numFmtId="0" fontId="8" fillId="3" borderId="35" xfId="0" applyFont="1" applyFill="1" applyBorder="1" applyProtection="1">
      <protection hidden="1"/>
    </xf>
    <xf numFmtId="0" fontId="8" fillId="3" borderId="36" xfId="0" applyFont="1" applyFill="1" applyBorder="1" applyProtection="1">
      <protection hidden="1"/>
    </xf>
    <xf numFmtId="2" fontId="6" fillId="5" borderId="8" xfId="0" applyNumberFormat="1" applyFont="1" applyFill="1" applyBorder="1" applyAlignment="1" applyProtection="1">
      <alignment vertical="center"/>
      <protection hidden="1"/>
    </xf>
    <xf numFmtId="2" fontId="6" fillId="3" borderId="31" xfId="0" applyNumberFormat="1" applyFont="1" applyFill="1" applyBorder="1" applyAlignment="1" applyProtection="1">
      <alignment vertical="center"/>
      <protection hidden="1"/>
    </xf>
    <xf numFmtId="2" fontId="6" fillId="3" borderId="49" xfId="0" applyNumberFormat="1" applyFont="1" applyFill="1" applyBorder="1" applyAlignment="1" applyProtection="1">
      <alignment vertical="center"/>
      <protection hidden="1"/>
    </xf>
    <xf numFmtId="2" fontId="6" fillId="3" borderId="8" xfId="0" applyNumberFormat="1" applyFont="1" applyFill="1" applyBorder="1" applyAlignment="1" applyProtection="1">
      <alignment vertical="center"/>
      <protection hidden="1"/>
    </xf>
    <xf numFmtId="0" fontId="2" fillId="2" borderId="3" xfId="0" applyFont="1" applyFill="1" applyBorder="1" applyAlignment="1" applyProtection="1">
      <alignment horizontal="center" wrapText="1"/>
      <protection hidden="1"/>
    </xf>
    <xf numFmtId="0" fontId="3" fillId="0" borderId="0" xfId="0" applyFont="1" applyFill="1" applyAlignment="1" applyProtection="1">
      <alignment horizontal="center" wrapText="1"/>
      <protection hidden="1"/>
    </xf>
    <xf numFmtId="2" fontId="6" fillId="5" borderId="60" xfId="0" applyNumberFormat="1" applyFont="1" applyFill="1" applyBorder="1" applyAlignment="1" applyProtection="1">
      <alignment vertical="center"/>
      <protection hidden="1"/>
    </xf>
    <xf numFmtId="2" fontId="6" fillId="5" borderId="61" xfId="0" applyNumberFormat="1" applyFont="1" applyFill="1" applyBorder="1" applyAlignment="1" applyProtection="1">
      <alignment vertical="center"/>
      <protection hidden="1"/>
    </xf>
    <xf numFmtId="0" fontId="8" fillId="3" borderId="54" xfId="0" applyFont="1" applyFill="1" applyBorder="1" applyProtection="1">
      <protection hidden="1"/>
    </xf>
    <xf numFmtId="0" fontId="8" fillId="2" borderId="62" xfId="0" applyFont="1" applyFill="1" applyBorder="1" applyProtection="1">
      <protection hidden="1"/>
    </xf>
    <xf numFmtId="0" fontId="8" fillId="2" borderId="54" xfId="0" applyFont="1" applyFill="1" applyBorder="1" applyProtection="1">
      <protection hidden="1"/>
    </xf>
    <xf numFmtId="2" fontId="6" fillId="5" borderId="23" xfId="0" applyNumberFormat="1" applyFont="1" applyFill="1" applyBorder="1" applyAlignment="1" applyProtection="1">
      <alignment vertical="center"/>
      <protection hidden="1"/>
    </xf>
    <xf numFmtId="2" fontId="6" fillId="5" borderId="36" xfId="0" applyNumberFormat="1" applyFont="1" applyFill="1" applyBorder="1" applyAlignment="1" applyProtection="1">
      <alignment vertical="center"/>
      <protection hidden="1"/>
    </xf>
    <xf numFmtId="2" fontId="6" fillId="5" borderId="59" xfId="0" applyNumberFormat="1" applyFont="1" applyFill="1" applyBorder="1" applyAlignment="1" applyProtection="1">
      <alignment vertical="center"/>
      <protection hidden="1"/>
    </xf>
    <xf numFmtId="2" fontId="6" fillId="5" borderId="27" xfId="0" applyNumberFormat="1" applyFont="1" applyFill="1" applyBorder="1" applyAlignment="1" applyProtection="1">
      <alignment vertical="center"/>
      <protection hidden="1"/>
    </xf>
    <xf numFmtId="0" fontId="8" fillId="2" borderId="63" xfId="0" applyFont="1" applyFill="1" applyBorder="1" applyProtection="1">
      <protection hidden="1"/>
    </xf>
    <xf numFmtId="0" fontId="16" fillId="3" borderId="8" xfId="0" applyFont="1" applyFill="1" applyBorder="1" applyAlignment="1" applyProtection="1">
      <alignment vertical="center" wrapText="1"/>
      <protection hidden="1"/>
    </xf>
    <xf numFmtId="0" fontId="16" fillId="3" borderId="33" xfId="0" applyFont="1" applyFill="1" applyBorder="1" applyAlignment="1" applyProtection="1">
      <alignment horizontal="center" vertical="center" wrapText="1"/>
      <protection hidden="1"/>
    </xf>
    <xf numFmtId="0" fontId="16" fillId="3" borderId="20" xfId="0" applyFont="1" applyFill="1" applyBorder="1" applyAlignment="1" applyProtection="1">
      <alignment vertical="center" wrapText="1"/>
      <protection hidden="1"/>
    </xf>
    <xf numFmtId="0" fontId="16" fillId="0" borderId="31" xfId="0" applyFont="1" applyFill="1" applyBorder="1" applyAlignment="1" applyProtection="1">
      <alignment horizontal="center" vertical="center" wrapText="1"/>
      <protection hidden="1"/>
    </xf>
    <xf numFmtId="0" fontId="16" fillId="0" borderId="31" xfId="0" applyFont="1" applyFill="1" applyBorder="1" applyAlignment="1" applyProtection="1">
      <alignment vertical="center" wrapText="1"/>
      <protection hidden="1"/>
    </xf>
    <xf numFmtId="0" fontId="16" fillId="0" borderId="32" xfId="0" applyFont="1" applyFill="1" applyBorder="1" applyAlignment="1" applyProtection="1">
      <alignment horizontal="center" vertical="center"/>
      <protection hidden="1"/>
    </xf>
    <xf numFmtId="2" fontId="6" fillId="5" borderId="48" xfId="0" applyNumberFormat="1" applyFont="1" applyFill="1" applyBorder="1" applyAlignment="1" applyProtection="1">
      <alignment vertical="center"/>
      <protection hidden="1"/>
    </xf>
    <xf numFmtId="0" fontId="3" fillId="2" borderId="0" xfId="0" applyFont="1" applyFill="1" applyAlignment="1" applyProtection="1">
      <alignment horizontal="center" wrapText="1"/>
      <protection hidden="1"/>
    </xf>
    <xf numFmtId="0" fontId="8" fillId="0" borderId="17" xfId="0" applyFont="1" applyFill="1" applyBorder="1" applyProtection="1">
      <protection hidden="1"/>
    </xf>
    <xf numFmtId="0" fontId="8" fillId="0" borderId="33" xfId="0" applyFont="1" applyFill="1" applyBorder="1" applyProtection="1">
      <protection hidden="1"/>
    </xf>
    <xf numFmtId="0" fontId="8" fillId="0" borderId="18" xfId="0" applyFont="1" applyFill="1" applyBorder="1" applyProtection="1">
      <protection hidden="1"/>
    </xf>
    <xf numFmtId="0" fontId="8" fillId="0" borderId="19" xfId="0" applyFont="1" applyFill="1" applyBorder="1" applyProtection="1">
      <protection hidden="1"/>
    </xf>
    <xf numFmtId="0" fontId="8" fillId="0" borderId="32" xfId="0" applyFont="1" applyFill="1" applyBorder="1" applyProtection="1">
      <protection hidden="1"/>
    </xf>
    <xf numFmtId="0" fontId="24" fillId="0" borderId="0" xfId="0" applyFont="1" applyProtection="1">
      <protection hidden="1"/>
    </xf>
    <xf numFmtId="0" fontId="8" fillId="3" borderId="24" xfId="0" applyFont="1" applyFill="1" applyBorder="1" applyProtection="1">
      <protection hidden="1"/>
    </xf>
    <xf numFmtId="0" fontId="8" fillId="0" borderId="35" xfId="0" applyFont="1" applyFill="1" applyBorder="1" applyProtection="1">
      <protection hidden="1"/>
    </xf>
    <xf numFmtId="0" fontId="8" fillId="0" borderId="24" xfId="0" applyFont="1" applyFill="1" applyBorder="1" applyProtection="1">
      <protection hidden="1"/>
    </xf>
    <xf numFmtId="0" fontId="8" fillId="0" borderId="15" xfId="0" applyFont="1" applyFill="1" applyBorder="1" applyProtection="1">
      <protection hidden="1"/>
    </xf>
    <xf numFmtId="2" fontId="6" fillId="0" borderId="0" xfId="0" applyNumberFormat="1" applyFont="1" applyFill="1" applyBorder="1" applyAlignment="1" applyProtection="1">
      <alignment vertical="center"/>
      <protection hidden="1"/>
    </xf>
    <xf numFmtId="0" fontId="3" fillId="2" borderId="21" xfId="0" applyFont="1" applyFill="1" applyBorder="1" applyAlignment="1" applyProtection="1">
      <alignment horizontal="center" wrapText="1"/>
      <protection hidden="1"/>
    </xf>
    <xf numFmtId="0" fontId="8" fillId="3" borderId="53" xfId="0" applyFont="1" applyFill="1" applyBorder="1" applyProtection="1">
      <protection hidden="1"/>
    </xf>
    <xf numFmtId="0" fontId="8" fillId="3" borderId="59" xfId="0" applyFont="1" applyFill="1" applyBorder="1" applyProtection="1">
      <protection hidden="1"/>
    </xf>
    <xf numFmtId="0" fontId="0" fillId="0" borderId="0" xfId="0" applyAlignment="1" applyProtection="1">
      <alignment vertical="center"/>
      <protection hidden="1"/>
    </xf>
    <xf numFmtId="0" fontId="8" fillId="5" borderId="38" xfId="0" applyFont="1" applyFill="1" applyBorder="1" applyAlignment="1" applyProtection="1">
      <alignment horizontal="right" vertical="center"/>
      <protection hidden="1"/>
    </xf>
    <xf numFmtId="0" fontId="8" fillId="0" borderId="33" xfId="0" applyFont="1" applyFill="1" applyBorder="1" applyAlignment="1" applyProtection="1">
      <alignment horizontal="center" vertical="center"/>
      <protection hidden="1"/>
    </xf>
    <xf numFmtId="3" fontId="4" fillId="2" borderId="59" xfId="0" applyNumberFormat="1" applyFont="1" applyFill="1" applyBorder="1" applyAlignment="1">
      <alignment horizontal="right" vertical="center"/>
    </xf>
    <xf numFmtId="3" fontId="4" fillId="2" borderId="52" xfId="0" applyNumberFormat="1" applyFont="1" applyFill="1" applyBorder="1" applyAlignment="1">
      <alignment horizontal="right" vertical="center"/>
    </xf>
    <xf numFmtId="3" fontId="6" fillId="5" borderId="52" xfId="0" applyNumberFormat="1" applyFont="1" applyFill="1" applyBorder="1" applyAlignment="1">
      <alignment horizontal="right" vertical="center" wrapText="1"/>
    </xf>
    <xf numFmtId="3" fontId="8" fillId="2" borderId="22" xfId="0" applyNumberFormat="1" applyFont="1" applyFill="1" applyBorder="1"/>
    <xf numFmtId="3" fontId="8" fillId="2" borderId="0" xfId="0" applyNumberFormat="1" applyFont="1" applyFill="1" applyBorder="1" applyAlignment="1">
      <alignment horizontal="right"/>
    </xf>
    <xf numFmtId="3" fontId="8" fillId="3" borderId="0" xfId="0" quotePrefix="1" applyNumberFormat="1" applyFont="1" applyFill="1" applyBorder="1" applyAlignment="1">
      <alignment horizontal="right"/>
    </xf>
    <xf numFmtId="3" fontId="8" fillId="3" borderId="0" xfId="0" applyNumberFormat="1" applyFont="1" applyFill="1" applyBorder="1" applyAlignment="1">
      <alignment horizontal="right"/>
    </xf>
    <xf numFmtId="3" fontId="8" fillId="2" borderId="0" xfId="0" applyNumberFormat="1" applyFont="1" applyFill="1" applyBorder="1"/>
    <xf numFmtId="3" fontId="8" fillId="3" borderId="0" xfId="0" applyNumberFormat="1" applyFont="1" applyFill="1" applyBorder="1"/>
    <xf numFmtId="3" fontId="8" fillId="2" borderId="23" xfId="0" applyNumberFormat="1" applyFont="1" applyFill="1" applyBorder="1"/>
    <xf numFmtId="3" fontId="8" fillId="5" borderId="53" xfId="0" applyNumberFormat="1" applyFont="1" applyFill="1" applyBorder="1"/>
    <xf numFmtId="3" fontId="8" fillId="5" borderId="24" xfId="0" applyNumberFormat="1" applyFont="1" applyFill="1" applyBorder="1"/>
    <xf numFmtId="3" fontId="19" fillId="5" borderId="21" xfId="0" applyNumberFormat="1" applyFont="1" applyFill="1" applyBorder="1" applyAlignment="1">
      <alignment horizontal="right"/>
    </xf>
    <xf numFmtId="3" fontId="8" fillId="5" borderId="62" xfId="0" applyNumberFormat="1" applyFont="1" applyFill="1" applyBorder="1"/>
    <xf numFmtId="3" fontId="19" fillId="5" borderId="19" xfId="0" applyNumberFormat="1" applyFont="1" applyFill="1" applyBorder="1" applyAlignment="1">
      <alignment horizontal="right"/>
    </xf>
    <xf numFmtId="3" fontId="19" fillId="5" borderId="19" xfId="0" applyNumberFormat="1" applyFont="1" applyFill="1" applyBorder="1"/>
    <xf numFmtId="3" fontId="0" fillId="6" borderId="7" xfId="0" applyNumberFormat="1" applyFill="1" applyBorder="1" applyProtection="1">
      <protection locked="0"/>
    </xf>
    <xf numFmtId="3" fontId="0" fillId="3" borderId="7" xfId="0" applyNumberFormat="1" applyFill="1" applyBorder="1" applyProtection="1">
      <protection locked="0"/>
    </xf>
    <xf numFmtId="3" fontId="0" fillId="0" borderId="0" xfId="0" applyNumberFormat="1"/>
    <xf numFmtId="3" fontId="1" fillId="5" borderId="52" xfId="0" applyNumberFormat="1" applyFont="1" applyFill="1" applyBorder="1"/>
    <xf numFmtId="3" fontId="0" fillId="6" borderId="11" xfId="0" applyNumberFormat="1" applyFill="1" applyBorder="1" applyProtection="1">
      <protection locked="0"/>
    </xf>
    <xf numFmtId="3" fontId="3" fillId="5" borderId="21" xfId="0" applyNumberFormat="1" applyFont="1" applyFill="1" applyBorder="1"/>
    <xf numFmtId="3" fontId="24" fillId="5" borderId="52" xfId="0" applyNumberFormat="1" applyFont="1" applyFill="1" applyBorder="1"/>
    <xf numFmtId="3" fontId="37" fillId="5" borderId="52" xfId="0" applyNumberFormat="1" applyFont="1" applyFill="1" applyBorder="1"/>
    <xf numFmtId="3" fontId="0" fillId="0" borderId="7" xfId="0" applyNumberFormat="1" applyBorder="1" applyProtection="1">
      <protection locked="0"/>
    </xf>
    <xf numFmtId="3" fontId="0" fillId="0" borderId="10" xfId="0" applyNumberFormat="1" applyBorder="1" applyProtection="1">
      <protection locked="0"/>
    </xf>
    <xf numFmtId="3" fontId="0" fillId="0" borderId="11" xfId="0" applyNumberFormat="1" applyBorder="1" applyProtection="1">
      <protection locked="0"/>
    </xf>
    <xf numFmtId="3" fontId="3" fillId="5" borderId="7" xfId="0" applyNumberFormat="1" applyFont="1" applyFill="1" applyBorder="1" applyProtection="1">
      <protection locked="0"/>
    </xf>
    <xf numFmtId="3" fontId="24" fillId="0" borderId="52" xfId="0" applyNumberFormat="1" applyFont="1" applyFill="1" applyBorder="1"/>
    <xf numFmtId="3" fontId="37" fillId="5" borderId="21" xfId="0" applyNumberFormat="1" applyFont="1" applyFill="1" applyBorder="1"/>
    <xf numFmtId="0" fontId="0" fillId="0" borderId="32" xfId="0" applyBorder="1" applyProtection="1">
      <protection hidden="1"/>
    </xf>
    <xf numFmtId="0" fontId="0" fillId="0" borderId="18" xfId="0" applyBorder="1" applyProtection="1">
      <protection hidden="1"/>
    </xf>
    <xf numFmtId="0" fontId="8" fillId="0" borderId="32" xfId="0" applyFont="1" applyBorder="1" applyAlignment="1" applyProtection="1">
      <alignment horizontal="center"/>
      <protection hidden="1"/>
    </xf>
    <xf numFmtId="2" fontId="6" fillId="5" borderId="17" xfId="0" applyNumberFormat="1" applyFont="1" applyFill="1" applyBorder="1" applyAlignment="1" applyProtection="1">
      <alignment vertical="center"/>
      <protection hidden="1"/>
    </xf>
    <xf numFmtId="2" fontId="8" fillId="2" borderId="35" xfId="0" applyNumberFormat="1" applyFont="1" applyFill="1" applyBorder="1" applyProtection="1">
      <protection hidden="1"/>
    </xf>
    <xf numFmtId="2" fontId="0" fillId="2" borderId="64" xfId="0" applyNumberFormat="1" applyFill="1" applyBorder="1" applyProtection="1">
      <protection hidden="1"/>
    </xf>
    <xf numFmtId="2" fontId="0" fillId="2" borderId="27" xfId="0" applyNumberFormat="1" applyFill="1" applyBorder="1" applyProtection="1">
      <protection hidden="1"/>
    </xf>
    <xf numFmtId="2" fontId="8" fillId="0" borderId="0" xfId="0" applyNumberFormat="1" applyFont="1" applyFill="1" applyBorder="1" applyProtection="1">
      <protection hidden="1"/>
    </xf>
    <xf numFmtId="2" fontId="0" fillId="0" borderId="0" xfId="0" applyNumberFormat="1" applyProtection="1">
      <protection hidden="1"/>
    </xf>
    <xf numFmtId="2" fontId="0" fillId="2" borderId="65" xfId="0" applyNumberFormat="1" applyFill="1" applyBorder="1" applyProtection="1">
      <protection hidden="1"/>
    </xf>
    <xf numFmtId="2" fontId="0" fillId="2" borderId="66" xfId="0" applyNumberFormat="1" applyFill="1" applyBorder="1" applyProtection="1">
      <protection hidden="1"/>
    </xf>
    <xf numFmtId="2" fontId="8" fillId="2" borderId="28" xfId="0" applyNumberFormat="1" applyFont="1" applyFill="1" applyBorder="1" applyProtection="1">
      <protection hidden="1"/>
    </xf>
    <xf numFmtId="2" fontId="8" fillId="2" borderId="54" xfId="0" applyNumberFormat="1" applyFont="1" applyFill="1" applyBorder="1" applyProtection="1">
      <protection hidden="1"/>
    </xf>
    <xf numFmtId="2" fontId="8" fillId="2" borderId="19" xfId="0" applyNumberFormat="1" applyFont="1" applyFill="1" applyBorder="1" applyProtection="1">
      <protection hidden="1"/>
    </xf>
    <xf numFmtId="3" fontId="5" fillId="7" borderId="15" xfId="0" applyNumberFormat="1" applyFont="1" applyFill="1" applyBorder="1" applyAlignment="1">
      <alignment horizontal="center" wrapText="1"/>
    </xf>
    <xf numFmtId="0" fontId="8" fillId="2" borderId="1" xfId="0" applyFont="1" applyFill="1" applyBorder="1" applyAlignment="1" applyProtection="1">
      <alignment horizontal="center"/>
      <protection hidden="1"/>
    </xf>
    <xf numFmtId="0" fontId="40" fillId="2" borderId="55" xfId="0" applyFont="1" applyFill="1" applyBorder="1" applyAlignment="1" applyProtection="1">
      <alignment horizontal="center"/>
      <protection hidden="1"/>
    </xf>
    <xf numFmtId="2" fontId="40" fillId="2" borderId="20" xfId="0" applyNumberFormat="1" applyFont="1" applyFill="1" applyBorder="1" applyAlignment="1" applyProtection="1">
      <alignment horizontal="center"/>
      <protection hidden="1"/>
    </xf>
    <xf numFmtId="0" fontId="8" fillId="2" borderId="18" xfId="0" applyFont="1" applyFill="1" applyBorder="1" applyAlignment="1" applyProtection="1">
      <alignment horizontal="center"/>
      <protection hidden="1"/>
    </xf>
    <xf numFmtId="0" fontId="40" fillId="2" borderId="45" xfId="0" applyFont="1" applyFill="1" applyBorder="1" applyAlignment="1" applyProtection="1">
      <alignment horizontal="center"/>
      <protection hidden="1"/>
    </xf>
    <xf numFmtId="2" fontId="40" fillId="2" borderId="0" xfId="0" applyNumberFormat="1" applyFont="1" applyFill="1" applyBorder="1" applyAlignment="1" applyProtection="1">
      <alignment horizontal="center"/>
      <protection hidden="1"/>
    </xf>
    <xf numFmtId="0" fontId="8" fillId="2" borderId="2" xfId="0" applyFont="1" applyFill="1" applyBorder="1" applyAlignment="1" applyProtection="1">
      <alignment horizontal="center"/>
      <protection hidden="1"/>
    </xf>
    <xf numFmtId="2" fontId="40" fillId="2" borderId="15" xfId="0" applyNumberFormat="1" applyFont="1" applyFill="1" applyBorder="1" applyAlignment="1" applyProtection="1">
      <alignment horizontal="center"/>
      <protection hidden="1"/>
    </xf>
    <xf numFmtId="0" fontId="8" fillId="2" borderId="3" xfId="0" applyFont="1" applyFill="1" applyBorder="1" applyAlignment="1" applyProtection="1">
      <alignment horizontal="center"/>
      <protection hidden="1"/>
    </xf>
    <xf numFmtId="0" fontId="40" fillId="2" borderId="19" xfId="0" applyFont="1" applyFill="1" applyBorder="1" applyAlignment="1" applyProtection="1">
      <alignment horizontal="center"/>
      <protection hidden="1"/>
    </xf>
    <xf numFmtId="2" fontId="40" fillId="2" borderId="28" xfId="0" applyNumberFormat="1" applyFont="1" applyFill="1" applyBorder="1" applyAlignment="1" applyProtection="1">
      <alignment horizontal="center"/>
      <protection hidden="1"/>
    </xf>
    <xf numFmtId="0" fontId="2" fillId="0" borderId="0" xfId="0" applyFont="1" applyFill="1" applyAlignment="1" applyProtection="1">
      <alignment horizontal="center" wrapText="1"/>
      <protection hidden="1"/>
    </xf>
    <xf numFmtId="0" fontId="1" fillId="0" borderId="0" xfId="0" applyFont="1" applyFill="1" applyAlignment="1" applyProtection="1">
      <alignment horizontal="center"/>
      <protection locked="0"/>
    </xf>
    <xf numFmtId="0" fontId="41" fillId="2" borderId="0" xfId="0" applyFont="1" applyFill="1" applyAlignment="1" applyProtection="1">
      <alignment horizontal="left"/>
    </xf>
    <xf numFmtId="0" fontId="2" fillId="2" borderId="0" xfId="0" applyFont="1" applyFill="1" applyAlignment="1">
      <alignment horizontal="right"/>
    </xf>
    <xf numFmtId="0" fontId="2" fillId="3" borderId="0" xfId="0" applyFont="1" applyFill="1" applyAlignment="1">
      <alignment horizontal="right"/>
    </xf>
    <xf numFmtId="0" fontId="0" fillId="0" borderId="0" xfId="0" applyFill="1" applyAlignment="1">
      <alignment horizontal="center"/>
    </xf>
    <xf numFmtId="0" fontId="8" fillId="3" borderId="21" xfId="0" applyFont="1" applyFill="1" applyBorder="1" applyAlignment="1">
      <alignment horizontal="center"/>
    </xf>
    <xf numFmtId="0" fontId="0" fillId="2" borderId="2" xfId="0" applyFill="1" applyBorder="1" applyAlignment="1">
      <alignment wrapText="1"/>
    </xf>
    <xf numFmtId="0" fontId="4" fillId="2" borderId="62" xfId="0" applyFont="1" applyFill="1" applyBorder="1" applyProtection="1">
      <protection hidden="1"/>
    </xf>
    <xf numFmtId="0" fontId="4" fillId="2" borderId="54" xfId="0" applyFont="1" applyFill="1" applyBorder="1" applyProtection="1">
      <protection hidden="1"/>
    </xf>
    <xf numFmtId="0" fontId="4" fillId="2" borderId="32" xfId="0" applyFont="1" applyFill="1" applyBorder="1" applyProtection="1">
      <protection hidden="1"/>
    </xf>
    <xf numFmtId="0" fontId="4" fillId="2" borderId="16" xfId="0" applyFont="1" applyFill="1" applyBorder="1" applyProtection="1">
      <protection hidden="1"/>
    </xf>
    <xf numFmtId="1" fontId="30" fillId="9" borderId="0" xfId="0" applyNumberFormat="1" applyFont="1" applyFill="1" applyProtection="1">
      <protection hidden="1"/>
    </xf>
    <xf numFmtId="0" fontId="30" fillId="9" borderId="0" xfId="0" applyFont="1" applyFill="1" applyProtection="1">
      <protection hidden="1"/>
    </xf>
    <xf numFmtId="2" fontId="30" fillId="12" borderId="0" xfId="0" applyNumberFormat="1" applyFont="1" applyFill="1" applyProtection="1">
      <protection hidden="1"/>
    </xf>
    <xf numFmtId="0" fontId="33" fillId="12" borderId="0" xfId="0" applyFont="1" applyFill="1" applyProtection="1">
      <protection hidden="1"/>
    </xf>
    <xf numFmtId="0" fontId="32" fillId="0" borderId="0" xfId="0" applyFont="1" applyFill="1" applyBorder="1" applyAlignment="1" applyProtection="1">
      <alignment horizontal="right"/>
      <protection hidden="1"/>
    </xf>
    <xf numFmtId="2" fontId="6" fillId="5" borderId="25" xfId="0" applyNumberFormat="1" applyFont="1" applyFill="1" applyBorder="1" applyAlignment="1" applyProtection="1">
      <alignment vertical="center"/>
      <protection hidden="1"/>
    </xf>
    <xf numFmtId="0" fontId="33" fillId="0" borderId="0" xfId="0" applyFont="1" applyFill="1" applyAlignment="1" applyProtection="1">
      <alignment horizontal="center"/>
      <protection hidden="1"/>
    </xf>
    <xf numFmtId="2" fontId="6" fillId="0" borderId="15" xfId="0" applyNumberFormat="1" applyFont="1" applyFill="1" applyBorder="1" applyAlignment="1" applyProtection="1">
      <alignment vertical="center"/>
      <protection hidden="1"/>
    </xf>
    <xf numFmtId="0" fontId="0" fillId="0" borderId="15" xfId="0" applyFill="1" applyBorder="1" applyProtection="1">
      <protection hidden="1"/>
    </xf>
    <xf numFmtId="2" fontId="8" fillId="0" borderId="15" xfId="0" applyNumberFormat="1" applyFont="1" applyFill="1" applyBorder="1" applyProtection="1">
      <protection hidden="1"/>
    </xf>
    <xf numFmtId="2" fontId="6" fillId="0" borderId="2" xfId="0" applyNumberFormat="1" applyFont="1" applyFill="1" applyBorder="1" applyAlignment="1" applyProtection="1">
      <alignment vertical="center"/>
      <protection hidden="1"/>
    </xf>
    <xf numFmtId="0" fontId="0" fillId="0" borderId="2" xfId="0" applyFill="1" applyBorder="1" applyProtection="1">
      <protection hidden="1"/>
    </xf>
    <xf numFmtId="0" fontId="8" fillId="0" borderId="45" xfId="0" applyFont="1" applyFill="1" applyBorder="1" applyProtection="1">
      <protection hidden="1"/>
    </xf>
    <xf numFmtId="2" fontId="6" fillId="0" borderId="18" xfId="0" applyNumberFormat="1" applyFont="1" applyFill="1" applyBorder="1" applyAlignment="1" applyProtection="1">
      <alignment vertical="center"/>
      <protection hidden="1"/>
    </xf>
    <xf numFmtId="2" fontId="6" fillId="2" borderId="21" xfId="0" applyNumberFormat="1" applyFont="1" applyFill="1" applyBorder="1" applyAlignment="1" applyProtection="1">
      <alignment vertical="center"/>
      <protection hidden="1"/>
    </xf>
    <xf numFmtId="2" fontId="6" fillId="2" borderId="49" xfId="0" applyNumberFormat="1" applyFont="1" applyFill="1" applyBorder="1" applyAlignment="1" applyProtection="1">
      <alignment vertical="center"/>
      <protection hidden="1"/>
    </xf>
    <xf numFmtId="0" fontId="0" fillId="6" borderId="0" xfId="0" applyFill="1" applyBorder="1" applyAlignment="1" applyProtection="1">
      <alignment horizontal="left"/>
      <protection locked="0"/>
    </xf>
    <xf numFmtId="0" fontId="0" fillId="5" borderId="0" xfId="0" applyFill="1" applyBorder="1" applyAlignment="1" applyProtection="1">
      <alignment horizontal="center"/>
      <protection hidden="1"/>
    </xf>
    <xf numFmtId="0" fontId="8" fillId="3" borderId="62" xfId="0" applyFont="1" applyFill="1" applyBorder="1" applyProtection="1">
      <protection hidden="1"/>
    </xf>
    <xf numFmtId="0" fontId="8" fillId="3" borderId="43" xfId="0" applyFont="1" applyFill="1" applyBorder="1" applyProtection="1">
      <protection hidden="1"/>
    </xf>
    <xf numFmtId="0" fontId="8" fillId="3" borderId="67" xfId="0" applyFont="1" applyFill="1" applyBorder="1" applyProtection="1">
      <protection hidden="1"/>
    </xf>
    <xf numFmtId="0" fontId="8" fillId="3" borderId="50" xfId="0" applyFont="1" applyFill="1" applyBorder="1" applyProtection="1">
      <protection hidden="1"/>
    </xf>
    <xf numFmtId="0" fontId="8" fillId="3" borderId="51" xfId="0" applyFont="1" applyFill="1" applyBorder="1" applyProtection="1">
      <protection hidden="1"/>
    </xf>
    <xf numFmtId="0" fontId="8" fillId="5" borderId="61" xfId="0" applyFont="1" applyFill="1" applyBorder="1" applyProtection="1">
      <protection hidden="1"/>
    </xf>
    <xf numFmtId="0" fontId="8" fillId="5" borderId="29" xfId="0" applyFont="1" applyFill="1" applyBorder="1" applyProtection="1">
      <protection hidden="1"/>
    </xf>
    <xf numFmtId="0" fontId="8" fillId="5" borderId="52" xfId="0" applyFont="1" applyFill="1" applyBorder="1" applyProtection="1">
      <protection hidden="1"/>
    </xf>
    <xf numFmtId="0" fontId="8" fillId="5" borderId="66" xfId="0" applyFont="1" applyFill="1" applyBorder="1" applyProtection="1">
      <protection hidden="1"/>
    </xf>
    <xf numFmtId="0" fontId="8" fillId="5" borderId="67" xfId="0" applyFont="1" applyFill="1" applyBorder="1" applyProtection="1">
      <protection hidden="1"/>
    </xf>
    <xf numFmtId="0" fontId="8" fillId="5" borderId="68" xfId="0" applyFont="1" applyFill="1" applyBorder="1" applyProtection="1">
      <protection hidden="1"/>
    </xf>
    <xf numFmtId="0" fontId="0" fillId="13" borderId="0" xfId="0" applyFill="1" applyProtection="1">
      <protection hidden="1"/>
    </xf>
    <xf numFmtId="0" fontId="20" fillId="2" borderId="0" xfId="0" applyFont="1" applyFill="1"/>
    <xf numFmtId="0" fontId="0" fillId="0" borderId="30" xfId="0" applyFill="1" applyBorder="1" applyAlignment="1" applyProtection="1">
      <alignment horizontal="center" vertical="center"/>
      <protection locked="0"/>
    </xf>
    <xf numFmtId="0" fontId="0" fillId="0" borderId="11" xfId="0" applyFill="1" applyBorder="1" applyAlignment="1" applyProtection="1">
      <alignment horizontal="center" vertical="center"/>
      <protection locked="0"/>
    </xf>
    <xf numFmtId="0" fontId="0" fillId="0" borderId="7" xfId="0" applyBorder="1" applyAlignment="1">
      <alignment horizontal="center" vertical="center"/>
    </xf>
    <xf numFmtId="0" fontId="0" fillId="2" borderId="0" xfId="0" applyFill="1" applyBorder="1" applyAlignment="1" applyProtection="1">
      <protection locked="0"/>
    </xf>
    <xf numFmtId="0" fontId="14" fillId="2" borderId="0" xfId="0" applyFont="1" applyFill="1" applyAlignment="1"/>
    <xf numFmtId="0" fontId="0" fillId="2" borderId="7" xfId="0" applyFill="1" applyBorder="1" applyAlignment="1">
      <alignment vertical="center"/>
    </xf>
    <xf numFmtId="0" fontId="0" fillId="2" borderId="30" xfId="0" applyFill="1" applyBorder="1" applyAlignment="1">
      <alignment vertical="center"/>
    </xf>
    <xf numFmtId="0" fontId="0" fillId="2" borderId="11" xfId="0" applyFill="1" applyBorder="1" applyAlignment="1">
      <alignment vertical="center"/>
    </xf>
    <xf numFmtId="0" fontId="3" fillId="2" borderId="1" xfId="0" applyFont="1" applyFill="1" applyBorder="1" applyAlignment="1">
      <alignment horizontal="center"/>
    </xf>
    <xf numFmtId="0" fontId="0" fillId="0" borderId="7" xfId="0" applyFill="1" applyBorder="1" applyAlignment="1" applyProtection="1">
      <alignment horizontal="center"/>
      <protection locked="0"/>
    </xf>
    <xf numFmtId="0" fontId="8" fillId="5" borderId="17" xfId="0" applyFont="1" applyFill="1" applyBorder="1" applyAlignment="1">
      <alignment horizontal="center"/>
    </xf>
    <xf numFmtId="0" fontId="0" fillId="2" borderId="2" xfId="0" applyFill="1" applyBorder="1" applyAlignment="1">
      <alignment horizontal="center"/>
    </xf>
    <xf numFmtId="0" fontId="8" fillId="5" borderId="18" xfId="0" applyFont="1" applyFill="1" applyBorder="1" applyAlignment="1">
      <alignment horizontal="center"/>
    </xf>
    <xf numFmtId="0" fontId="0" fillId="6" borderId="7" xfId="0" applyFill="1" applyBorder="1" applyAlignment="1" applyProtection="1">
      <alignment horizontal="center"/>
      <protection locked="0"/>
    </xf>
    <xf numFmtId="0" fontId="8" fillId="5" borderId="17" xfId="0" applyFont="1" applyFill="1" applyBorder="1"/>
    <xf numFmtId="0" fontId="0" fillId="0" borderId="7" xfId="0" applyFill="1" applyBorder="1" applyProtection="1">
      <protection locked="0"/>
    </xf>
    <xf numFmtId="0" fontId="0" fillId="0" borderId="2" xfId="0" applyFill="1" applyBorder="1"/>
    <xf numFmtId="0" fontId="8" fillId="0" borderId="17" xfId="0" applyFont="1" applyFill="1" applyBorder="1" applyAlignment="1">
      <alignment horizontal="center"/>
    </xf>
    <xf numFmtId="0" fontId="8" fillId="0" borderId="7" xfId="0" applyFont="1" applyFill="1" applyBorder="1" applyAlignment="1" applyProtection="1">
      <alignment horizontal="center"/>
      <protection locked="0"/>
    </xf>
    <xf numFmtId="0" fontId="0" fillId="6" borderId="69" xfId="0" applyFill="1" applyBorder="1" applyAlignment="1" applyProtection="1">
      <protection locked="0"/>
    </xf>
    <xf numFmtId="0" fontId="42" fillId="2" borderId="0" xfId="0" applyFont="1" applyFill="1" applyAlignment="1"/>
    <xf numFmtId="0" fontId="6" fillId="5" borderId="7"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2" fillId="2" borderId="53" xfId="0" applyFont="1" applyFill="1" applyBorder="1" applyAlignment="1">
      <alignment horizontal="left" vertical="center" wrapText="1"/>
    </xf>
    <xf numFmtId="0" fontId="2" fillId="2" borderId="24" xfId="0" applyFont="1" applyFill="1" applyBorder="1" applyAlignment="1">
      <alignment horizontal="left" vertical="center" wrapText="1"/>
    </xf>
    <xf numFmtId="0" fontId="2" fillId="2" borderId="59" xfId="0" applyFont="1" applyFill="1" applyBorder="1" applyAlignment="1">
      <alignment horizontal="left" vertical="center" wrapText="1"/>
    </xf>
    <xf numFmtId="0" fontId="2" fillId="3" borderId="24" xfId="0" applyFont="1" applyFill="1" applyBorder="1" applyAlignment="1">
      <alignment horizontal="left" vertical="center" wrapText="1"/>
    </xf>
    <xf numFmtId="0" fontId="2" fillId="0" borderId="7" xfId="0" applyFont="1" applyBorder="1" applyAlignment="1" applyProtection="1">
      <alignment horizontal="center" vertical="center"/>
      <protection hidden="1"/>
    </xf>
    <xf numFmtId="0" fontId="0" fillId="0" borderId="0" xfId="0" applyAlignment="1" applyProtection="1">
      <alignment horizontal="center" vertical="center"/>
      <protection hidden="1"/>
    </xf>
    <xf numFmtId="0" fontId="2" fillId="2" borderId="24" xfId="0" applyFont="1" applyFill="1" applyBorder="1" applyAlignment="1">
      <alignment horizontal="left" vertical="center"/>
    </xf>
    <xf numFmtId="0" fontId="0" fillId="0" borderId="0" xfId="0" applyAlignment="1"/>
    <xf numFmtId="0" fontId="0" fillId="0" borderId="0" xfId="0" applyAlignment="1" applyProtection="1">
      <protection hidden="1"/>
    </xf>
    <xf numFmtId="0" fontId="6" fillId="5" borderId="9" xfId="0" applyFont="1" applyFill="1" applyBorder="1" applyAlignment="1">
      <alignment horizontal="left" vertical="center"/>
    </xf>
    <xf numFmtId="0" fontId="8" fillId="5" borderId="35" xfId="0" applyFont="1" applyFill="1" applyBorder="1" applyAlignment="1">
      <alignment horizontal="left" vertical="center"/>
    </xf>
    <xf numFmtId="0" fontId="8" fillId="5" borderId="54" xfId="0" applyFont="1" applyFill="1" applyBorder="1" applyAlignment="1">
      <alignment horizontal="left" vertical="center"/>
    </xf>
    <xf numFmtId="0" fontId="3" fillId="2" borderId="1" xfId="0" applyFont="1" applyFill="1" applyBorder="1" applyAlignment="1">
      <alignment horizontal="center" wrapText="1"/>
    </xf>
    <xf numFmtId="0" fontId="33" fillId="0" borderId="0" xfId="0" applyFont="1" applyFill="1" applyProtection="1">
      <protection hidden="1"/>
    </xf>
    <xf numFmtId="0" fontId="2" fillId="3" borderId="15" xfId="0" applyFont="1" applyFill="1" applyBorder="1" applyAlignment="1">
      <alignment horizontal="left"/>
    </xf>
    <xf numFmtId="3" fontId="0" fillId="6" borderId="52" xfId="0" applyNumberFormat="1" applyFill="1" applyBorder="1" applyProtection="1">
      <protection locked="0"/>
    </xf>
    <xf numFmtId="0" fontId="0" fillId="0" borderId="9" xfId="0" applyFill="1" applyBorder="1" applyProtection="1">
      <protection hidden="1"/>
    </xf>
    <xf numFmtId="0" fontId="0" fillId="0" borderId="71" xfId="0" applyFill="1" applyBorder="1" applyAlignment="1" applyProtection="1">
      <alignment horizontal="left"/>
      <protection locked="0"/>
    </xf>
    <xf numFmtId="0" fontId="10" fillId="0" borderId="0" xfId="0" applyFont="1" applyProtection="1">
      <protection hidden="1"/>
    </xf>
    <xf numFmtId="3" fontId="0" fillId="6" borderId="59" xfId="0" applyNumberFormat="1" applyFill="1" applyBorder="1" applyProtection="1">
      <protection locked="0"/>
    </xf>
    <xf numFmtId="0" fontId="2" fillId="5" borderId="22" xfId="0" applyFont="1" applyFill="1" applyBorder="1"/>
    <xf numFmtId="0" fontId="0" fillId="0" borderId="71" xfId="0" applyFill="1" applyBorder="1" applyProtection="1">
      <protection locked="0"/>
    </xf>
    <xf numFmtId="0" fontId="2" fillId="5" borderId="35" xfId="0" applyFont="1" applyFill="1" applyBorder="1"/>
    <xf numFmtId="0" fontId="3" fillId="5" borderId="16" xfId="0" applyFont="1" applyFill="1" applyBorder="1"/>
    <xf numFmtId="0" fontId="0" fillId="0" borderId="71" xfId="0" applyFill="1" applyBorder="1"/>
    <xf numFmtId="0" fontId="0" fillId="0" borderId="0" xfId="0" applyAlignment="1">
      <alignment horizontal="center" vertical="center"/>
    </xf>
    <xf numFmtId="0" fontId="2" fillId="0" borderId="0" xfId="0" applyFont="1" applyAlignment="1">
      <alignment horizontal="center" vertical="center"/>
    </xf>
    <xf numFmtId="0" fontId="3" fillId="5" borderId="22" xfId="0" applyFont="1" applyFill="1" applyBorder="1"/>
    <xf numFmtId="0" fontId="3" fillId="5" borderId="36" xfId="0" applyFont="1" applyFill="1" applyBorder="1"/>
    <xf numFmtId="4" fontId="0" fillId="0" borderId="52" xfId="0" applyNumberFormat="1" applyBorder="1" applyProtection="1">
      <protection locked="0"/>
    </xf>
    <xf numFmtId="0" fontId="3" fillId="5" borderId="35" xfId="0" applyFont="1" applyFill="1" applyBorder="1"/>
    <xf numFmtId="3" fontId="0" fillId="0" borderId="59" xfId="0" applyNumberFormat="1" applyBorder="1" applyProtection="1">
      <protection locked="0"/>
    </xf>
    <xf numFmtId="3" fontId="0" fillId="0" borderId="52" xfId="0" applyNumberFormat="1" applyBorder="1" applyProtection="1">
      <protection locked="0"/>
    </xf>
    <xf numFmtId="0" fontId="3" fillId="5" borderId="34" xfId="0" applyFont="1" applyFill="1" applyBorder="1"/>
    <xf numFmtId="3" fontId="2" fillId="0" borderId="52" xfId="0" applyNumberFormat="1" applyFont="1" applyFill="1" applyBorder="1" applyProtection="1">
      <protection locked="0"/>
    </xf>
    <xf numFmtId="0" fontId="3" fillId="2" borderId="47" xfId="0" applyFont="1" applyFill="1" applyBorder="1" applyAlignment="1">
      <alignment horizontal="center" wrapText="1"/>
    </xf>
    <xf numFmtId="0" fontId="3" fillId="2" borderId="72" xfId="0" applyFont="1" applyFill="1" applyBorder="1" applyAlignment="1" applyProtection="1">
      <alignment horizontal="center" vertical="top"/>
      <protection hidden="1"/>
    </xf>
    <xf numFmtId="0" fontId="0" fillId="2" borderId="26" xfId="0" applyFill="1" applyBorder="1"/>
    <xf numFmtId="0" fontId="2" fillId="2" borderId="1" xfId="0" applyFont="1" applyFill="1" applyBorder="1" applyAlignment="1" applyProtection="1">
      <alignment horizontal="center" wrapText="1"/>
      <protection hidden="1"/>
    </xf>
    <xf numFmtId="0" fontId="7" fillId="0" borderId="0" xfId="0" applyFont="1" applyBorder="1" applyAlignment="1" applyProtection="1">
      <protection hidden="1"/>
    </xf>
    <xf numFmtId="0" fontId="7" fillId="0" borderId="0" xfId="0" applyFont="1" applyBorder="1" applyAlignment="1"/>
    <xf numFmtId="0" fontId="6" fillId="0" borderId="0" xfId="0" applyFont="1" applyBorder="1" applyAlignment="1" applyProtection="1">
      <protection hidden="1"/>
    </xf>
    <xf numFmtId="0" fontId="1" fillId="0" borderId="0" xfId="0" applyFont="1" applyFill="1" applyBorder="1" applyAlignment="1" applyProtection="1">
      <protection hidden="1"/>
    </xf>
    <xf numFmtId="0" fontId="6" fillId="0" borderId="0" xfId="0" applyFont="1" applyBorder="1" applyProtection="1">
      <protection hidden="1"/>
    </xf>
    <xf numFmtId="0" fontId="1" fillId="0" borderId="0" xfId="0" applyFont="1" applyBorder="1" applyAlignment="1" applyProtection="1">
      <protection hidden="1"/>
    </xf>
    <xf numFmtId="0" fontId="13" fillId="0" borderId="0" xfId="0" quotePrefix="1" applyFont="1" applyBorder="1" applyAlignment="1"/>
    <xf numFmtId="0" fontId="13" fillId="0" borderId="0" xfId="0" quotePrefix="1" applyFont="1" applyBorder="1" applyAlignment="1" applyProtection="1">
      <protection hidden="1"/>
    </xf>
    <xf numFmtId="0" fontId="12" fillId="0" borderId="0" xfId="0" quotePrefix="1" applyFont="1" applyBorder="1" applyAlignment="1"/>
    <xf numFmtId="0" fontId="3" fillId="0" borderId="0" xfId="0" applyFont="1" applyBorder="1" applyAlignment="1" applyProtection="1">
      <alignment horizontal="left" vertical="center"/>
      <protection hidden="1"/>
    </xf>
    <xf numFmtId="0" fontId="3" fillId="0" borderId="0" xfId="0" applyFont="1" applyBorder="1" applyProtection="1">
      <protection hidden="1"/>
    </xf>
    <xf numFmtId="0" fontId="0" fillId="0" borderId="0" xfId="0" applyBorder="1" applyAlignment="1" applyProtection="1">
      <alignment horizontal="right" vertical="center"/>
      <protection hidden="1"/>
    </xf>
    <xf numFmtId="0" fontId="0" fillId="0" borderId="0" xfId="0" applyBorder="1" applyAlignment="1" applyProtection="1">
      <protection hidden="1"/>
    </xf>
    <xf numFmtId="0" fontId="0" fillId="0" borderId="0" xfId="0" applyFill="1" applyBorder="1" applyAlignment="1" applyProtection="1">
      <alignment horizontal="right" vertical="center"/>
      <protection hidden="1"/>
    </xf>
    <xf numFmtId="0" fontId="6" fillId="0" borderId="0" xfId="0" applyFont="1" applyFill="1" applyBorder="1" applyAlignment="1" applyProtection="1">
      <alignment horizontal="center"/>
      <protection hidden="1"/>
    </xf>
    <xf numFmtId="0" fontId="6" fillId="0" borderId="0" xfId="0" applyFont="1" applyFill="1" applyBorder="1" applyAlignment="1" applyProtection="1">
      <protection hidden="1"/>
    </xf>
    <xf numFmtId="0" fontId="6" fillId="0" borderId="0" xfId="0" applyFont="1" applyFill="1" applyBorder="1" applyAlignment="1" applyProtection="1">
      <alignment horizontal="center" vertical="center"/>
      <protection hidden="1"/>
    </xf>
    <xf numFmtId="0" fontId="6" fillId="0" borderId="0" xfId="0" applyFont="1" applyFill="1" applyBorder="1" applyAlignment="1" applyProtection="1">
      <alignment horizontal="left" vertical="center"/>
      <protection hidden="1"/>
    </xf>
    <xf numFmtId="0" fontId="2" fillId="0" borderId="0" xfId="0" applyFont="1" applyAlignment="1" applyProtection="1">
      <alignment horizontal="left" vertical="center"/>
      <protection hidden="1"/>
    </xf>
    <xf numFmtId="0" fontId="2" fillId="0" borderId="0" xfId="0" applyFont="1" applyBorder="1" applyAlignment="1" applyProtection="1">
      <alignment horizontal="left" vertical="center"/>
      <protection hidden="1"/>
    </xf>
    <xf numFmtId="0" fontId="0" fillId="0" borderId="0" xfId="0" applyBorder="1" applyAlignment="1" applyProtection="1">
      <alignment horizontal="left" vertical="center"/>
      <protection hidden="1"/>
    </xf>
    <xf numFmtId="0" fontId="0" fillId="0" borderId="0" xfId="0" applyFill="1" applyBorder="1" applyAlignment="1" applyProtection="1">
      <alignment horizontal="center" vertical="center"/>
      <protection hidden="1"/>
    </xf>
    <xf numFmtId="0" fontId="8" fillId="0" borderId="0" xfId="0" applyFont="1" applyFill="1" applyBorder="1" applyAlignment="1" applyProtection="1">
      <alignment horizontal="left" vertical="center"/>
      <protection hidden="1"/>
    </xf>
    <xf numFmtId="0" fontId="8" fillId="0" borderId="0" xfId="0" applyFont="1" applyFill="1" applyBorder="1" applyAlignment="1" applyProtection="1">
      <alignment horizontal="left"/>
      <protection hidden="1"/>
    </xf>
    <xf numFmtId="0" fontId="3" fillId="0" borderId="0" xfId="0" applyFont="1" applyFill="1" applyBorder="1" applyAlignment="1" applyProtection="1">
      <alignment horizontal="left" vertical="center"/>
      <protection hidden="1"/>
    </xf>
    <xf numFmtId="0" fontId="1" fillId="0" borderId="0" xfId="0" applyFont="1" applyFill="1" applyBorder="1" applyAlignment="1" applyProtection="1">
      <alignment horizontal="left" vertical="center"/>
      <protection hidden="1"/>
    </xf>
    <xf numFmtId="0" fontId="4" fillId="0" borderId="0" xfId="0" applyFont="1" applyFill="1" applyBorder="1" applyAlignment="1" applyProtection="1">
      <alignment horizontal="left" vertical="center" wrapText="1"/>
      <protection hidden="1"/>
    </xf>
    <xf numFmtId="0" fontId="6" fillId="0" borderId="0" xfId="0" applyFont="1" applyFill="1" applyBorder="1" applyAlignment="1" applyProtection="1">
      <alignment horizontal="left" vertical="center" wrapText="1"/>
      <protection hidden="1"/>
    </xf>
    <xf numFmtId="0" fontId="0" fillId="0" borderId="0" xfId="0" applyFill="1" applyBorder="1" applyAlignment="1" applyProtection="1">
      <protection hidden="1"/>
    </xf>
    <xf numFmtId="0" fontId="7" fillId="0" borderId="0" xfId="0" applyFont="1" applyFill="1" applyBorder="1" applyAlignment="1" applyProtection="1">
      <protection hidden="1"/>
    </xf>
    <xf numFmtId="0" fontId="19" fillId="0" borderId="0" xfId="0" applyFont="1" applyFill="1" applyBorder="1" applyAlignment="1" applyProtection="1">
      <alignment horizontal="left"/>
      <protection hidden="1"/>
    </xf>
    <xf numFmtId="0" fontId="19" fillId="0" borderId="0" xfId="0" applyFont="1" applyFill="1" applyBorder="1" applyAlignment="1" applyProtection="1">
      <alignment horizontal="left" vertical="center"/>
      <protection hidden="1"/>
    </xf>
    <xf numFmtId="3" fontId="0" fillId="0" borderId="0" xfId="0" applyNumberFormat="1" applyFill="1" applyBorder="1" applyAlignment="1" applyProtection="1">
      <protection hidden="1"/>
    </xf>
    <xf numFmtId="0" fontId="2" fillId="2" borderId="0" xfId="0" applyFont="1" applyFill="1" applyAlignment="1" applyProtection="1">
      <alignment horizontal="center"/>
      <protection hidden="1"/>
    </xf>
    <xf numFmtId="0" fontId="0" fillId="0" borderId="0" xfId="0" applyAlignment="1" applyProtection="1">
      <alignment wrapText="1"/>
      <protection hidden="1"/>
    </xf>
    <xf numFmtId="0" fontId="3" fillId="0" borderId="0" xfId="0" applyFont="1" applyFill="1" applyBorder="1" applyAlignment="1" applyProtection="1">
      <alignment horizontal="center" wrapText="1"/>
      <protection hidden="1"/>
    </xf>
    <xf numFmtId="0" fontId="3" fillId="2" borderId="1" xfId="0" applyFont="1" applyFill="1" applyBorder="1" applyAlignment="1">
      <alignment wrapText="1"/>
    </xf>
    <xf numFmtId="0" fontId="3" fillId="2" borderId="4" xfId="0" applyFont="1" applyFill="1" applyBorder="1" applyAlignment="1">
      <alignment horizontal="center" wrapText="1"/>
    </xf>
    <xf numFmtId="0" fontId="10" fillId="0" borderId="0" xfId="0" applyFont="1" applyFill="1" applyBorder="1" applyProtection="1">
      <protection hidden="1"/>
    </xf>
    <xf numFmtId="0" fontId="2" fillId="0" borderId="0" xfId="0" applyFont="1" applyFill="1" applyBorder="1" applyAlignment="1" applyProtection="1">
      <alignment horizontal="justify"/>
      <protection hidden="1"/>
    </xf>
    <xf numFmtId="0" fontId="2" fillId="0" borderId="0" xfId="0" applyFont="1" applyFill="1" applyBorder="1" applyAlignment="1" applyProtection="1">
      <alignment horizontal="left"/>
      <protection hidden="1"/>
    </xf>
    <xf numFmtId="0" fontId="2" fillId="0" borderId="0" xfId="0" applyFont="1" applyFill="1" applyBorder="1" applyAlignment="1" applyProtection="1">
      <alignment horizontal="right"/>
      <protection hidden="1"/>
    </xf>
    <xf numFmtId="0" fontId="2" fillId="0" borderId="0" xfId="0" applyFont="1" applyFill="1" applyBorder="1" applyAlignment="1" applyProtection="1">
      <alignment horizontal="left" vertical="center"/>
      <protection hidden="1"/>
    </xf>
    <xf numFmtId="0" fontId="3" fillId="0" borderId="0" xfId="0" applyFont="1" applyFill="1" applyBorder="1" applyAlignment="1" applyProtection="1">
      <alignment horizontal="left"/>
      <protection hidden="1"/>
    </xf>
    <xf numFmtId="0" fontId="0" fillId="0" borderId="0" xfId="0" applyAlignment="1">
      <alignment vertical="center" wrapText="1"/>
    </xf>
    <xf numFmtId="0" fontId="38" fillId="5" borderId="0" xfId="0" applyFont="1" applyFill="1" applyAlignment="1">
      <alignment vertical="center" wrapText="1"/>
    </xf>
    <xf numFmtId="0" fontId="0" fillId="0" borderId="0" xfId="0" applyAlignment="1" applyProtection="1">
      <alignment vertical="center" wrapText="1"/>
      <protection hidden="1"/>
    </xf>
    <xf numFmtId="0" fontId="3" fillId="0" borderId="0" xfId="0" applyFont="1" applyAlignment="1" applyProtection="1">
      <alignment vertical="center" wrapText="1"/>
      <protection hidden="1"/>
    </xf>
    <xf numFmtId="0" fontId="0" fillId="0" borderId="0" xfId="0" applyFill="1" applyAlignment="1" applyProtection="1">
      <alignment horizontal="center" vertical="center"/>
      <protection hidden="1"/>
    </xf>
    <xf numFmtId="0" fontId="0" fillId="0" borderId="0" xfId="0" applyFill="1" applyBorder="1" applyAlignment="1" applyProtection="1">
      <alignment horizontal="left" vertical="center"/>
      <protection hidden="1"/>
    </xf>
    <xf numFmtId="0" fontId="2" fillId="0" borderId="0" xfId="0" applyFont="1" applyAlignment="1"/>
    <xf numFmtId="0" fontId="0" fillId="0" borderId="0" xfId="0" applyFill="1" applyAlignment="1" applyProtection="1">
      <protection hidden="1"/>
    </xf>
    <xf numFmtId="0" fontId="10" fillId="0" borderId="0" xfId="0" applyFont="1" applyAlignment="1">
      <alignment wrapText="1"/>
    </xf>
    <xf numFmtId="0" fontId="16" fillId="2" borderId="48" xfId="0" applyFont="1" applyFill="1" applyBorder="1" applyAlignment="1" applyProtection="1">
      <alignment horizontal="center" vertical="center" wrapText="1"/>
      <protection hidden="1"/>
    </xf>
    <xf numFmtId="0" fontId="16" fillId="2" borderId="49" xfId="0" applyFont="1" applyFill="1" applyBorder="1" applyAlignment="1" applyProtection="1">
      <alignment horizontal="center" vertical="center" wrapText="1"/>
      <protection hidden="1"/>
    </xf>
    <xf numFmtId="0" fontId="16" fillId="2" borderId="31" xfId="0" applyFont="1" applyFill="1" applyBorder="1" applyAlignment="1" applyProtection="1">
      <alignment horizontal="center" vertical="center" wrapText="1"/>
      <protection hidden="1"/>
    </xf>
    <xf numFmtId="0" fontId="16" fillId="2" borderId="8" xfId="0" applyFont="1" applyFill="1" applyBorder="1" applyAlignment="1" applyProtection="1">
      <alignment horizontal="center" vertical="center" wrapText="1"/>
      <protection hidden="1"/>
    </xf>
    <xf numFmtId="0" fontId="1" fillId="2" borderId="0" xfId="0" applyFont="1" applyFill="1" applyAlignment="1">
      <alignment wrapText="1"/>
    </xf>
    <xf numFmtId="0" fontId="3" fillId="0" borderId="0" xfId="0" applyFont="1" applyFill="1" applyBorder="1" applyAlignment="1" applyProtection="1">
      <alignment wrapText="1"/>
      <protection hidden="1"/>
    </xf>
    <xf numFmtId="0" fontId="3" fillId="0" borderId="0" xfId="0" applyFont="1" applyFill="1" applyBorder="1" applyAlignment="1">
      <alignment wrapText="1"/>
    </xf>
    <xf numFmtId="0" fontId="3" fillId="0" borderId="0" xfId="0" applyFont="1" applyFill="1" applyBorder="1" applyAlignment="1">
      <alignment horizontal="center" wrapText="1"/>
    </xf>
    <xf numFmtId="0" fontId="6" fillId="0" borderId="0" xfId="0" applyFont="1"/>
    <xf numFmtId="0" fontId="8" fillId="0" borderId="0" xfId="0" applyFont="1" applyFill="1" applyBorder="1" applyAlignment="1" applyProtection="1">
      <alignment vertical="center" wrapText="1"/>
      <protection locked="0"/>
    </xf>
    <xf numFmtId="0" fontId="8" fillId="0" borderId="0" xfId="0" quotePrefix="1" applyFont="1" applyFill="1" applyBorder="1" applyAlignment="1" applyProtection="1">
      <alignment vertical="center" wrapText="1"/>
      <protection locked="0"/>
    </xf>
    <xf numFmtId="0" fontId="0" fillId="0" borderId="0" xfId="0" applyNumberFormat="1"/>
    <xf numFmtId="0" fontId="8" fillId="0" borderId="0" xfId="0" applyNumberFormat="1" applyFont="1" applyAlignment="1">
      <alignment vertical="top" wrapText="1"/>
    </xf>
    <xf numFmtId="0" fontId="8" fillId="2" borderId="0" xfId="0" applyFont="1" applyFill="1" applyAlignment="1">
      <alignment vertical="center" wrapText="1"/>
    </xf>
    <xf numFmtId="0" fontId="4" fillId="2" borderId="0" xfId="0" applyFont="1" applyFill="1" applyAlignment="1">
      <alignment wrapText="1"/>
    </xf>
    <xf numFmtId="0" fontId="43" fillId="0" borderId="0" xfId="0" applyFont="1" applyFill="1"/>
    <xf numFmtId="0" fontId="6" fillId="0" borderId="0" xfId="0" applyFont="1" applyFill="1" applyBorder="1" applyProtection="1">
      <protection hidden="1"/>
    </xf>
    <xf numFmtId="0" fontId="3" fillId="0" borderId="0" xfId="0" applyFont="1" applyAlignment="1" applyProtection="1">
      <alignment horizontal="center"/>
      <protection hidden="1"/>
    </xf>
    <xf numFmtId="0" fontId="4" fillId="0" borderId="0" xfId="0" applyFont="1" applyFill="1" applyBorder="1" applyAlignment="1" applyProtection="1">
      <alignment horizontal="left" wrapText="1"/>
      <protection hidden="1"/>
    </xf>
    <xf numFmtId="0" fontId="2" fillId="0" borderId="0" xfId="0" applyFont="1" applyFill="1" applyBorder="1" applyAlignment="1" applyProtection="1">
      <alignment vertical="top" wrapText="1"/>
      <protection hidden="1"/>
    </xf>
    <xf numFmtId="0" fontId="0" fillId="0" borderId="0" xfId="0" applyFill="1" applyBorder="1" applyAlignment="1" applyProtection="1">
      <alignment vertical="top" wrapText="1"/>
      <protection hidden="1"/>
    </xf>
    <xf numFmtId="0" fontId="0" fillId="0" borderId="0" xfId="0" applyFill="1" applyBorder="1" applyAlignment="1" applyProtection="1">
      <alignment vertical="top"/>
      <protection hidden="1"/>
    </xf>
    <xf numFmtId="0" fontId="6" fillId="0" borderId="0" xfId="0" applyFont="1" applyFill="1" applyBorder="1" applyAlignment="1" applyProtection="1">
      <alignment horizontal="center" vertical="top" wrapText="1"/>
      <protection hidden="1"/>
    </xf>
    <xf numFmtId="0" fontId="6" fillId="0" borderId="0" xfId="0" applyFont="1" applyAlignment="1" applyProtection="1">
      <alignment horizontal="center" vertical="top" wrapText="1"/>
      <protection hidden="1"/>
    </xf>
    <xf numFmtId="0" fontId="0" fillId="0" borderId="0" xfId="0" applyAlignment="1">
      <alignment vertical="top" wrapText="1"/>
    </xf>
    <xf numFmtId="0" fontId="0" fillId="0" borderId="0" xfId="0" applyAlignment="1" applyProtection="1">
      <alignment vertical="top" wrapText="1"/>
      <protection hidden="1"/>
    </xf>
    <xf numFmtId="0" fontId="6" fillId="0" borderId="0" xfId="0" applyFont="1" applyFill="1" applyBorder="1" applyAlignment="1" applyProtection="1">
      <alignment vertical="top" wrapText="1"/>
      <protection hidden="1"/>
    </xf>
    <xf numFmtId="0" fontId="0" fillId="0" borderId="0" xfId="0" applyAlignment="1">
      <alignment vertical="top"/>
    </xf>
    <xf numFmtId="0" fontId="0" fillId="0" borderId="0" xfId="0" applyAlignment="1" applyProtection="1">
      <alignment vertical="top"/>
      <protection hidden="1"/>
    </xf>
    <xf numFmtId="0" fontId="6" fillId="0" borderId="0" xfId="0" applyFont="1" applyFill="1" applyBorder="1" applyAlignment="1" applyProtection="1">
      <alignment vertical="top"/>
      <protection hidden="1"/>
    </xf>
    <xf numFmtId="0" fontId="0" fillId="0" borderId="0" xfId="0" applyNumberFormat="1" applyFill="1" applyBorder="1" applyAlignment="1" applyProtection="1">
      <alignment vertical="top" wrapText="1"/>
      <protection hidden="1"/>
    </xf>
    <xf numFmtId="0" fontId="0" fillId="0" borderId="0" xfId="0" applyFill="1" applyAlignment="1">
      <alignment vertical="top" wrapText="1"/>
    </xf>
    <xf numFmtId="0" fontId="0" fillId="0" borderId="0" xfId="0" applyFill="1" applyAlignment="1" applyProtection="1">
      <alignment vertical="top" wrapText="1"/>
      <protection hidden="1"/>
    </xf>
    <xf numFmtId="0" fontId="8" fillId="0" borderId="0" xfId="0" applyFont="1" applyBorder="1" applyAlignment="1">
      <alignment vertical="top" wrapText="1"/>
    </xf>
    <xf numFmtId="0" fontId="29" fillId="0" borderId="0" xfId="0" applyFont="1" applyAlignment="1">
      <alignment vertical="top" wrapText="1"/>
    </xf>
    <xf numFmtId="1" fontId="0" fillId="0" borderId="0" xfId="0" applyNumberFormat="1" applyAlignment="1" applyProtection="1">
      <alignment vertical="top" wrapText="1"/>
      <protection hidden="1"/>
    </xf>
    <xf numFmtId="0" fontId="6" fillId="0" borderId="0" xfId="0" applyFont="1" applyAlignment="1" applyProtection="1">
      <alignment vertical="top" wrapText="1"/>
      <protection hidden="1"/>
    </xf>
    <xf numFmtId="0" fontId="4" fillId="0" borderId="0" xfId="0" applyFont="1" applyFill="1" applyBorder="1" applyAlignment="1" applyProtection="1">
      <alignment vertical="top" wrapText="1"/>
      <protection hidden="1"/>
    </xf>
    <xf numFmtId="0" fontId="6" fillId="0" borderId="0" xfId="0" applyFont="1" applyProtection="1">
      <protection hidden="1"/>
    </xf>
    <xf numFmtId="0" fontId="6" fillId="0" borderId="0" xfId="0" applyFont="1" applyFill="1" applyAlignment="1" applyProtection="1">
      <alignment vertical="top" wrapText="1"/>
      <protection hidden="1"/>
    </xf>
    <xf numFmtId="0" fontId="8" fillId="0" borderId="0" xfId="0" applyFont="1" applyAlignment="1" applyProtection="1">
      <alignment vertical="top" wrapText="1"/>
      <protection hidden="1"/>
    </xf>
    <xf numFmtId="0" fontId="8" fillId="0" borderId="0" xfId="0" applyFont="1" applyFill="1" applyAlignment="1" applyProtection="1">
      <alignment vertical="top" wrapText="1"/>
      <protection hidden="1"/>
    </xf>
    <xf numFmtId="0" fontId="6" fillId="0" borderId="0" xfId="0" applyFont="1" applyAlignment="1">
      <alignment vertical="top" wrapText="1"/>
    </xf>
    <xf numFmtId="0" fontId="8" fillId="0" borderId="0" xfId="0" applyFont="1" applyAlignment="1">
      <alignment vertical="top" wrapText="1"/>
    </xf>
    <xf numFmtId="0" fontId="3" fillId="0" borderId="0" xfId="0" applyFont="1" applyFill="1" applyBorder="1" applyAlignment="1" applyProtection="1">
      <alignment vertical="top" wrapText="1"/>
      <protection hidden="1"/>
    </xf>
    <xf numFmtId="0" fontId="3" fillId="0" borderId="0" xfId="0" applyFont="1" applyFill="1" applyAlignment="1">
      <alignment vertical="top"/>
    </xf>
    <xf numFmtId="0" fontId="0" fillId="14" borderId="0" xfId="0" applyFill="1" applyAlignment="1" applyProtection="1">
      <alignment horizontal="center" vertical="top"/>
      <protection hidden="1"/>
    </xf>
    <xf numFmtId="0" fontId="2" fillId="0" borderId="0" xfId="0" applyFont="1" applyFill="1" applyAlignment="1" applyProtection="1">
      <alignment vertical="top" wrapText="1"/>
      <protection hidden="1"/>
    </xf>
    <xf numFmtId="0" fontId="10" fillId="0" borderId="0" xfId="0" applyFont="1" applyFill="1" applyAlignment="1" applyProtection="1">
      <alignment horizontal="left" wrapText="1"/>
      <protection hidden="1"/>
    </xf>
    <xf numFmtId="0" fontId="13" fillId="0" borderId="0" xfId="0" applyFont="1" applyProtection="1">
      <protection hidden="1"/>
    </xf>
    <xf numFmtId="0" fontId="34" fillId="0" borderId="0" xfId="0" applyFont="1" applyFill="1" applyBorder="1" applyProtection="1">
      <protection hidden="1"/>
    </xf>
    <xf numFmtId="0" fontId="8" fillId="0" borderId="0" xfId="0" applyFont="1" applyAlignment="1" applyProtection="1">
      <alignment wrapText="1"/>
      <protection hidden="1"/>
    </xf>
    <xf numFmtId="0" fontId="8" fillId="0" borderId="0" xfId="0" applyFont="1" applyFill="1" applyAlignment="1" applyProtection="1">
      <alignment wrapText="1"/>
      <protection hidden="1"/>
    </xf>
    <xf numFmtId="0" fontId="0" fillId="0" borderId="0" xfId="0" applyAlignment="1" applyProtection="1">
      <alignment horizontal="left" vertical="center"/>
      <protection hidden="1"/>
    </xf>
    <xf numFmtId="0" fontId="0" fillId="0" borderId="0" xfId="0" applyFill="1" applyAlignment="1" applyProtection="1">
      <alignment horizontal="right" vertical="center"/>
      <protection hidden="1"/>
    </xf>
    <xf numFmtId="0" fontId="0" fillId="0" borderId="0" xfId="0" applyFill="1" applyAlignment="1" applyProtection="1">
      <alignment horizontal="left" vertical="center"/>
      <protection hidden="1"/>
    </xf>
    <xf numFmtId="0" fontId="0" fillId="0" borderId="0" xfId="0" applyAlignment="1" applyProtection="1">
      <alignment horizontal="left"/>
      <protection hidden="1"/>
    </xf>
    <xf numFmtId="0" fontId="3" fillId="0" borderId="0" xfId="0" applyFont="1" applyFill="1" applyBorder="1" applyProtection="1">
      <protection hidden="1"/>
    </xf>
    <xf numFmtId="0" fontId="28" fillId="0" borderId="0" xfId="0" applyFont="1" applyFill="1" applyBorder="1" applyProtection="1">
      <protection hidden="1"/>
    </xf>
    <xf numFmtId="0" fontId="7" fillId="0" borderId="0" xfId="0" applyFont="1" applyFill="1" applyBorder="1" applyProtection="1">
      <protection hidden="1"/>
    </xf>
    <xf numFmtId="0" fontId="39" fillId="0" borderId="0" xfId="0" applyFont="1" applyAlignment="1" applyProtection="1">
      <alignment vertical="center" wrapText="1"/>
      <protection hidden="1"/>
    </xf>
    <xf numFmtId="0" fontId="10" fillId="0" borderId="0" xfId="0" applyFont="1" applyFill="1" applyProtection="1">
      <protection hidden="1"/>
    </xf>
    <xf numFmtId="0" fontId="1" fillId="0" borderId="0" xfId="0" applyFont="1" applyFill="1" applyAlignment="1" applyProtection="1">
      <alignment wrapText="1"/>
      <protection hidden="1"/>
    </xf>
    <xf numFmtId="0" fontId="2" fillId="0" borderId="0" xfId="0" applyFont="1" applyFill="1" applyAlignment="1" applyProtection="1">
      <alignment horizontal="justify"/>
      <protection hidden="1"/>
    </xf>
    <xf numFmtId="0" fontId="3" fillId="0" borderId="0" xfId="0" applyFont="1" applyFill="1" applyAlignment="1" applyProtection="1">
      <alignment horizontal="left"/>
      <protection hidden="1"/>
    </xf>
    <xf numFmtId="0" fontId="2" fillId="0" borderId="0" xfId="0" applyFont="1" applyProtection="1">
      <protection hidden="1"/>
    </xf>
    <xf numFmtId="0" fontId="8" fillId="2" borderId="18" xfId="0" applyFont="1" applyFill="1" applyBorder="1" applyAlignment="1"/>
    <xf numFmtId="0" fontId="8" fillId="5" borderId="24" xfId="0" applyFont="1" applyFill="1" applyBorder="1" applyAlignment="1"/>
    <xf numFmtId="0" fontId="0" fillId="0" borderId="0" xfId="0" applyBorder="1" applyAlignment="1"/>
    <xf numFmtId="2" fontId="8" fillId="2" borderId="45" xfId="0" applyNumberFormat="1" applyFont="1" applyFill="1" applyBorder="1" applyAlignment="1" applyProtection="1">
      <protection hidden="1"/>
    </xf>
    <xf numFmtId="2" fontId="8" fillId="2" borderId="35" xfId="0" applyNumberFormat="1" applyFont="1" applyFill="1" applyBorder="1" applyAlignment="1" applyProtection="1">
      <protection hidden="1"/>
    </xf>
    <xf numFmtId="2" fontId="8" fillId="2" borderId="18" xfId="0" applyNumberFormat="1" applyFont="1" applyFill="1" applyBorder="1" applyAlignment="1" applyProtection="1">
      <protection hidden="1"/>
    </xf>
    <xf numFmtId="2" fontId="8" fillId="2" borderId="26" xfId="0" applyNumberFormat="1" applyFont="1" applyFill="1" applyBorder="1" applyAlignment="1" applyProtection="1">
      <protection hidden="1"/>
    </xf>
    <xf numFmtId="0" fontId="8" fillId="0" borderId="0" xfId="0" applyFont="1" applyFill="1" applyBorder="1" applyAlignment="1" applyProtection="1">
      <protection hidden="1"/>
    </xf>
    <xf numFmtId="0" fontId="33" fillId="10" borderId="0" xfId="0" applyFont="1" applyFill="1" applyAlignment="1" applyProtection="1">
      <protection hidden="1"/>
    </xf>
    <xf numFmtId="0" fontId="30" fillId="10" borderId="0" xfId="0" applyFont="1" applyFill="1" applyAlignment="1" applyProtection="1">
      <protection hidden="1"/>
    </xf>
    <xf numFmtId="2" fontId="30" fillId="11" borderId="0" xfId="0" applyNumberFormat="1" applyFont="1" applyFill="1" applyAlignment="1" applyProtection="1">
      <protection hidden="1"/>
    </xf>
    <xf numFmtId="2" fontId="30" fillId="10" borderId="0" xfId="0" applyNumberFormat="1" applyFont="1" applyFill="1" applyAlignment="1" applyProtection="1">
      <protection hidden="1"/>
    </xf>
    <xf numFmtId="0" fontId="44" fillId="0" borderId="0" xfId="0" applyFont="1" applyAlignment="1" applyProtection="1">
      <alignment horizontal="justify"/>
      <protection hidden="1"/>
    </xf>
    <xf numFmtId="0" fontId="44" fillId="0" borderId="0" xfId="0" applyFont="1" applyProtection="1">
      <protection hidden="1"/>
    </xf>
    <xf numFmtId="0" fontId="45" fillId="0" borderId="0" xfId="0" applyFont="1"/>
    <xf numFmtId="0" fontId="46" fillId="0" borderId="0" xfId="0" applyFont="1" applyProtection="1">
      <protection hidden="1"/>
    </xf>
    <xf numFmtId="0" fontId="3" fillId="0" borderId="0" xfId="0" applyFont="1" applyAlignment="1" applyProtection="1">
      <alignment wrapText="1"/>
      <protection hidden="1"/>
    </xf>
    <xf numFmtId="0" fontId="47" fillId="3" borderId="0" xfId="0" applyFont="1" applyFill="1"/>
    <xf numFmtId="0" fontId="44" fillId="0" borderId="0" xfId="0" applyFont="1" applyAlignment="1">
      <alignment horizontal="center" vertical="center" wrapText="1"/>
    </xf>
    <xf numFmtId="0" fontId="6" fillId="7" borderId="15" xfId="0" applyFont="1" applyFill="1" applyBorder="1" applyAlignment="1">
      <alignment horizontal="center" wrapText="1"/>
    </xf>
    <xf numFmtId="0" fontId="8" fillId="0" borderId="0" xfId="0" applyFont="1" applyFill="1" applyAlignment="1" applyProtection="1">
      <alignment vertical="center" wrapText="1"/>
      <protection hidden="1"/>
    </xf>
    <xf numFmtId="0" fontId="8" fillId="0" borderId="0" xfId="0" applyFont="1" applyFill="1" applyAlignment="1" applyProtection="1">
      <alignment horizontal="left" vertical="center" wrapText="1"/>
      <protection hidden="1"/>
    </xf>
    <xf numFmtId="1" fontId="0" fillId="6" borderId="33" xfId="0" applyNumberFormat="1" applyFill="1" applyBorder="1"/>
    <xf numFmtId="0" fontId="0" fillId="6" borderId="32" xfId="0" applyFill="1" applyBorder="1"/>
    <xf numFmtId="0" fontId="8" fillId="6" borderId="17" xfId="0" applyFont="1" applyFill="1" applyBorder="1"/>
    <xf numFmtId="0" fontId="4" fillId="6" borderId="33" xfId="0" applyFont="1" applyFill="1" applyBorder="1" applyAlignment="1"/>
    <xf numFmtId="0" fontId="8" fillId="6" borderId="18" xfId="0" applyFont="1" applyFill="1" applyBorder="1"/>
    <xf numFmtId="0" fontId="4" fillId="6" borderId="32" xfId="0" applyFont="1" applyFill="1" applyBorder="1" applyAlignment="1"/>
    <xf numFmtId="0" fontId="8" fillId="0" borderId="0" xfId="0" applyFont="1" applyAlignment="1">
      <alignment horizontal="left" vertical="center" wrapText="1"/>
    </xf>
    <xf numFmtId="0" fontId="3" fillId="0" borderId="0" xfId="0" applyFont="1" applyAlignment="1">
      <alignment horizontal="left" vertical="center" wrapText="1"/>
    </xf>
    <xf numFmtId="0" fontId="0" fillId="0" borderId="0" xfId="0" applyFill="1" applyAlignment="1" applyProtection="1">
      <alignment horizontal="center" vertical="top"/>
      <protection hidden="1"/>
    </xf>
    <xf numFmtId="0" fontId="16" fillId="2" borderId="73" xfId="0" applyFont="1" applyFill="1" applyBorder="1" applyAlignment="1" applyProtection="1">
      <alignment horizontal="center" vertical="center"/>
      <protection hidden="1"/>
    </xf>
    <xf numFmtId="1" fontId="8" fillId="2" borderId="74" xfId="0" applyNumberFormat="1" applyFont="1" applyFill="1" applyBorder="1" applyProtection="1">
      <protection hidden="1"/>
    </xf>
    <xf numFmtId="1" fontId="8" fillId="2" borderId="75" xfId="0" applyNumberFormat="1" applyFont="1" applyFill="1" applyBorder="1" applyProtection="1">
      <protection hidden="1"/>
    </xf>
    <xf numFmtId="1" fontId="8" fillId="2" borderId="63" xfId="0" applyNumberFormat="1" applyFont="1" applyFill="1" applyBorder="1" applyProtection="1">
      <protection hidden="1"/>
    </xf>
    <xf numFmtId="1" fontId="8" fillId="2" borderId="15" xfId="0" applyNumberFormat="1" applyFont="1" applyFill="1" applyBorder="1" applyProtection="1">
      <protection hidden="1"/>
    </xf>
    <xf numFmtId="1" fontId="6" fillId="5" borderId="8" xfId="0" applyNumberFormat="1" applyFont="1" applyFill="1" applyBorder="1" applyAlignment="1" applyProtection="1">
      <alignment vertical="center"/>
      <protection hidden="1"/>
    </xf>
    <xf numFmtId="0" fontId="44" fillId="2" borderId="47" xfId="0" applyFont="1" applyFill="1" applyBorder="1" applyAlignment="1">
      <alignment horizontal="center" wrapText="1"/>
    </xf>
    <xf numFmtId="0" fontId="8" fillId="5" borderId="7" xfId="0" applyFont="1" applyFill="1" applyBorder="1" applyAlignment="1">
      <alignment horizontal="center"/>
    </xf>
    <xf numFmtId="0" fontId="8" fillId="5" borderId="33" xfId="0" applyFont="1" applyFill="1" applyBorder="1" applyAlignment="1">
      <alignment horizontal="center"/>
    </xf>
    <xf numFmtId="0" fontId="0" fillId="2" borderId="7" xfId="0" applyFill="1" applyBorder="1" applyAlignment="1">
      <alignment horizontal="center"/>
    </xf>
    <xf numFmtId="0" fontId="0" fillId="0" borderId="0" xfId="0" applyFill="1" applyAlignment="1">
      <alignment vertical="top"/>
    </xf>
    <xf numFmtId="0" fontId="8" fillId="2" borderId="0" xfId="0" applyFont="1" applyFill="1" applyAlignment="1" applyProtection="1">
      <alignment horizontal="left"/>
      <protection locked="0"/>
    </xf>
    <xf numFmtId="0" fontId="2" fillId="0" borderId="0" xfId="0" applyFont="1" applyAlignment="1" applyProtection="1">
      <alignment horizontal="left"/>
      <protection hidden="1"/>
    </xf>
    <xf numFmtId="0" fontId="0" fillId="2" borderId="0" xfId="0" applyFill="1" applyBorder="1" applyAlignment="1">
      <alignment horizontal="center"/>
    </xf>
    <xf numFmtId="0" fontId="8" fillId="2" borderId="0" xfId="0" applyFont="1" applyFill="1" applyBorder="1" applyAlignment="1" applyProtection="1">
      <alignment horizontal="left" vertical="center" wrapText="1"/>
    </xf>
    <xf numFmtId="0" fontId="0" fillId="2" borderId="0" xfId="0" applyFill="1" applyBorder="1" applyAlignment="1" applyProtection="1">
      <alignment horizontal="center"/>
      <protection locked="0"/>
    </xf>
    <xf numFmtId="0" fontId="2" fillId="2" borderId="0" xfId="0" applyFont="1" applyFill="1" applyAlignment="1" applyProtection="1">
      <alignment vertical="center" wrapText="1"/>
      <protection hidden="1"/>
    </xf>
    <xf numFmtId="0" fontId="1" fillId="2" borderId="0" xfId="0" applyFont="1" applyFill="1" applyBorder="1" applyAlignment="1" applyProtection="1">
      <protection hidden="1"/>
    </xf>
    <xf numFmtId="0" fontId="34" fillId="2" borderId="0" xfId="0" applyFont="1" applyFill="1" applyBorder="1" applyProtection="1">
      <protection hidden="1"/>
    </xf>
    <xf numFmtId="0" fontId="0" fillId="7" borderId="0" xfId="0" applyFill="1" applyAlignment="1" applyProtection="1">
      <alignment horizontal="left" vertical="center"/>
      <protection hidden="1"/>
    </xf>
    <xf numFmtId="0" fontId="0" fillId="0" borderId="0" xfId="0" applyAlignment="1" applyProtection="1">
      <alignment horizontal="center"/>
      <protection hidden="1"/>
    </xf>
    <xf numFmtId="3" fontId="0" fillId="6" borderId="7" xfId="0" applyNumberFormat="1" applyFill="1" applyBorder="1" applyAlignment="1" applyProtection="1">
      <alignment wrapText="1"/>
      <protection locked="0"/>
    </xf>
    <xf numFmtId="0" fontId="0" fillId="6" borderId="0" xfId="0" applyFill="1" applyAlignment="1" applyProtection="1">
      <alignment horizontal="center"/>
      <protection locked="0"/>
    </xf>
    <xf numFmtId="0" fontId="1" fillId="0" borderId="7" xfId="0" applyFont="1" applyFill="1" applyBorder="1" applyAlignment="1" applyProtection="1">
      <alignment horizontal="center"/>
      <protection locked="0"/>
    </xf>
    <xf numFmtId="3" fontId="1" fillId="0" borderId="77" xfId="2" applyNumberFormat="1" applyFont="1" applyBorder="1" applyProtection="1">
      <protection locked="0"/>
    </xf>
    <xf numFmtId="3" fontId="1" fillId="0" borderId="80" xfId="2" applyNumberFormat="1" applyFont="1" applyBorder="1" applyProtection="1">
      <protection locked="0"/>
    </xf>
    <xf numFmtId="3" fontId="1" fillId="0" borderId="56" xfId="2" applyNumberFormat="1" applyFont="1" applyBorder="1" applyProtection="1">
      <protection locked="0"/>
    </xf>
    <xf numFmtId="3" fontId="1" fillId="0" borderId="80" xfId="2" applyNumberFormat="1" applyFont="1" applyFill="1" applyBorder="1" applyProtection="1">
      <protection locked="0"/>
    </xf>
    <xf numFmtId="4" fontId="1" fillId="0" borderId="80" xfId="2" applyNumberFormat="1" applyFont="1" applyBorder="1" applyAlignment="1" applyProtection="1">
      <alignment wrapText="1"/>
      <protection locked="0"/>
    </xf>
    <xf numFmtId="3" fontId="1" fillId="6" borderId="81" xfId="2" applyNumberFormat="1" applyFill="1" applyBorder="1" applyProtection="1">
      <protection locked="0"/>
    </xf>
    <xf numFmtId="3" fontId="1" fillId="6" borderId="11" xfId="2" applyNumberFormat="1" applyFill="1" applyBorder="1" applyProtection="1">
      <protection locked="0"/>
    </xf>
    <xf numFmtId="3" fontId="1" fillId="0" borderId="81" xfId="2" applyNumberFormat="1" applyFill="1" applyBorder="1" applyProtection="1">
      <protection locked="0"/>
    </xf>
    <xf numFmtId="0" fontId="1" fillId="0" borderId="7" xfId="0" applyFont="1" applyFill="1" applyBorder="1" applyAlignment="1" applyProtection="1">
      <alignment horizontal="justify"/>
      <protection locked="0"/>
    </xf>
    <xf numFmtId="0" fontId="22" fillId="12" borderId="0" xfId="0" quotePrefix="1" applyFont="1" applyFill="1" applyAlignment="1">
      <alignment horizontal="center" vertical="center"/>
    </xf>
    <xf numFmtId="0" fontId="7" fillId="2" borderId="0" xfId="0" applyFont="1" applyFill="1" applyAlignment="1">
      <alignment horizontal="center"/>
    </xf>
    <xf numFmtId="0" fontId="10" fillId="2" borderId="0" xfId="0" applyFont="1" applyFill="1" applyAlignment="1">
      <alignment horizontal="center"/>
    </xf>
    <xf numFmtId="0" fontId="21" fillId="2" borderId="0" xfId="0" quotePrefix="1" applyFont="1" applyFill="1" applyAlignment="1">
      <alignment horizontal="center"/>
    </xf>
    <xf numFmtId="0" fontId="48" fillId="3" borderId="0" xfId="0" applyFont="1" applyFill="1" applyAlignment="1">
      <alignment horizontal="left" wrapText="1"/>
    </xf>
    <xf numFmtId="0" fontId="10" fillId="2" borderId="0" xfId="0" applyFont="1" applyFill="1"/>
    <xf numFmtId="0" fontId="8" fillId="0" borderId="0" xfId="0" applyFont="1" applyFill="1" applyAlignment="1">
      <alignment horizontal="left" wrapText="1"/>
    </xf>
    <xf numFmtId="0" fontId="8" fillId="3" borderId="0" xfId="0" applyFont="1" applyFill="1" applyAlignment="1">
      <alignment horizontal="left" vertical="center" wrapText="1"/>
    </xf>
    <xf numFmtId="0" fontId="8" fillId="2" borderId="0" xfId="0" applyFont="1" applyFill="1" applyAlignment="1">
      <alignment horizontal="left" vertical="center" wrapText="1"/>
    </xf>
    <xf numFmtId="0" fontId="8" fillId="3" borderId="0" xfId="0" applyFont="1" applyFill="1" applyAlignment="1">
      <alignment horizontal="left" wrapText="1"/>
    </xf>
    <xf numFmtId="0" fontId="4" fillId="3" borderId="0" xfId="0" applyFont="1" applyFill="1" applyAlignment="1">
      <alignment horizontal="left" wrapText="1"/>
    </xf>
    <xf numFmtId="0" fontId="22" fillId="12" borderId="0" xfId="0" applyFont="1" applyFill="1" applyAlignment="1">
      <alignment horizontal="center"/>
    </xf>
    <xf numFmtId="0" fontId="23" fillId="12" borderId="0" xfId="0" applyFont="1" applyFill="1" applyAlignment="1">
      <alignment horizontal="center"/>
    </xf>
    <xf numFmtId="3" fontId="4" fillId="2" borderId="53" xfId="0" applyNumberFormat="1" applyFont="1" applyFill="1" applyBorder="1" applyAlignment="1">
      <alignment horizontal="right" vertical="center"/>
    </xf>
    <xf numFmtId="3" fontId="4" fillId="2" borderId="59" xfId="0" applyNumberFormat="1" applyFont="1" applyFill="1" applyBorder="1" applyAlignment="1">
      <alignment horizontal="right" vertical="center"/>
    </xf>
    <xf numFmtId="0" fontId="4" fillId="2" borderId="34" xfId="0" applyFont="1" applyFill="1" applyBorder="1" applyAlignment="1">
      <alignment horizontal="left" vertical="center"/>
    </xf>
    <xf numFmtId="0" fontId="4" fillId="2" borderId="36" xfId="0" applyFont="1" applyFill="1" applyBorder="1" applyAlignment="1">
      <alignment horizontal="left" vertical="center"/>
    </xf>
    <xf numFmtId="0" fontId="10" fillId="0" borderId="0" xfId="0" applyFont="1" applyAlignment="1">
      <alignment horizontal="left"/>
    </xf>
    <xf numFmtId="0" fontId="7" fillId="0" borderId="0" xfId="0" applyFont="1" applyAlignment="1">
      <alignment horizontal="center"/>
    </xf>
    <xf numFmtId="0" fontId="33" fillId="11" borderId="0" xfId="0" applyFont="1" applyFill="1" applyAlignment="1" applyProtection="1">
      <alignment horizontal="center"/>
      <protection hidden="1"/>
    </xf>
    <xf numFmtId="0" fontId="33" fillId="12" borderId="0" xfId="0" applyFont="1" applyFill="1" applyAlignment="1" applyProtection="1">
      <alignment horizontal="center"/>
      <protection hidden="1"/>
    </xf>
    <xf numFmtId="0" fontId="6" fillId="0" borderId="0" xfId="0" applyFont="1" applyAlignment="1">
      <alignment horizontal="left"/>
    </xf>
    <xf numFmtId="0" fontId="7" fillId="6" borderId="0" xfId="0" applyFont="1" applyFill="1" applyAlignment="1">
      <alignment horizontal="center"/>
    </xf>
    <xf numFmtId="0" fontId="8" fillId="0" borderId="21" xfId="0" applyFont="1" applyBorder="1" applyAlignment="1" applyProtection="1">
      <alignment horizontal="center"/>
      <protection hidden="1"/>
    </xf>
    <xf numFmtId="0" fontId="8" fillId="0" borderId="31" xfId="0" applyFont="1" applyBorder="1" applyAlignment="1" applyProtection="1">
      <alignment horizontal="center"/>
      <protection hidden="1"/>
    </xf>
    <xf numFmtId="0" fontId="8" fillId="0" borderId="8" xfId="0" applyFont="1" applyBorder="1" applyAlignment="1" applyProtection="1">
      <alignment horizontal="center"/>
      <protection hidden="1"/>
    </xf>
    <xf numFmtId="0" fontId="8" fillId="6" borderId="33" xfId="0" applyFont="1" applyFill="1" applyBorder="1" applyAlignment="1">
      <alignment horizontal="left"/>
    </xf>
    <xf numFmtId="0" fontId="8" fillId="6" borderId="20" xfId="0" applyFont="1" applyFill="1" applyBorder="1" applyAlignment="1">
      <alignment horizontal="left"/>
    </xf>
    <xf numFmtId="0" fontId="8" fillId="6" borderId="32" xfId="0" applyFont="1" applyFill="1" applyBorder="1" applyAlignment="1">
      <alignment horizontal="left"/>
    </xf>
    <xf numFmtId="0" fontId="8" fillId="6" borderId="16" xfId="0" applyFont="1" applyFill="1" applyBorder="1" applyAlignment="1">
      <alignment horizontal="left"/>
    </xf>
    <xf numFmtId="0" fontId="8" fillId="0" borderId="10" xfId="0" applyFont="1" applyBorder="1" applyAlignment="1" applyProtection="1">
      <alignment vertical="top" wrapText="1"/>
      <protection locked="0"/>
    </xf>
    <xf numFmtId="0" fontId="8" fillId="0" borderId="30" xfId="0" applyFont="1" applyBorder="1" applyAlignment="1" applyProtection="1">
      <alignment vertical="top" wrapText="1"/>
      <protection locked="0"/>
    </xf>
    <xf numFmtId="0" fontId="8" fillId="0" borderId="11" xfId="0" applyFont="1" applyBorder="1" applyAlignment="1" applyProtection="1">
      <alignment vertical="top" wrapText="1"/>
      <protection locked="0"/>
    </xf>
    <xf numFmtId="0" fontId="1" fillId="0" borderId="78" xfId="2" applyBorder="1" applyAlignment="1" applyProtection="1">
      <alignment horizontal="center"/>
      <protection locked="0"/>
    </xf>
    <xf numFmtId="0" fontId="1" fillId="0" borderId="79" xfId="2" applyBorder="1" applyAlignment="1" applyProtection="1">
      <alignment horizontal="center"/>
      <protection locked="0"/>
    </xf>
    <xf numFmtId="0" fontId="1" fillId="0" borderId="78" xfId="2" applyBorder="1" applyAlignment="1" applyProtection="1">
      <alignment horizontal="center" wrapText="1"/>
      <protection locked="0"/>
    </xf>
    <xf numFmtId="0" fontId="11" fillId="0" borderId="78" xfId="1" applyBorder="1" applyAlignment="1" applyProtection="1">
      <alignment horizontal="center"/>
      <protection locked="0"/>
    </xf>
    <xf numFmtId="49" fontId="1" fillId="0" borderId="78" xfId="2" applyNumberFormat="1" applyBorder="1" applyAlignment="1" applyProtection="1">
      <alignment horizontal="center"/>
      <protection locked="0"/>
    </xf>
    <xf numFmtId="0" fontId="1" fillId="0" borderId="79" xfId="2" applyBorder="1" applyProtection="1">
      <protection locked="0"/>
    </xf>
    <xf numFmtId="0" fontId="8" fillId="0" borderId="56" xfId="0" applyFont="1" applyBorder="1" applyAlignment="1" applyProtection="1">
      <alignment vertical="top" wrapText="1"/>
      <protection locked="0"/>
    </xf>
    <xf numFmtId="0" fontId="8" fillId="0" borderId="35" xfId="0" applyFont="1" applyBorder="1" applyAlignment="1" applyProtection="1">
      <alignment vertical="top" wrapText="1"/>
      <protection locked="0"/>
    </xf>
    <xf numFmtId="0" fontId="8" fillId="0" borderId="45" xfId="0" applyFont="1" applyBorder="1" applyAlignment="1" applyProtection="1">
      <alignment vertical="top" wrapText="1"/>
      <protection locked="0"/>
    </xf>
    <xf numFmtId="0" fontId="0" fillId="0" borderId="76" xfId="0" applyBorder="1" applyAlignment="1" applyProtection="1">
      <alignment vertical="top" wrapText="1"/>
      <protection locked="0"/>
    </xf>
    <xf numFmtId="3" fontId="3" fillId="5" borderId="17" xfId="0" applyNumberFormat="1" applyFont="1" applyFill="1" applyBorder="1" applyAlignment="1">
      <alignment horizontal="right" vertical="center"/>
    </xf>
    <xf numFmtId="3" fontId="3" fillId="5" borderId="19" xfId="0" applyNumberFormat="1" applyFont="1" applyFill="1" applyBorder="1" applyAlignment="1">
      <alignment horizontal="right" vertical="center"/>
    </xf>
    <xf numFmtId="0" fontId="3" fillId="5" borderId="20" xfId="0" applyFont="1" applyFill="1" applyBorder="1" applyAlignment="1">
      <alignment horizontal="left" vertical="center"/>
    </xf>
    <xf numFmtId="0" fontId="3" fillId="5" borderId="16" xfId="0" applyFont="1" applyFill="1" applyBorder="1" applyAlignment="1">
      <alignment horizontal="left" vertical="center"/>
    </xf>
    <xf numFmtId="3" fontId="0" fillId="6" borderId="10" xfId="0" applyNumberFormat="1" applyFill="1" applyBorder="1" applyAlignment="1" applyProtection="1">
      <alignment horizontal="right" vertical="center"/>
      <protection locked="0"/>
    </xf>
    <xf numFmtId="3" fontId="0" fillId="6" borderId="11" xfId="0" applyNumberFormat="1" applyFill="1" applyBorder="1" applyAlignment="1" applyProtection="1">
      <alignment horizontal="right" vertical="center"/>
      <protection locked="0"/>
    </xf>
    <xf numFmtId="0" fontId="8" fillId="0" borderId="34" xfId="0" applyFont="1" applyBorder="1" applyAlignment="1" applyProtection="1">
      <alignment vertical="top" wrapText="1"/>
      <protection locked="0"/>
    </xf>
    <xf numFmtId="0" fontId="0" fillId="0" borderId="36" xfId="0" applyBorder="1" applyAlignment="1" applyProtection="1">
      <alignment vertical="top" wrapText="1"/>
      <protection locked="0"/>
    </xf>
    <xf numFmtId="0" fontId="0" fillId="0" borderId="30" xfId="0" applyBorder="1" applyAlignment="1" applyProtection="1">
      <alignment vertical="top" wrapText="1"/>
      <protection locked="0"/>
    </xf>
    <xf numFmtId="0" fontId="0" fillId="0" borderId="11" xfId="0" applyBorder="1" applyAlignment="1" applyProtection="1">
      <alignment vertical="top" wrapText="1"/>
      <protection locked="0"/>
    </xf>
    <xf numFmtId="0" fontId="0" fillId="0" borderId="30" xfId="0" applyBorder="1" applyAlignment="1" applyProtection="1">
      <alignment wrapText="1"/>
      <protection locked="0"/>
    </xf>
    <xf numFmtId="0" fontId="0" fillId="0" borderId="11" xfId="0" applyBorder="1" applyAlignment="1" applyProtection="1">
      <alignment wrapText="1"/>
      <protection locked="0"/>
    </xf>
    <xf numFmtId="0" fontId="0" fillId="0" borderId="10" xfId="0" applyBorder="1" applyAlignment="1" applyProtection="1">
      <alignment vertical="top" wrapText="1"/>
      <protection locked="0"/>
    </xf>
    <xf numFmtId="0" fontId="2" fillId="0" borderId="52" xfId="0" applyFont="1" applyFill="1" applyBorder="1" applyAlignment="1" applyProtection="1">
      <alignment horizontal="left"/>
      <protection locked="0"/>
    </xf>
    <xf numFmtId="0" fontId="2" fillId="0" borderId="70" xfId="0" applyFont="1" applyFill="1" applyBorder="1" applyAlignment="1" applyProtection="1">
      <alignment horizontal="left"/>
      <protection locked="0"/>
    </xf>
    <xf numFmtId="0" fontId="2" fillId="0" borderId="9" xfId="0" applyFont="1" applyFill="1" applyBorder="1" applyAlignment="1" applyProtection="1">
      <alignment horizontal="left"/>
      <protection locked="0"/>
    </xf>
    <xf numFmtId="0" fontId="4" fillId="0" borderId="10" xfId="0" applyFont="1" applyBorder="1" applyAlignment="1" applyProtection="1">
      <alignment vertical="top" wrapText="1"/>
      <protection locked="0"/>
    </xf>
    <xf numFmtId="0" fontId="3" fillId="4" borderId="57" xfId="0" applyFont="1" applyFill="1" applyBorder="1" applyAlignment="1">
      <alignment horizontal="center" vertical="center" wrapText="1"/>
    </xf>
    <xf numFmtId="0" fontId="3" fillId="4" borderId="29" xfId="0" applyFont="1" applyFill="1" applyBorder="1" applyAlignment="1">
      <alignment horizontal="center" vertical="center" wrapText="1"/>
    </xf>
    <xf numFmtId="0" fontId="8" fillId="5" borderId="0" xfId="0" applyFont="1" applyFill="1" applyAlignment="1">
      <alignment horizontal="left" wrapText="1"/>
    </xf>
    <xf numFmtId="0" fontId="10" fillId="0" borderId="0" xfId="0" applyFont="1" applyBorder="1" applyAlignment="1">
      <alignment horizontal="center" wrapText="1"/>
    </xf>
    <xf numFmtId="0" fontId="3" fillId="0" borderId="0" xfId="0" applyFont="1" applyAlignment="1">
      <alignment horizontal="center" wrapText="1"/>
    </xf>
    <xf numFmtId="0" fontId="3" fillId="0" borderId="0" xfId="0" applyFont="1" applyAlignment="1">
      <alignment horizontal="left"/>
    </xf>
    <xf numFmtId="0" fontId="8" fillId="0" borderId="52" xfId="0" applyFont="1" applyBorder="1" applyAlignment="1" applyProtection="1">
      <alignment vertical="top"/>
      <protection locked="0"/>
    </xf>
    <xf numFmtId="0" fontId="8" fillId="0" borderId="70" xfId="0" applyFont="1" applyBorder="1" applyAlignment="1" applyProtection="1">
      <alignment vertical="top"/>
      <protection locked="0"/>
    </xf>
    <xf numFmtId="0" fontId="8" fillId="0" borderId="9" xfId="0" applyFont="1" applyBorder="1" applyAlignment="1" applyProtection="1">
      <alignment vertical="top"/>
      <protection locked="0"/>
    </xf>
    <xf numFmtId="0" fontId="3" fillId="4" borderId="60" xfId="0" applyFont="1" applyFill="1" applyBorder="1" applyAlignment="1">
      <alignment horizontal="center" vertical="center" wrapText="1"/>
    </xf>
  </cellXfs>
  <cellStyles count="3">
    <cellStyle name="Hiperligação" xfId="1" builtinId="8"/>
    <cellStyle name="Normal" xfId="0" builtinId="0"/>
    <cellStyle name="Normal 2" xfId="2" xr:uid="{00000000-0005-0000-0000-000002000000}"/>
  </cellStyles>
  <dxfs count="3">
    <dxf>
      <font>
        <condense val="0"/>
        <extend val="0"/>
        <color auto="1"/>
      </font>
      <fill>
        <patternFill>
          <bgColor indexed="41"/>
        </patternFill>
      </fill>
    </dxf>
    <dxf>
      <font>
        <condense val="0"/>
        <extend val="0"/>
        <color auto="1"/>
      </font>
      <fill>
        <patternFill>
          <bgColor indexed="41"/>
        </patternFill>
      </fill>
    </dxf>
    <dxf>
      <font>
        <condense val="0"/>
        <extend val="0"/>
        <color auto="1"/>
      </font>
      <fill>
        <patternFill>
          <bgColor indexed="4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022054873472401"/>
          <c:y val="0.280000729168566"/>
          <c:w val="0.71743557176420403"/>
          <c:h val="0.57066815278164795"/>
        </c:manualLayout>
      </c:layout>
      <c:ofPieChart>
        <c:ofPieType val="bar"/>
        <c:varyColors val="1"/>
        <c:ser>
          <c:idx val="0"/>
          <c:order val="0"/>
          <c:spPr>
            <a:ln w="12700">
              <a:solidFill>
                <a:srgbClr val="000000"/>
              </a:solidFill>
              <a:prstDash val="solid"/>
            </a:ln>
          </c:spPr>
          <c:dPt>
            <c:idx val="0"/>
            <c:bubble3D val="0"/>
            <c:spPr>
              <a:solidFill>
                <a:srgbClr val="CCFFFF"/>
              </a:solidFill>
              <a:ln w="12700">
                <a:solidFill>
                  <a:srgbClr val="000000"/>
                </a:solidFill>
                <a:prstDash val="solid"/>
              </a:ln>
            </c:spPr>
            <c:extLst>
              <c:ext xmlns:c16="http://schemas.microsoft.com/office/drawing/2014/chart" uri="{C3380CC4-5D6E-409C-BE32-E72D297353CC}">
                <c16:uniqueId val="{00000001-633A-435C-B610-A35F910F179E}"/>
              </c:ext>
            </c:extLst>
          </c:dPt>
          <c:dPt>
            <c:idx val="1"/>
            <c:bubble3D val="0"/>
            <c:spPr>
              <a:solidFill>
                <a:srgbClr val="CCFFCC"/>
              </a:solidFill>
              <a:ln w="12700">
                <a:solidFill>
                  <a:srgbClr val="000000"/>
                </a:solidFill>
                <a:prstDash val="solid"/>
              </a:ln>
            </c:spPr>
            <c:extLst>
              <c:ext xmlns:c16="http://schemas.microsoft.com/office/drawing/2014/chart" uri="{C3380CC4-5D6E-409C-BE32-E72D297353CC}">
                <c16:uniqueId val="{00000003-633A-435C-B610-A35F910F179E}"/>
              </c:ext>
            </c:extLst>
          </c:dPt>
          <c:dPt>
            <c:idx val="2"/>
            <c:bubble3D val="0"/>
            <c:spPr>
              <a:solidFill>
                <a:srgbClr val="FFCC00"/>
              </a:solidFill>
              <a:ln w="12700">
                <a:solidFill>
                  <a:srgbClr val="000000"/>
                </a:solidFill>
                <a:prstDash val="solid"/>
              </a:ln>
            </c:spPr>
            <c:extLst>
              <c:ext xmlns:c16="http://schemas.microsoft.com/office/drawing/2014/chart" uri="{C3380CC4-5D6E-409C-BE32-E72D297353CC}">
                <c16:uniqueId val="{00000005-633A-435C-B610-A35F910F179E}"/>
              </c:ext>
            </c:extLst>
          </c:dPt>
          <c:dPt>
            <c:idx val="3"/>
            <c:bubble3D val="0"/>
            <c:spPr>
              <a:solidFill>
                <a:srgbClr val="FFFF00"/>
              </a:solidFill>
              <a:ln w="12700">
                <a:solidFill>
                  <a:srgbClr val="000000"/>
                </a:solidFill>
                <a:prstDash val="solid"/>
              </a:ln>
            </c:spPr>
            <c:extLst>
              <c:ext xmlns:c16="http://schemas.microsoft.com/office/drawing/2014/chart" uri="{C3380CC4-5D6E-409C-BE32-E72D297353CC}">
                <c16:uniqueId val="{00000007-633A-435C-B610-A35F910F179E}"/>
              </c:ext>
            </c:extLst>
          </c:dPt>
          <c:dPt>
            <c:idx val="4"/>
            <c:bubble3D val="0"/>
            <c:spPr>
              <a:solidFill>
                <a:srgbClr val="FFCC99"/>
              </a:solidFill>
              <a:ln w="12700">
                <a:solidFill>
                  <a:srgbClr val="000000"/>
                </a:solidFill>
                <a:prstDash val="solid"/>
              </a:ln>
            </c:spPr>
            <c:extLst>
              <c:ext xmlns:c16="http://schemas.microsoft.com/office/drawing/2014/chart" uri="{C3380CC4-5D6E-409C-BE32-E72D297353CC}">
                <c16:uniqueId val="{00000009-633A-435C-B610-A35F910F179E}"/>
              </c:ext>
            </c:extLst>
          </c:dPt>
          <c:dLbls>
            <c:dLbl>
              <c:idx val="0"/>
              <c:layout>
                <c:manualLayout>
                  <c:x val="2.7653695704495201E-2"/>
                  <c:y val="0.19027919891588799"/>
                </c:manualLayout>
              </c:layout>
              <c:spPr>
                <a:noFill/>
                <a:ln w="25400">
                  <a:noFill/>
                </a:ln>
              </c:spPr>
              <c:txPr>
                <a:bodyPr rot="-5400000" vert="horz"/>
                <a:lstStyle/>
                <a:p>
                  <a:pPr algn="ctr">
                    <a:defRPr sz="8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33A-435C-B610-A35F910F179E}"/>
                </c:ext>
              </c:extLst>
            </c:dLbl>
            <c:dLbl>
              <c:idx val="1"/>
              <c:spPr>
                <a:noFill/>
                <a:ln w="25400">
                  <a:noFill/>
                </a:ln>
              </c:spPr>
              <c:txPr>
                <a:bodyPr/>
                <a:lstStyle/>
                <a:p>
                  <a:pPr algn="l">
                    <a:defRPr sz="8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33A-435C-B610-A35F910F179E}"/>
                </c:ext>
              </c:extLst>
            </c:dLbl>
            <c:dLbl>
              <c:idx val="2"/>
              <c:layout>
                <c:manualLayout>
                  <c:x val="-4.9698698522074496E-3"/>
                  <c:y val="-7.3932931335726603E-3"/>
                </c:manualLayout>
              </c:layout>
              <c:spPr>
                <a:noFill/>
                <a:ln w="25400">
                  <a:noFill/>
                </a:ln>
              </c:spPr>
              <c:txPr>
                <a:bodyPr/>
                <a:lstStyle/>
                <a:p>
                  <a:pPr algn="l">
                    <a:defRPr sz="8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3A-435C-B610-A35F910F179E}"/>
                </c:ext>
              </c:extLst>
            </c:dLbl>
            <c:dLbl>
              <c:idx val="3"/>
              <c:layout>
                <c:manualLayout>
                  <c:x val="-6.3203180518387097E-3"/>
                  <c:y val="4.9208615210765499E-2"/>
                </c:manualLayout>
              </c:layout>
              <c:spPr>
                <a:noFill/>
                <a:ln w="25400">
                  <a:noFill/>
                </a:ln>
              </c:spPr>
              <c:txPr>
                <a:bodyPr/>
                <a:lstStyle/>
                <a:p>
                  <a:pPr algn="l">
                    <a:defRPr sz="8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33A-435C-B610-A35F910F179E}"/>
                </c:ext>
              </c:extLst>
            </c:dLbl>
            <c:dLbl>
              <c:idx val="4"/>
              <c:delete val="1"/>
              <c:extLst>
                <c:ext xmlns:c15="http://schemas.microsoft.com/office/drawing/2012/chart" uri="{CE6537A1-D6FC-4f65-9D91-7224C49458BB}"/>
                <c:ext xmlns:c16="http://schemas.microsoft.com/office/drawing/2014/chart" uri="{C3380CC4-5D6E-409C-BE32-E72D297353CC}">
                  <c16:uniqueId val="{00000009-633A-435C-B610-A35F910F179E}"/>
                </c:ext>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1"/>
            <c:showSerName val="0"/>
            <c:showPercent val="0"/>
            <c:showBubbleSize val="0"/>
            <c:showLeaderLines val="1"/>
            <c:extLst>
              <c:ext xmlns:c15="http://schemas.microsoft.com/office/drawing/2012/chart" uri="{CE6537A1-D6FC-4f65-9D91-7224C49458BB}"/>
            </c:extLst>
          </c:dLbls>
          <c:cat>
            <c:strRef>
              <c:f>'Output (4)'!$A$8:$A$11</c:f>
              <c:strCache>
                <c:ptCount val="4"/>
                <c:pt idx="0">
                  <c:v>Consumo facturado</c:v>
                </c:pt>
                <c:pt idx="1">
                  <c:v>Consumo autorizado não facturado</c:v>
                </c:pt>
                <c:pt idx="2">
                  <c:v>Perdas aparentes</c:v>
                </c:pt>
                <c:pt idx="3">
                  <c:v>Perdas reais</c:v>
                </c:pt>
              </c:strCache>
            </c:strRef>
          </c:cat>
          <c:val>
            <c:numRef>
              <c:f>'Output (4)'!$B$8:$B$11</c:f>
              <c:numCache>
                <c:formatCode>0</c:formatCode>
                <c:ptCount val="4"/>
                <c:pt idx="0">
                  <c:v>0</c:v>
                </c:pt>
                <c:pt idx="1">
                  <c:v>0</c:v>
                </c:pt>
                <c:pt idx="2">
                  <c:v>0</c:v>
                </c:pt>
                <c:pt idx="3">
                  <c:v>0</c:v>
                </c:pt>
              </c:numCache>
            </c:numRef>
          </c:val>
          <c:extLst>
            <c:ext xmlns:c16="http://schemas.microsoft.com/office/drawing/2014/chart" uri="{C3380CC4-5D6E-409C-BE32-E72D297353CC}">
              <c16:uniqueId val="{0000000A-633A-435C-B610-A35F910F179E}"/>
            </c:ext>
          </c:extLst>
        </c:ser>
        <c:dLbls>
          <c:showLegendKey val="0"/>
          <c:showVal val="0"/>
          <c:showCatName val="1"/>
          <c:showSerName val="0"/>
          <c:showPercent val="0"/>
          <c:showBubbleSize val="0"/>
          <c:showLeaderLines val="1"/>
        </c:dLbls>
        <c:gapWidth val="120"/>
        <c:splitType val="pos"/>
        <c:splitPos val="3"/>
        <c:secondPieSize val="75"/>
        <c:serLines>
          <c:spPr>
            <a:ln w="3175">
              <a:solidFill>
                <a:srgbClr val="000000"/>
              </a:solidFill>
              <a:prstDash val="solid"/>
            </a:ln>
          </c:spPr>
        </c:serLines>
      </c:of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471172962226601"/>
          <c:y val="0.245333972223886"/>
          <c:w val="0.55864811133200798"/>
          <c:h val="0.46133453472535102"/>
        </c:manualLayout>
      </c:layout>
      <c:ofPieChart>
        <c:ofPieType val="bar"/>
        <c:varyColors val="1"/>
        <c:ser>
          <c:idx val="0"/>
          <c:order val="0"/>
          <c:spPr>
            <a:ln w="12700">
              <a:solidFill>
                <a:srgbClr val="000000"/>
              </a:solidFill>
              <a:prstDash val="solid"/>
            </a:ln>
          </c:spPr>
          <c:dPt>
            <c:idx val="0"/>
            <c:bubble3D val="0"/>
            <c:spPr>
              <a:solidFill>
                <a:srgbClr val="CCFFFF"/>
              </a:solidFill>
              <a:ln w="12700">
                <a:solidFill>
                  <a:srgbClr val="000000"/>
                </a:solidFill>
                <a:prstDash val="solid"/>
              </a:ln>
            </c:spPr>
            <c:extLst>
              <c:ext xmlns:c16="http://schemas.microsoft.com/office/drawing/2014/chart" uri="{C3380CC4-5D6E-409C-BE32-E72D297353CC}">
                <c16:uniqueId val="{00000001-7EBF-4E52-A00B-AF53C03CC079}"/>
              </c:ext>
            </c:extLst>
          </c:dPt>
          <c:dPt>
            <c:idx val="1"/>
            <c:bubble3D val="0"/>
            <c:spPr>
              <a:solidFill>
                <a:srgbClr val="CCFFCC"/>
              </a:solidFill>
              <a:ln w="12700">
                <a:solidFill>
                  <a:srgbClr val="000000"/>
                </a:solidFill>
                <a:prstDash val="solid"/>
              </a:ln>
            </c:spPr>
            <c:extLst>
              <c:ext xmlns:c16="http://schemas.microsoft.com/office/drawing/2014/chart" uri="{C3380CC4-5D6E-409C-BE32-E72D297353CC}">
                <c16:uniqueId val="{00000003-7EBF-4E52-A00B-AF53C03CC079}"/>
              </c:ext>
            </c:extLst>
          </c:dPt>
          <c:dPt>
            <c:idx val="2"/>
            <c:bubble3D val="0"/>
            <c:spPr>
              <a:solidFill>
                <a:srgbClr val="FFCC00"/>
              </a:solidFill>
              <a:ln w="12700">
                <a:solidFill>
                  <a:srgbClr val="000000"/>
                </a:solidFill>
                <a:prstDash val="solid"/>
              </a:ln>
            </c:spPr>
            <c:extLst>
              <c:ext xmlns:c16="http://schemas.microsoft.com/office/drawing/2014/chart" uri="{C3380CC4-5D6E-409C-BE32-E72D297353CC}">
                <c16:uniqueId val="{00000005-7EBF-4E52-A00B-AF53C03CC079}"/>
              </c:ext>
            </c:extLst>
          </c:dPt>
          <c:dPt>
            <c:idx val="3"/>
            <c:bubble3D val="0"/>
            <c:spPr>
              <a:solidFill>
                <a:srgbClr val="FFFF00"/>
              </a:solidFill>
              <a:ln w="12700">
                <a:solidFill>
                  <a:srgbClr val="000000"/>
                </a:solidFill>
                <a:prstDash val="solid"/>
              </a:ln>
            </c:spPr>
            <c:extLst>
              <c:ext xmlns:c16="http://schemas.microsoft.com/office/drawing/2014/chart" uri="{C3380CC4-5D6E-409C-BE32-E72D297353CC}">
                <c16:uniqueId val="{00000007-7EBF-4E52-A00B-AF53C03CC079}"/>
              </c:ext>
            </c:extLst>
          </c:dPt>
          <c:dPt>
            <c:idx val="4"/>
            <c:bubble3D val="0"/>
            <c:spPr>
              <a:solidFill>
                <a:srgbClr val="FFFF99"/>
              </a:solidFill>
              <a:ln w="12700">
                <a:solidFill>
                  <a:srgbClr val="000000"/>
                </a:solidFill>
                <a:prstDash val="solid"/>
              </a:ln>
            </c:spPr>
            <c:extLst>
              <c:ext xmlns:c16="http://schemas.microsoft.com/office/drawing/2014/chart" uri="{C3380CC4-5D6E-409C-BE32-E72D297353CC}">
                <c16:uniqueId val="{00000009-7EBF-4E52-A00B-AF53C03CC079}"/>
              </c:ext>
            </c:extLst>
          </c:dPt>
          <c:dLbls>
            <c:dLbl>
              <c:idx val="2"/>
              <c:layout>
                <c:manualLayout>
                  <c:x val="3.47434256198451E-2"/>
                  <c:y val="-9.2295687286051503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EBF-4E52-A00B-AF53C03CC079}"/>
                </c:ext>
              </c:extLst>
            </c:dLbl>
            <c:dLbl>
              <c:idx val="4"/>
              <c:delete val="1"/>
              <c:extLst>
                <c:ext xmlns:c15="http://schemas.microsoft.com/office/drawing/2012/chart" uri="{CE6537A1-D6FC-4f65-9D91-7224C49458BB}"/>
                <c:ext xmlns:c16="http://schemas.microsoft.com/office/drawing/2014/chart" uri="{C3380CC4-5D6E-409C-BE32-E72D297353CC}">
                  <c16:uniqueId val="{00000009-7EBF-4E52-A00B-AF53C03CC079}"/>
                </c:ext>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0"/>
            <c:showCatName val="1"/>
            <c:showSerName val="0"/>
            <c:showPercent val="0"/>
            <c:showBubbleSize val="0"/>
            <c:showLeaderLines val="1"/>
            <c:extLst>
              <c:ext xmlns:c15="http://schemas.microsoft.com/office/drawing/2012/chart" uri="{CE6537A1-D6FC-4f65-9D91-7224C49458BB}"/>
            </c:extLst>
          </c:dLbls>
          <c:cat>
            <c:strRef>
              <c:f>'Output (4)'!$A$8:$A$11</c:f>
              <c:strCache>
                <c:ptCount val="4"/>
                <c:pt idx="0">
                  <c:v>Consumo facturado</c:v>
                </c:pt>
                <c:pt idx="1">
                  <c:v>Consumo autorizado não facturado</c:v>
                </c:pt>
                <c:pt idx="2">
                  <c:v>Perdas aparentes</c:v>
                </c:pt>
                <c:pt idx="3">
                  <c:v>Perdas reais</c:v>
                </c:pt>
              </c:strCache>
            </c:strRef>
          </c:cat>
          <c:val>
            <c:numRef>
              <c:f>'Output (4)'!$B$8:$B$11</c:f>
              <c:numCache>
                <c:formatCode>0</c:formatCode>
                <c:ptCount val="4"/>
                <c:pt idx="0">
                  <c:v>0</c:v>
                </c:pt>
                <c:pt idx="1">
                  <c:v>0</c:v>
                </c:pt>
                <c:pt idx="2">
                  <c:v>0</c:v>
                </c:pt>
                <c:pt idx="3">
                  <c:v>0</c:v>
                </c:pt>
              </c:numCache>
            </c:numRef>
          </c:val>
          <c:extLst>
            <c:ext xmlns:c16="http://schemas.microsoft.com/office/drawing/2014/chart" uri="{C3380CC4-5D6E-409C-BE32-E72D297353CC}">
              <c16:uniqueId val="{0000000A-7EBF-4E52-A00B-AF53C03CC079}"/>
            </c:ext>
          </c:extLst>
        </c:ser>
        <c:dLbls>
          <c:showLegendKey val="0"/>
          <c:showVal val="0"/>
          <c:showCatName val="1"/>
          <c:showSerName val="0"/>
          <c:showPercent val="0"/>
          <c:showBubbleSize val="0"/>
          <c:showLeaderLines val="1"/>
        </c:dLbls>
        <c:gapWidth val="100"/>
        <c:secondPieSize val="75"/>
        <c:serLines>
          <c:spPr>
            <a:ln w="3175">
              <a:solidFill>
                <a:srgbClr val="000000"/>
              </a:solidFill>
              <a:prstDash val="solid"/>
            </a:ln>
          </c:spPr>
        </c:serLines>
      </c:of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c:printSettings>
  <c:userShapes r:id="rId1"/>
</c:chartSpace>
</file>

<file path=xl/ctrlProps/ctrlProp1.xml><?xml version="1.0" encoding="utf-8"?>
<formControlPr xmlns="http://schemas.microsoft.com/office/spreadsheetml/2009/9/main" objectType="Radio" firstButton="1" fmlaLink="B10" lockText="1" noThreeD="1"/>
</file>

<file path=xl/ctrlProps/ctrlProp10.xml><?xml version="1.0" encoding="utf-8"?>
<formControlPr xmlns="http://schemas.microsoft.com/office/spreadsheetml/2009/9/main" objectType="Drop" dropLines="6" dropStyle="combo" dx="16" fmlaLink="C5" fmlaRange="'[1]Opções de configuração'!$G$5:$G$10" sel="0" val="0"/>
</file>

<file path=xl/ctrlProps/ctrlProp11.xml><?xml version="1.0" encoding="utf-8"?>
<formControlPr xmlns="http://schemas.microsoft.com/office/spreadsheetml/2009/9/main" objectType="Drop" dropLines="6" dropStyle="combo" dx="16" fmlaLink="C7" fmlaRange="'[1]Opções de configuração'!$G$5:$G$10" sel="0" val="0"/>
</file>

<file path=xl/ctrlProps/ctrlProp12.xml><?xml version="1.0" encoding="utf-8"?>
<formControlPr xmlns="http://schemas.microsoft.com/office/spreadsheetml/2009/9/main" objectType="Radio" firstButton="1" fmlaLink="A16" lockText="1" noThreeD="1"/>
</file>

<file path=xl/ctrlProps/ctrlProp13.xml><?xml version="1.0" encoding="utf-8"?>
<formControlPr xmlns="http://schemas.microsoft.com/office/spreadsheetml/2009/9/main" objectType="Radio" checked="Checked" lockText="1" noThreeD="1"/>
</file>

<file path=xl/ctrlProps/ctrlProp14.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Radio" checked="Checked" lockText="1" noThreeD="1"/>
</file>

<file path=xl/ctrlProps/ctrlProp3.xml><?xml version="1.0" encoding="utf-8"?>
<formControlPr xmlns="http://schemas.microsoft.com/office/spreadsheetml/2009/9/main" objectType="Drop" dropLines="6" dropStyle="combo" dx="16" fmlaLink="#REF!" fmlaRange="'[1]Opções de configuração'!$G$5:$G$10" sel="0" val="0"/>
</file>

<file path=xl/ctrlProps/ctrlProp4.xml><?xml version="1.0" encoding="utf-8"?>
<formControlPr xmlns="http://schemas.microsoft.com/office/spreadsheetml/2009/9/main" objectType="Drop" dropLines="6" dropStyle="combo" dx="16" fmlaLink="#REF!" fmlaRange="'[1]Opções de configuração'!$G$5:$G$10" sel="0" val="0"/>
</file>

<file path=xl/ctrlProps/ctrlProp5.xml><?xml version="1.0" encoding="utf-8"?>
<formControlPr xmlns="http://schemas.microsoft.com/office/spreadsheetml/2009/9/main" objectType="Drop" dropLines="6" dropStyle="combo" dx="16" fmlaLink="#REF!" fmlaRange="'[1]Opções de configuração'!$G$5:$G$10" sel="0" val="0"/>
</file>

<file path=xl/ctrlProps/ctrlProp6.xml><?xml version="1.0" encoding="utf-8"?>
<formControlPr xmlns="http://schemas.microsoft.com/office/spreadsheetml/2009/9/main" objectType="Drop" dropLines="6" dropStyle="combo" dx="16" fmlaLink="#REF!" fmlaRange="'[1]Opções de configuração'!$G$5:$G$10" sel="0" val="0"/>
</file>

<file path=xl/ctrlProps/ctrlProp7.xml><?xml version="1.0" encoding="utf-8"?>
<formControlPr xmlns="http://schemas.microsoft.com/office/spreadsheetml/2009/9/main" objectType="Drop" dropLines="6" dropStyle="combo" dx="16" fmlaLink="#REF!" fmlaRange="'[1]Opções de configuração'!$G$5:$G$10" sel="0" val="0"/>
</file>

<file path=xl/ctrlProps/ctrlProp8.xml><?xml version="1.0" encoding="utf-8"?>
<formControlPr xmlns="http://schemas.microsoft.com/office/spreadsheetml/2009/9/main" objectType="Drop" dropLines="6" dropStyle="combo" dx="16" fmlaLink="#REF!" fmlaRange="'[1]Opções de configuração'!$G$5:$G$10" sel="0" val="0"/>
</file>

<file path=xl/ctrlProps/ctrlProp9.xml><?xml version="1.0" encoding="utf-8"?>
<formControlPr xmlns="http://schemas.microsoft.com/office/spreadsheetml/2009/9/main" objectType="Drop" dropLines="6" dropStyle="combo" dx="16" fmlaLink="#REF!" fmlaRange="'[1]Opções de configuração'!$G$5:$G$10" sel="0" val="0"/>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8" Type="http://schemas.openxmlformats.org/officeDocument/2006/relationships/image" Target="../media/image34.emf"/><Relationship Id="rId13" Type="http://schemas.openxmlformats.org/officeDocument/2006/relationships/image" Target="../media/image39.emf"/><Relationship Id="rId3" Type="http://schemas.openxmlformats.org/officeDocument/2006/relationships/image" Target="../media/image29.emf"/><Relationship Id="rId7" Type="http://schemas.openxmlformats.org/officeDocument/2006/relationships/image" Target="../media/image33.emf"/><Relationship Id="rId12" Type="http://schemas.openxmlformats.org/officeDocument/2006/relationships/image" Target="../media/image38.emf"/><Relationship Id="rId2" Type="http://schemas.openxmlformats.org/officeDocument/2006/relationships/image" Target="../media/image28.emf"/><Relationship Id="rId1" Type="http://schemas.openxmlformats.org/officeDocument/2006/relationships/image" Target="../media/image27.jpeg"/><Relationship Id="rId6" Type="http://schemas.openxmlformats.org/officeDocument/2006/relationships/image" Target="../media/image32.emf"/><Relationship Id="rId11" Type="http://schemas.openxmlformats.org/officeDocument/2006/relationships/image" Target="../media/image37.emf"/><Relationship Id="rId5" Type="http://schemas.openxmlformats.org/officeDocument/2006/relationships/image" Target="../media/image31.emf"/><Relationship Id="rId15" Type="http://schemas.openxmlformats.org/officeDocument/2006/relationships/image" Target="../media/image41.emf"/><Relationship Id="rId10" Type="http://schemas.openxmlformats.org/officeDocument/2006/relationships/image" Target="../media/image36.emf"/><Relationship Id="rId4" Type="http://schemas.openxmlformats.org/officeDocument/2006/relationships/image" Target="../media/image30.emf"/><Relationship Id="rId9" Type="http://schemas.openxmlformats.org/officeDocument/2006/relationships/image" Target="../media/image35.emf"/><Relationship Id="rId14" Type="http://schemas.openxmlformats.org/officeDocument/2006/relationships/image" Target="../media/image40.emf"/></Relationships>
</file>

<file path=xl/drawings/_rels/drawing11.xml.rels><?xml version="1.0" encoding="UTF-8" standalone="yes"?>
<Relationships xmlns="http://schemas.openxmlformats.org/package/2006/relationships"><Relationship Id="rId8" Type="http://schemas.openxmlformats.org/officeDocument/2006/relationships/image" Target="../media/image49.emf"/><Relationship Id="rId13" Type="http://schemas.openxmlformats.org/officeDocument/2006/relationships/image" Target="../media/image54.emf"/><Relationship Id="rId3" Type="http://schemas.openxmlformats.org/officeDocument/2006/relationships/image" Target="../media/image44.emf"/><Relationship Id="rId7" Type="http://schemas.openxmlformats.org/officeDocument/2006/relationships/image" Target="../media/image48.emf"/><Relationship Id="rId12" Type="http://schemas.openxmlformats.org/officeDocument/2006/relationships/image" Target="../media/image53.emf"/><Relationship Id="rId17" Type="http://schemas.openxmlformats.org/officeDocument/2006/relationships/image" Target="../media/image58.emf"/><Relationship Id="rId2" Type="http://schemas.openxmlformats.org/officeDocument/2006/relationships/image" Target="../media/image43.emf"/><Relationship Id="rId16" Type="http://schemas.openxmlformats.org/officeDocument/2006/relationships/image" Target="../media/image57.emf"/><Relationship Id="rId1" Type="http://schemas.openxmlformats.org/officeDocument/2006/relationships/image" Target="../media/image42.jpeg"/><Relationship Id="rId6" Type="http://schemas.openxmlformats.org/officeDocument/2006/relationships/image" Target="../media/image47.emf"/><Relationship Id="rId11" Type="http://schemas.openxmlformats.org/officeDocument/2006/relationships/image" Target="../media/image52.emf"/><Relationship Id="rId5" Type="http://schemas.openxmlformats.org/officeDocument/2006/relationships/image" Target="../media/image46.emf"/><Relationship Id="rId15" Type="http://schemas.openxmlformats.org/officeDocument/2006/relationships/image" Target="../media/image56.emf"/><Relationship Id="rId10" Type="http://schemas.openxmlformats.org/officeDocument/2006/relationships/image" Target="../media/image51.emf"/><Relationship Id="rId4" Type="http://schemas.openxmlformats.org/officeDocument/2006/relationships/image" Target="../media/image45.emf"/><Relationship Id="rId9" Type="http://schemas.openxmlformats.org/officeDocument/2006/relationships/image" Target="../media/image50.emf"/><Relationship Id="rId14" Type="http://schemas.openxmlformats.org/officeDocument/2006/relationships/image" Target="../media/image55.emf"/></Relationships>
</file>

<file path=xl/drawings/_rels/drawing12.xml.rels><?xml version="1.0" encoding="UTF-8" standalone="yes"?>
<Relationships xmlns="http://schemas.openxmlformats.org/package/2006/relationships"><Relationship Id="rId3" Type="http://schemas.openxmlformats.org/officeDocument/2006/relationships/image" Target="../media/image61.emf"/><Relationship Id="rId7" Type="http://schemas.openxmlformats.org/officeDocument/2006/relationships/image" Target="../media/image65.emf"/><Relationship Id="rId2" Type="http://schemas.openxmlformats.org/officeDocument/2006/relationships/image" Target="../media/image60.emf"/><Relationship Id="rId1" Type="http://schemas.openxmlformats.org/officeDocument/2006/relationships/image" Target="../media/image59.jpeg"/><Relationship Id="rId6" Type="http://schemas.openxmlformats.org/officeDocument/2006/relationships/image" Target="../media/image64.emf"/><Relationship Id="rId5" Type="http://schemas.openxmlformats.org/officeDocument/2006/relationships/image" Target="../media/image63.emf"/><Relationship Id="rId4" Type="http://schemas.openxmlformats.org/officeDocument/2006/relationships/image" Target="../media/image62.emf"/></Relationships>
</file>

<file path=xl/drawings/_rels/drawing13.xml.rels><?xml version="1.0" encoding="UTF-8" standalone="yes"?>
<Relationships xmlns="http://schemas.openxmlformats.org/package/2006/relationships"><Relationship Id="rId2" Type="http://schemas.openxmlformats.org/officeDocument/2006/relationships/image" Target="../media/image66.emf"/><Relationship Id="rId1" Type="http://schemas.openxmlformats.org/officeDocument/2006/relationships/image" Target="../media/image8.jpeg"/></Relationships>
</file>

<file path=xl/drawings/_rels/drawing14.xml.rels><?xml version="1.0" encoding="UTF-8" standalone="yes"?>
<Relationships xmlns="http://schemas.openxmlformats.org/package/2006/relationships"><Relationship Id="rId3" Type="http://schemas.openxmlformats.org/officeDocument/2006/relationships/image" Target="../media/image69.emf"/><Relationship Id="rId2" Type="http://schemas.openxmlformats.org/officeDocument/2006/relationships/image" Target="../media/image68.emf"/><Relationship Id="rId1" Type="http://schemas.openxmlformats.org/officeDocument/2006/relationships/image" Target="../media/image67.jpeg"/><Relationship Id="rId5" Type="http://schemas.openxmlformats.org/officeDocument/2006/relationships/image" Target="../media/image71.emf"/><Relationship Id="rId4" Type="http://schemas.openxmlformats.org/officeDocument/2006/relationships/image" Target="../media/image70.emf"/></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jpeg"/><Relationship Id="rId4" Type="http://schemas.openxmlformats.org/officeDocument/2006/relationships/image" Target="../media/image7.emf"/></Relationships>
</file>

<file path=xl/drawings/_rels/drawing4.xml.rels><?xml version="1.0" encoding="UTF-8" standalone="yes"?>
<Relationships xmlns="http://schemas.openxmlformats.org/package/2006/relationships"><Relationship Id="rId2" Type="http://schemas.openxmlformats.org/officeDocument/2006/relationships/image" Target="../media/image9.emf"/><Relationship Id="rId1" Type="http://schemas.openxmlformats.org/officeDocument/2006/relationships/image" Target="../media/image8.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0.jpeg"/><Relationship Id="rId2" Type="http://schemas.openxmlformats.org/officeDocument/2006/relationships/chart" Target="../charts/chart2.xml"/><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12" Type="http://schemas.openxmlformats.org/officeDocument/2006/relationships/image" Target="../media/image21.emf"/><Relationship Id="rId2" Type="http://schemas.openxmlformats.org/officeDocument/2006/relationships/image" Target="../media/image11.emf"/><Relationship Id="rId1" Type="http://schemas.openxmlformats.org/officeDocument/2006/relationships/image" Target="../media/image3.jpeg"/><Relationship Id="rId6" Type="http://schemas.openxmlformats.org/officeDocument/2006/relationships/image" Target="../media/image15.emf"/><Relationship Id="rId11" Type="http://schemas.openxmlformats.org/officeDocument/2006/relationships/image" Target="../media/image20.emf"/><Relationship Id="rId5" Type="http://schemas.openxmlformats.org/officeDocument/2006/relationships/image" Target="../media/image14.emf"/><Relationship Id="rId10" Type="http://schemas.openxmlformats.org/officeDocument/2006/relationships/image" Target="../media/image19.emf"/><Relationship Id="rId4" Type="http://schemas.openxmlformats.org/officeDocument/2006/relationships/image" Target="../media/image13.emf"/><Relationship Id="rId9" Type="http://schemas.openxmlformats.org/officeDocument/2006/relationships/image" Target="../media/image18.emf"/></Relationships>
</file>

<file path=xl/drawings/_rels/drawing9.xml.rels><?xml version="1.0" encoding="UTF-8" standalone="yes"?>
<Relationships xmlns="http://schemas.openxmlformats.org/package/2006/relationships"><Relationship Id="rId3" Type="http://schemas.openxmlformats.org/officeDocument/2006/relationships/image" Target="../media/image24.emf"/><Relationship Id="rId2" Type="http://schemas.openxmlformats.org/officeDocument/2006/relationships/image" Target="../media/image23.emf"/><Relationship Id="rId1" Type="http://schemas.openxmlformats.org/officeDocument/2006/relationships/image" Target="../media/image22.jpeg"/><Relationship Id="rId5" Type="http://schemas.openxmlformats.org/officeDocument/2006/relationships/image" Target="../media/image26.emf"/><Relationship Id="rId4" Type="http://schemas.openxmlformats.org/officeDocument/2006/relationships/image" Target="../media/image25.emf"/></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2</xdr:col>
      <xdr:colOff>590550</xdr:colOff>
      <xdr:row>0</xdr:row>
      <xdr:rowOff>742950</xdr:rowOff>
    </xdr:to>
    <xdr:pic>
      <xdr:nvPicPr>
        <xdr:cNvPr id="5216" name="Picture 1" descr="Logomarca+Designação">
          <a:extLst>
            <a:ext uri="{FF2B5EF4-FFF2-40B4-BE49-F238E27FC236}">
              <a16:creationId xmlns:a16="http://schemas.microsoft.com/office/drawing/2014/main" id="{00000000-0008-0000-0000-00006014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l="46085" t="-11501" b="26511"/>
        <a:stretch>
          <a:fillRect/>
        </a:stretch>
      </xdr:blipFill>
      <xdr:spPr bwMode="auto">
        <a:xfrm>
          <a:off x="85725" y="47625"/>
          <a:ext cx="17240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457200</xdr:colOff>
      <xdr:row>0</xdr:row>
      <xdr:rowOff>47625</xdr:rowOff>
    </xdr:from>
    <xdr:to>
      <xdr:col>8</xdr:col>
      <xdr:colOff>485775</xdr:colOff>
      <xdr:row>1</xdr:row>
      <xdr:rowOff>95250</xdr:rowOff>
    </xdr:to>
    <xdr:grpSp>
      <xdr:nvGrpSpPr>
        <xdr:cNvPr id="5217" name="Group 75">
          <a:extLst>
            <a:ext uri="{FF2B5EF4-FFF2-40B4-BE49-F238E27FC236}">
              <a16:creationId xmlns:a16="http://schemas.microsoft.com/office/drawing/2014/main" id="{00000000-0008-0000-0000-000061140000}"/>
            </a:ext>
          </a:extLst>
        </xdr:cNvPr>
        <xdr:cNvGrpSpPr>
          <a:grpSpLocks/>
        </xdr:cNvGrpSpPr>
      </xdr:nvGrpSpPr>
      <xdr:grpSpPr bwMode="auto">
        <a:xfrm>
          <a:off x="4023360" y="47625"/>
          <a:ext cx="1217295" cy="847725"/>
          <a:chOff x="354" y="24"/>
          <a:chExt cx="164" cy="111"/>
        </a:xfrm>
      </xdr:grpSpPr>
      <xdr:sp macro="" textlink="">
        <xdr:nvSpPr>
          <xdr:cNvPr id="5218" name="Oval 74">
            <a:extLst>
              <a:ext uri="{FF2B5EF4-FFF2-40B4-BE49-F238E27FC236}">
                <a16:creationId xmlns:a16="http://schemas.microsoft.com/office/drawing/2014/main" id="{00000000-0008-0000-0000-000062140000}"/>
              </a:ext>
            </a:extLst>
          </xdr:cNvPr>
          <xdr:cNvSpPr>
            <a:spLocks noChangeArrowheads="1"/>
          </xdr:cNvSpPr>
        </xdr:nvSpPr>
        <xdr:spPr bwMode="auto">
          <a:xfrm>
            <a:off x="401" y="28"/>
            <a:ext cx="69" cy="69"/>
          </a:xfrm>
          <a:prstGeom prst="ellipse">
            <a:avLst/>
          </a:pr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sp>
      <xdr:pic>
        <xdr:nvPicPr>
          <xdr:cNvPr id="5219" name="Picture 73" descr="Logo LNEC">
            <a:extLst>
              <a:ext uri="{FF2B5EF4-FFF2-40B4-BE49-F238E27FC236}">
                <a16:creationId xmlns:a16="http://schemas.microsoft.com/office/drawing/2014/main" id="{00000000-0008-0000-0000-000063140000}"/>
              </a:ext>
            </a:extLst>
          </xdr:cNvPr>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54" y="24"/>
            <a:ext cx="164" cy="1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19050</xdr:rowOff>
    </xdr:from>
    <xdr:to>
      <xdr:col>0</xdr:col>
      <xdr:colOff>809625</xdr:colOff>
      <xdr:row>0</xdr:row>
      <xdr:rowOff>571500</xdr:rowOff>
    </xdr:to>
    <xdr:grpSp>
      <xdr:nvGrpSpPr>
        <xdr:cNvPr id="6385" name="Group 229">
          <a:extLst>
            <a:ext uri="{FF2B5EF4-FFF2-40B4-BE49-F238E27FC236}">
              <a16:creationId xmlns:a16="http://schemas.microsoft.com/office/drawing/2014/main" id="{00000000-0008-0000-0700-0000F1180000}"/>
            </a:ext>
          </a:extLst>
        </xdr:cNvPr>
        <xdr:cNvGrpSpPr>
          <a:grpSpLocks/>
        </xdr:cNvGrpSpPr>
      </xdr:nvGrpSpPr>
      <xdr:grpSpPr bwMode="auto">
        <a:xfrm>
          <a:off x="0" y="19050"/>
          <a:ext cx="809625" cy="552450"/>
          <a:chOff x="354" y="24"/>
          <a:chExt cx="164" cy="111"/>
        </a:xfrm>
      </xdr:grpSpPr>
      <xdr:sp macro="" textlink="">
        <xdr:nvSpPr>
          <xdr:cNvPr id="6386" name="Oval 230">
            <a:extLst>
              <a:ext uri="{FF2B5EF4-FFF2-40B4-BE49-F238E27FC236}">
                <a16:creationId xmlns:a16="http://schemas.microsoft.com/office/drawing/2014/main" id="{00000000-0008-0000-0700-0000F2180000}"/>
              </a:ext>
            </a:extLst>
          </xdr:cNvPr>
          <xdr:cNvSpPr>
            <a:spLocks noChangeArrowheads="1"/>
          </xdr:cNvSpPr>
        </xdr:nvSpPr>
        <xdr:spPr bwMode="auto">
          <a:xfrm>
            <a:off x="401" y="28"/>
            <a:ext cx="69" cy="69"/>
          </a:xfrm>
          <a:prstGeom prst="ellipse">
            <a:avLst/>
          </a:pr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sp>
      <xdr:pic>
        <xdr:nvPicPr>
          <xdr:cNvPr id="6387" name="Picture 231" descr="Logo LNEC">
            <a:extLst>
              <a:ext uri="{FF2B5EF4-FFF2-40B4-BE49-F238E27FC236}">
                <a16:creationId xmlns:a16="http://schemas.microsoft.com/office/drawing/2014/main" id="{00000000-0008-0000-0700-0000F318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54" y="24"/>
            <a:ext cx="164" cy="1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0</xdr:col>
      <xdr:colOff>4102100</xdr:colOff>
      <xdr:row>4</xdr:row>
      <xdr:rowOff>0</xdr:rowOff>
    </xdr:from>
    <xdr:to>
      <xdr:col>0</xdr:col>
      <xdr:colOff>4191000</xdr:colOff>
      <xdr:row>4</xdr:row>
      <xdr:rowOff>114300</xdr:rowOff>
    </xdr:to>
    <xdr:sp macro="" textlink="">
      <xdr:nvSpPr>
        <xdr:cNvPr id="6356" name="CommandButton1" hidden="1">
          <a:extLst>
            <a:ext uri="{63B3BB69-23CF-44E3-9099-C40C66FF867C}">
              <a14:compatExt xmlns:a14="http://schemas.microsoft.com/office/drawing/2010/main" spid="_x0000_s6356"/>
            </a:ext>
            <a:ext uri="{FF2B5EF4-FFF2-40B4-BE49-F238E27FC236}">
              <a16:creationId xmlns:a16="http://schemas.microsoft.com/office/drawing/2014/main" id="{00000000-0008-0000-0700-0000D4180000}"/>
            </a:ext>
          </a:extLst>
        </xdr:cNvPr>
        <xdr:cNvSpPr/>
      </xdr:nvSpPr>
      <xdr:spPr>
        <a:xfrm>
          <a:off x="0" y="0"/>
          <a:ext cx="0" cy="0"/>
        </a:xfrm>
        <a:prstGeom prst="rect">
          <a:avLst/>
        </a:prstGeom>
      </xdr:spPr>
    </xdr:sp>
    <xdr:clientData/>
  </xdr:twoCellAnchor>
  <xdr:twoCellAnchor editAs="oneCell">
    <xdr:from>
      <xdr:col>0</xdr:col>
      <xdr:colOff>4114800</xdr:colOff>
      <xdr:row>10</xdr:row>
      <xdr:rowOff>0</xdr:rowOff>
    </xdr:from>
    <xdr:to>
      <xdr:col>0</xdr:col>
      <xdr:colOff>4216400</xdr:colOff>
      <xdr:row>10</xdr:row>
      <xdr:rowOff>114300</xdr:rowOff>
    </xdr:to>
    <xdr:sp macro="" textlink="">
      <xdr:nvSpPr>
        <xdr:cNvPr id="6357" name="CommandButton2" hidden="1">
          <a:extLst>
            <a:ext uri="{63B3BB69-23CF-44E3-9099-C40C66FF867C}">
              <a14:compatExt xmlns:a14="http://schemas.microsoft.com/office/drawing/2010/main" spid="_x0000_s6357"/>
            </a:ext>
            <a:ext uri="{FF2B5EF4-FFF2-40B4-BE49-F238E27FC236}">
              <a16:creationId xmlns:a16="http://schemas.microsoft.com/office/drawing/2014/main" id="{00000000-0008-0000-0700-0000D5180000}"/>
            </a:ext>
          </a:extLst>
        </xdr:cNvPr>
        <xdr:cNvSpPr/>
      </xdr:nvSpPr>
      <xdr:spPr>
        <a:xfrm>
          <a:off x="0" y="0"/>
          <a:ext cx="0" cy="0"/>
        </a:xfrm>
        <a:prstGeom prst="rect">
          <a:avLst/>
        </a:prstGeom>
      </xdr:spPr>
    </xdr:sp>
    <xdr:clientData/>
  </xdr:twoCellAnchor>
  <xdr:twoCellAnchor editAs="oneCell">
    <xdr:from>
      <xdr:col>0</xdr:col>
      <xdr:colOff>4114800</xdr:colOff>
      <xdr:row>10</xdr:row>
      <xdr:rowOff>177800</xdr:rowOff>
    </xdr:from>
    <xdr:to>
      <xdr:col>0</xdr:col>
      <xdr:colOff>4216400</xdr:colOff>
      <xdr:row>11</xdr:row>
      <xdr:rowOff>101600</xdr:rowOff>
    </xdr:to>
    <xdr:sp macro="" textlink="">
      <xdr:nvSpPr>
        <xdr:cNvPr id="6358" name="CommandButton3" hidden="1">
          <a:extLst>
            <a:ext uri="{63B3BB69-23CF-44E3-9099-C40C66FF867C}">
              <a14:compatExt xmlns:a14="http://schemas.microsoft.com/office/drawing/2010/main" spid="_x0000_s6358"/>
            </a:ext>
            <a:ext uri="{FF2B5EF4-FFF2-40B4-BE49-F238E27FC236}">
              <a16:creationId xmlns:a16="http://schemas.microsoft.com/office/drawing/2014/main" id="{00000000-0008-0000-0700-0000D6180000}"/>
            </a:ext>
          </a:extLst>
        </xdr:cNvPr>
        <xdr:cNvSpPr/>
      </xdr:nvSpPr>
      <xdr:spPr>
        <a:xfrm>
          <a:off x="0" y="0"/>
          <a:ext cx="0" cy="0"/>
        </a:xfrm>
        <a:prstGeom prst="rect">
          <a:avLst/>
        </a:prstGeom>
      </xdr:spPr>
    </xdr:sp>
    <xdr:clientData/>
  </xdr:twoCellAnchor>
  <xdr:twoCellAnchor editAs="oneCell">
    <xdr:from>
      <xdr:col>0</xdr:col>
      <xdr:colOff>4102100</xdr:colOff>
      <xdr:row>21</xdr:row>
      <xdr:rowOff>165100</xdr:rowOff>
    </xdr:from>
    <xdr:to>
      <xdr:col>0</xdr:col>
      <xdr:colOff>4203700</xdr:colOff>
      <xdr:row>22</xdr:row>
      <xdr:rowOff>101600</xdr:rowOff>
    </xdr:to>
    <xdr:sp macro="" textlink="">
      <xdr:nvSpPr>
        <xdr:cNvPr id="6359" name="CommandButton4" hidden="1">
          <a:extLst>
            <a:ext uri="{63B3BB69-23CF-44E3-9099-C40C66FF867C}">
              <a14:compatExt xmlns:a14="http://schemas.microsoft.com/office/drawing/2010/main" spid="_x0000_s6359"/>
            </a:ext>
            <a:ext uri="{FF2B5EF4-FFF2-40B4-BE49-F238E27FC236}">
              <a16:creationId xmlns:a16="http://schemas.microsoft.com/office/drawing/2014/main" id="{00000000-0008-0000-0700-0000D7180000}"/>
            </a:ext>
          </a:extLst>
        </xdr:cNvPr>
        <xdr:cNvSpPr/>
      </xdr:nvSpPr>
      <xdr:spPr>
        <a:xfrm>
          <a:off x="0" y="0"/>
          <a:ext cx="0" cy="0"/>
        </a:xfrm>
        <a:prstGeom prst="rect">
          <a:avLst/>
        </a:prstGeom>
      </xdr:spPr>
    </xdr:sp>
    <xdr:clientData/>
  </xdr:twoCellAnchor>
  <xdr:twoCellAnchor editAs="oneCell">
    <xdr:from>
      <xdr:col>0</xdr:col>
      <xdr:colOff>4114800</xdr:colOff>
      <xdr:row>22</xdr:row>
      <xdr:rowOff>165100</xdr:rowOff>
    </xdr:from>
    <xdr:to>
      <xdr:col>0</xdr:col>
      <xdr:colOff>4216400</xdr:colOff>
      <xdr:row>23</xdr:row>
      <xdr:rowOff>101600</xdr:rowOff>
    </xdr:to>
    <xdr:sp macro="" textlink="">
      <xdr:nvSpPr>
        <xdr:cNvPr id="6360" name="CommandButton5" hidden="1">
          <a:extLst>
            <a:ext uri="{63B3BB69-23CF-44E3-9099-C40C66FF867C}">
              <a14:compatExt xmlns:a14="http://schemas.microsoft.com/office/drawing/2010/main" spid="_x0000_s6360"/>
            </a:ext>
            <a:ext uri="{FF2B5EF4-FFF2-40B4-BE49-F238E27FC236}">
              <a16:creationId xmlns:a16="http://schemas.microsoft.com/office/drawing/2014/main" id="{00000000-0008-0000-0700-0000D8180000}"/>
            </a:ext>
          </a:extLst>
        </xdr:cNvPr>
        <xdr:cNvSpPr/>
      </xdr:nvSpPr>
      <xdr:spPr>
        <a:xfrm>
          <a:off x="0" y="0"/>
          <a:ext cx="0" cy="0"/>
        </a:xfrm>
        <a:prstGeom prst="rect">
          <a:avLst/>
        </a:prstGeom>
      </xdr:spPr>
    </xdr:sp>
    <xdr:clientData/>
  </xdr:twoCellAnchor>
  <xdr:twoCellAnchor editAs="oneCell">
    <xdr:from>
      <xdr:col>0</xdr:col>
      <xdr:colOff>4114800</xdr:colOff>
      <xdr:row>24</xdr:row>
      <xdr:rowOff>0</xdr:rowOff>
    </xdr:from>
    <xdr:to>
      <xdr:col>0</xdr:col>
      <xdr:colOff>4216400</xdr:colOff>
      <xdr:row>24</xdr:row>
      <xdr:rowOff>114300</xdr:rowOff>
    </xdr:to>
    <xdr:sp macro="" textlink="">
      <xdr:nvSpPr>
        <xdr:cNvPr id="6362" name="CommandButton6" hidden="1">
          <a:extLst>
            <a:ext uri="{63B3BB69-23CF-44E3-9099-C40C66FF867C}">
              <a14:compatExt xmlns:a14="http://schemas.microsoft.com/office/drawing/2010/main" spid="_x0000_s6362"/>
            </a:ext>
            <a:ext uri="{FF2B5EF4-FFF2-40B4-BE49-F238E27FC236}">
              <a16:creationId xmlns:a16="http://schemas.microsoft.com/office/drawing/2014/main" id="{00000000-0008-0000-0700-0000DA180000}"/>
            </a:ext>
          </a:extLst>
        </xdr:cNvPr>
        <xdr:cNvSpPr/>
      </xdr:nvSpPr>
      <xdr:spPr>
        <a:xfrm>
          <a:off x="0" y="0"/>
          <a:ext cx="0" cy="0"/>
        </a:xfrm>
        <a:prstGeom prst="rect">
          <a:avLst/>
        </a:prstGeom>
      </xdr:spPr>
    </xdr:sp>
    <xdr:clientData/>
  </xdr:twoCellAnchor>
  <xdr:twoCellAnchor editAs="oneCell">
    <xdr:from>
      <xdr:col>0</xdr:col>
      <xdr:colOff>4102100</xdr:colOff>
      <xdr:row>25</xdr:row>
      <xdr:rowOff>177800</xdr:rowOff>
    </xdr:from>
    <xdr:to>
      <xdr:col>0</xdr:col>
      <xdr:colOff>4203700</xdr:colOff>
      <xdr:row>26</xdr:row>
      <xdr:rowOff>101600</xdr:rowOff>
    </xdr:to>
    <xdr:sp macro="" textlink="">
      <xdr:nvSpPr>
        <xdr:cNvPr id="6363" name="CommandButton7" hidden="1">
          <a:extLst>
            <a:ext uri="{63B3BB69-23CF-44E3-9099-C40C66FF867C}">
              <a14:compatExt xmlns:a14="http://schemas.microsoft.com/office/drawing/2010/main" spid="_x0000_s6363"/>
            </a:ext>
            <a:ext uri="{FF2B5EF4-FFF2-40B4-BE49-F238E27FC236}">
              <a16:creationId xmlns:a16="http://schemas.microsoft.com/office/drawing/2014/main" id="{00000000-0008-0000-0700-0000DB180000}"/>
            </a:ext>
          </a:extLst>
        </xdr:cNvPr>
        <xdr:cNvSpPr/>
      </xdr:nvSpPr>
      <xdr:spPr>
        <a:xfrm>
          <a:off x="0" y="0"/>
          <a:ext cx="0" cy="0"/>
        </a:xfrm>
        <a:prstGeom prst="rect">
          <a:avLst/>
        </a:prstGeom>
      </xdr:spPr>
    </xdr:sp>
    <xdr:clientData/>
  </xdr:twoCellAnchor>
  <xdr:twoCellAnchor editAs="oneCell">
    <xdr:from>
      <xdr:col>5</xdr:col>
      <xdr:colOff>749300</xdr:colOff>
      <xdr:row>3</xdr:row>
      <xdr:rowOff>0</xdr:rowOff>
    </xdr:from>
    <xdr:to>
      <xdr:col>6</xdr:col>
      <xdr:colOff>25400</xdr:colOff>
      <xdr:row>3</xdr:row>
      <xdr:rowOff>114300</xdr:rowOff>
    </xdr:to>
    <xdr:sp macro="" textlink="">
      <xdr:nvSpPr>
        <xdr:cNvPr id="6365" name="CommandButton8" hidden="1">
          <a:extLst>
            <a:ext uri="{63B3BB69-23CF-44E3-9099-C40C66FF867C}">
              <a14:compatExt xmlns:a14="http://schemas.microsoft.com/office/drawing/2010/main" spid="_x0000_s6365"/>
            </a:ext>
            <a:ext uri="{FF2B5EF4-FFF2-40B4-BE49-F238E27FC236}">
              <a16:creationId xmlns:a16="http://schemas.microsoft.com/office/drawing/2014/main" id="{00000000-0008-0000-0700-0000DD180000}"/>
            </a:ext>
          </a:extLst>
        </xdr:cNvPr>
        <xdr:cNvSpPr/>
      </xdr:nvSpPr>
      <xdr:spPr>
        <a:xfrm>
          <a:off x="0" y="0"/>
          <a:ext cx="0" cy="0"/>
        </a:xfrm>
        <a:prstGeom prst="rect">
          <a:avLst/>
        </a:prstGeom>
      </xdr:spPr>
    </xdr:sp>
    <xdr:clientData/>
  </xdr:twoCellAnchor>
  <xdr:twoCellAnchor editAs="oneCell">
    <xdr:from>
      <xdr:col>5</xdr:col>
      <xdr:colOff>736600</xdr:colOff>
      <xdr:row>18</xdr:row>
      <xdr:rowOff>165100</xdr:rowOff>
    </xdr:from>
    <xdr:to>
      <xdr:col>6</xdr:col>
      <xdr:colOff>0</xdr:colOff>
      <xdr:row>19</xdr:row>
      <xdr:rowOff>101600</xdr:rowOff>
    </xdr:to>
    <xdr:sp macro="" textlink="">
      <xdr:nvSpPr>
        <xdr:cNvPr id="6366" name="CommandButton9" hidden="1">
          <a:extLst>
            <a:ext uri="{63B3BB69-23CF-44E3-9099-C40C66FF867C}">
              <a14:compatExt xmlns:a14="http://schemas.microsoft.com/office/drawing/2010/main" spid="_x0000_s6366"/>
            </a:ext>
            <a:ext uri="{FF2B5EF4-FFF2-40B4-BE49-F238E27FC236}">
              <a16:creationId xmlns:a16="http://schemas.microsoft.com/office/drawing/2014/main" id="{00000000-0008-0000-0700-0000DE180000}"/>
            </a:ext>
          </a:extLst>
        </xdr:cNvPr>
        <xdr:cNvSpPr/>
      </xdr:nvSpPr>
      <xdr:spPr>
        <a:xfrm>
          <a:off x="0" y="0"/>
          <a:ext cx="0" cy="0"/>
        </a:xfrm>
        <a:prstGeom prst="rect">
          <a:avLst/>
        </a:prstGeom>
      </xdr:spPr>
    </xdr:sp>
    <xdr:clientData/>
  </xdr:twoCellAnchor>
  <xdr:twoCellAnchor editAs="oneCell">
    <xdr:from>
      <xdr:col>6</xdr:col>
      <xdr:colOff>2006600</xdr:colOff>
      <xdr:row>3</xdr:row>
      <xdr:rowOff>0</xdr:rowOff>
    </xdr:from>
    <xdr:to>
      <xdr:col>36</xdr:col>
      <xdr:colOff>12700</xdr:colOff>
      <xdr:row>3</xdr:row>
      <xdr:rowOff>114300</xdr:rowOff>
    </xdr:to>
    <xdr:sp macro="" textlink="">
      <xdr:nvSpPr>
        <xdr:cNvPr id="6367" name="CommandButton10" hidden="1">
          <a:extLst>
            <a:ext uri="{63B3BB69-23CF-44E3-9099-C40C66FF867C}">
              <a14:compatExt xmlns:a14="http://schemas.microsoft.com/office/drawing/2010/main" spid="_x0000_s6367"/>
            </a:ext>
            <a:ext uri="{FF2B5EF4-FFF2-40B4-BE49-F238E27FC236}">
              <a16:creationId xmlns:a16="http://schemas.microsoft.com/office/drawing/2014/main" id="{00000000-0008-0000-0700-0000DF180000}"/>
            </a:ext>
          </a:extLst>
        </xdr:cNvPr>
        <xdr:cNvSpPr/>
      </xdr:nvSpPr>
      <xdr:spPr>
        <a:xfrm>
          <a:off x="0" y="0"/>
          <a:ext cx="0" cy="0"/>
        </a:xfrm>
        <a:prstGeom prst="rect">
          <a:avLst/>
        </a:prstGeom>
      </xdr:spPr>
    </xdr:sp>
    <xdr:clientData/>
  </xdr:twoCellAnchor>
  <xdr:twoCellAnchor editAs="oneCell">
    <xdr:from>
      <xdr:col>6</xdr:col>
      <xdr:colOff>2006600</xdr:colOff>
      <xdr:row>18</xdr:row>
      <xdr:rowOff>152400</xdr:rowOff>
    </xdr:from>
    <xdr:to>
      <xdr:col>36</xdr:col>
      <xdr:colOff>12700</xdr:colOff>
      <xdr:row>19</xdr:row>
      <xdr:rowOff>101600</xdr:rowOff>
    </xdr:to>
    <xdr:sp macro="" textlink="">
      <xdr:nvSpPr>
        <xdr:cNvPr id="6369" name="CommandButton11" hidden="1">
          <a:extLst>
            <a:ext uri="{63B3BB69-23CF-44E3-9099-C40C66FF867C}">
              <a14:compatExt xmlns:a14="http://schemas.microsoft.com/office/drawing/2010/main" spid="_x0000_s6369"/>
            </a:ext>
            <a:ext uri="{FF2B5EF4-FFF2-40B4-BE49-F238E27FC236}">
              <a16:creationId xmlns:a16="http://schemas.microsoft.com/office/drawing/2014/main" id="{00000000-0008-0000-0700-0000E1180000}"/>
            </a:ext>
          </a:extLst>
        </xdr:cNvPr>
        <xdr:cNvSpPr/>
      </xdr:nvSpPr>
      <xdr:spPr>
        <a:xfrm>
          <a:off x="0" y="0"/>
          <a:ext cx="0" cy="0"/>
        </a:xfrm>
        <a:prstGeom prst="rect">
          <a:avLst/>
        </a:prstGeom>
      </xdr:spPr>
    </xdr:sp>
    <xdr:clientData/>
  </xdr:twoCellAnchor>
  <xdr:twoCellAnchor editAs="oneCell">
    <xdr:from>
      <xdr:col>5</xdr:col>
      <xdr:colOff>736600</xdr:colOff>
      <xdr:row>32</xdr:row>
      <xdr:rowOff>0</xdr:rowOff>
    </xdr:from>
    <xdr:to>
      <xdr:col>6</xdr:col>
      <xdr:colOff>0</xdr:colOff>
      <xdr:row>32</xdr:row>
      <xdr:rowOff>114300</xdr:rowOff>
    </xdr:to>
    <xdr:sp macro="" textlink="">
      <xdr:nvSpPr>
        <xdr:cNvPr id="6370" name="CommandButton12" hidden="1">
          <a:extLst>
            <a:ext uri="{63B3BB69-23CF-44E3-9099-C40C66FF867C}">
              <a14:compatExt xmlns:a14="http://schemas.microsoft.com/office/drawing/2010/main" spid="_x0000_s6370"/>
            </a:ext>
            <a:ext uri="{FF2B5EF4-FFF2-40B4-BE49-F238E27FC236}">
              <a16:creationId xmlns:a16="http://schemas.microsoft.com/office/drawing/2014/main" id="{00000000-0008-0000-0700-0000E2180000}"/>
            </a:ext>
          </a:extLst>
        </xdr:cNvPr>
        <xdr:cNvSpPr/>
      </xdr:nvSpPr>
      <xdr:spPr>
        <a:xfrm>
          <a:off x="0" y="0"/>
          <a:ext cx="0" cy="0"/>
        </a:xfrm>
        <a:prstGeom prst="rect">
          <a:avLst/>
        </a:prstGeom>
      </xdr:spPr>
    </xdr:sp>
    <xdr:clientData/>
  </xdr:twoCellAnchor>
  <xdr:twoCellAnchor>
    <xdr:from>
      <xdr:col>8</xdr:col>
      <xdr:colOff>1371600</xdr:colOff>
      <xdr:row>11</xdr:row>
      <xdr:rowOff>177800</xdr:rowOff>
    </xdr:from>
    <xdr:to>
      <xdr:col>9</xdr:col>
      <xdr:colOff>0</xdr:colOff>
      <xdr:row>12</xdr:row>
      <xdr:rowOff>101600</xdr:rowOff>
    </xdr:to>
    <xdr:sp macro="" textlink="">
      <xdr:nvSpPr>
        <xdr:cNvPr id="6371" name="CommandButton13" hidden="1">
          <a:extLst>
            <a:ext uri="{63B3BB69-23CF-44E3-9099-C40C66FF867C}">
              <a14:compatExt xmlns:a14="http://schemas.microsoft.com/office/drawing/2010/main" spid="_x0000_s6371"/>
            </a:ext>
            <a:ext uri="{FF2B5EF4-FFF2-40B4-BE49-F238E27FC236}">
              <a16:creationId xmlns:a16="http://schemas.microsoft.com/office/drawing/2014/main" id="{00000000-0008-0000-0700-0000E3180000}"/>
            </a:ext>
          </a:extLst>
        </xdr:cNvPr>
        <xdr:cNvSpPr/>
      </xdr:nvSpPr>
      <xdr:spPr>
        <a:xfrm>
          <a:off x="0" y="0"/>
          <a:ext cx="0" cy="0"/>
        </a:xfrm>
        <a:prstGeom prst="rect">
          <a:avLst/>
        </a:prstGeom>
      </xdr:spPr>
    </xdr:sp>
    <xdr:clientData/>
  </xdr:twoCellAnchor>
  <xdr:twoCellAnchor>
    <xdr:from>
      <xdr:col>7</xdr:col>
      <xdr:colOff>508000</xdr:colOff>
      <xdr:row>11</xdr:row>
      <xdr:rowOff>177800</xdr:rowOff>
    </xdr:from>
    <xdr:to>
      <xdr:col>7</xdr:col>
      <xdr:colOff>596900</xdr:colOff>
      <xdr:row>12</xdr:row>
      <xdr:rowOff>101600</xdr:rowOff>
    </xdr:to>
    <xdr:sp macro="" textlink="">
      <xdr:nvSpPr>
        <xdr:cNvPr id="6372" name="CommandButton14" hidden="1">
          <a:extLst>
            <a:ext uri="{63B3BB69-23CF-44E3-9099-C40C66FF867C}">
              <a14:compatExt xmlns:a14="http://schemas.microsoft.com/office/drawing/2010/main" spid="_x0000_s6372"/>
            </a:ext>
            <a:ext uri="{FF2B5EF4-FFF2-40B4-BE49-F238E27FC236}">
              <a16:creationId xmlns:a16="http://schemas.microsoft.com/office/drawing/2014/main" id="{00000000-0008-0000-0700-0000E4180000}"/>
            </a:ext>
          </a:extLst>
        </xdr:cNvPr>
        <xdr:cNvSpPr/>
      </xdr:nvSpPr>
      <xdr:spPr>
        <a:xfrm>
          <a:off x="0" y="0"/>
          <a:ext cx="0" cy="0"/>
        </a:xfrm>
        <a:prstGeom prst="rect">
          <a:avLst/>
        </a:prstGeom>
      </xdr:spPr>
    </xdr:sp>
    <xdr:clientData/>
  </xdr:twoCellAnchor>
  <xdr:twoCellAnchor editAs="oneCell">
    <xdr:from>
      <xdr:col>0</xdr:col>
      <xdr:colOff>4102100</xdr:colOff>
      <xdr:row>4</xdr:row>
      <xdr:rowOff>0</xdr:rowOff>
    </xdr:from>
    <xdr:to>
      <xdr:col>0</xdr:col>
      <xdr:colOff>4191000</xdr:colOff>
      <xdr:row>4</xdr:row>
      <xdr:rowOff>114300</xdr:rowOff>
    </xdr:to>
    <xdr:pic>
      <xdr:nvPicPr>
        <xdr:cNvPr id="2" name="CommandButton1">
          <a:extLst>
            <a:ext uri="{FF2B5EF4-FFF2-40B4-BE49-F238E27FC236}">
              <a16:creationId xmlns:a16="http://schemas.microsoft.com/office/drawing/2014/main" id="{00000000-0008-0000-07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02100" y="1638300"/>
          <a:ext cx="889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4114800</xdr:colOff>
      <xdr:row>10</xdr:row>
      <xdr:rowOff>0</xdr:rowOff>
    </xdr:from>
    <xdr:to>
      <xdr:col>0</xdr:col>
      <xdr:colOff>4216400</xdr:colOff>
      <xdr:row>10</xdr:row>
      <xdr:rowOff>114300</xdr:rowOff>
    </xdr:to>
    <xdr:pic>
      <xdr:nvPicPr>
        <xdr:cNvPr id="3" name="CommandButton2">
          <a:extLst>
            <a:ext uri="{FF2B5EF4-FFF2-40B4-BE49-F238E27FC236}">
              <a16:creationId xmlns:a16="http://schemas.microsoft.com/office/drawing/2014/main" id="{00000000-0008-0000-07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14800" y="2692400"/>
          <a:ext cx="1016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4114800</xdr:colOff>
      <xdr:row>10</xdr:row>
      <xdr:rowOff>177800</xdr:rowOff>
    </xdr:from>
    <xdr:to>
      <xdr:col>0</xdr:col>
      <xdr:colOff>4216400</xdr:colOff>
      <xdr:row>11</xdr:row>
      <xdr:rowOff>101600</xdr:rowOff>
    </xdr:to>
    <xdr:pic>
      <xdr:nvPicPr>
        <xdr:cNvPr id="4" name="CommandButton3">
          <a:extLst>
            <a:ext uri="{FF2B5EF4-FFF2-40B4-BE49-F238E27FC236}">
              <a16:creationId xmlns:a16="http://schemas.microsoft.com/office/drawing/2014/main" id="{00000000-0008-0000-0700-000004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14800" y="2870200"/>
          <a:ext cx="101600" cy="101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4102100</xdr:colOff>
      <xdr:row>21</xdr:row>
      <xdr:rowOff>165100</xdr:rowOff>
    </xdr:from>
    <xdr:to>
      <xdr:col>0</xdr:col>
      <xdr:colOff>4203700</xdr:colOff>
      <xdr:row>22</xdr:row>
      <xdr:rowOff>101600</xdr:rowOff>
    </xdr:to>
    <xdr:pic>
      <xdr:nvPicPr>
        <xdr:cNvPr id="5" name="CommandButton4">
          <a:extLst>
            <a:ext uri="{FF2B5EF4-FFF2-40B4-BE49-F238E27FC236}">
              <a16:creationId xmlns:a16="http://schemas.microsoft.com/office/drawing/2014/main" id="{00000000-0008-0000-0700-000005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102100" y="4762500"/>
          <a:ext cx="1016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4114800</xdr:colOff>
      <xdr:row>22</xdr:row>
      <xdr:rowOff>165100</xdr:rowOff>
    </xdr:from>
    <xdr:to>
      <xdr:col>0</xdr:col>
      <xdr:colOff>4216400</xdr:colOff>
      <xdr:row>23</xdr:row>
      <xdr:rowOff>101600</xdr:rowOff>
    </xdr:to>
    <xdr:pic>
      <xdr:nvPicPr>
        <xdr:cNvPr id="6" name="CommandButton5">
          <a:extLst>
            <a:ext uri="{FF2B5EF4-FFF2-40B4-BE49-F238E27FC236}">
              <a16:creationId xmlns:a16="http://schemas.microsoft.com/office/drawing/2014/main" id="{00000000-0008-0000-0700-000006000000}"/>
            </a:ext>
          </a:extLst>
        </xdr:cNvPr>
        <xdr:cNvPicPr preferRelativeResize="0">
          <a:picLocks noChangeArrowheads="1" noChangeShapeType="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114800" y="4940300"/>
          <a:ext cx="1016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4114800</xdr:colOff>
      <xdr:row>24</xdr:row>
      <xdr:rowOff>0</xdr:rowOff>
    </xdr:from>
    <xdr:to>
      <xdr:col>0</xdr:col>
      <xdr:colOff>4216400</xdr:colOff>
      <xdr:row>24</xdr:row>
      <xdr:rowOff>114300</xdr:rowOff>
    </xdr:to>
    <xdr:pic>
      <xdr:nvPicPr>
        <xdr:cNvPr id="7" name="CommandButton6">
          <a:extLst>
            <a:ext uri="{FF2B5EF4-FFF2-40B4-BE49-F238E27FC236}">
              <a16:creationId xmlns:a16="http://schemas.microsoft.com/office/drawing/2014/main" id="{00000000-0008-0000-0700-000007000000}"/>
            </a:ext>
          </a:extLst>
        </xdr:cNvPr>
        <xdr:cNvPicPr preferRelativeResize="0">
          <a:picLocks noChangeArrowheads="1" noChangeShapeType="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114800" y="5130800"/>
          <a:ext cx="1016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4102100</xdr:colOff>
      <xdr:row>25</xdr:row>
      <xdr:rowOff>177800</xdr:rowOff>
    </xdr:from>
    <xdr:to>
      <xdr:col>0</xdr:col>
      <xdr:colOff>4203700</xdr:colOff>
      <xdr:row>26</xdr:row>
      <xdr:rowOff>101600</xdr:rowOff>
    </xdr:to>
    <xdr:pic>
      <xdr:nvPicPr>
        <xdr:cNvPr id="8" name="CommandButton7">
          <a:extLst>
            <a:ext uri="{FF2B5EF4-FFF2-40B4-BE49-F238E27FC236}">
              <a16:creationId xmlns:a16="http://schemas.microsoft.com/office/drawing/2014/main" id="{00000000-0008-0000-0700-000008000000}"/>
            </a:ext>
          </a:extLst>
        </xdr:cNvPr>
        <xdr:cNvPicPr preferRelativeResize="0">
          <a:picLocks noChangeArrowheads="1" noChangeShapeType="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102100" y="5486400"/>
          <a:ext cx="101600" cy="101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5</xdr:col>
      <xdr:colOff>749300</xdr:colOff>
      <xdr:row>3</xdr:row>
      <xdr:rowOff>0</xdr:rowOff>
    </xdr:from>
    <xdr:to>
      <xdr:col>6</xdr:col>
      <xdr:colOff>25400</xdr:colOff>
      <xdr:row>3</xdr:row>
      <xdr:rowOff>114300</xdr:rowOff>
    </xdr:to>
    <xdr:pic>
      <xdr:nvPicPr>
        <xdr:cNvPr id="9" name="CommandButton8">
          <a:extLst>
            <a:ext uri="{FF2B5EF4-FFF2-40B4-BE49-F238E27FC236}">
              <a16:creationId xmlns:a16="http://schemas.microsoft.com/office/drawing/2014/main" id="{00000000-0008-0000-0700-000009000000}"/>
            </a:ext>
          </a:extLst>
        </xdr:cNvPr>
        <xdr:cNvPicPr preferRelativeResize="0">
          <a:picLocks noChangeArrowheads="1" noChangeShapeType="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347200" y="1320800"/>
          <a:ext cx="2286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5</xdr:col>
      <xdr:colOff>736600</xdr:colOff>
      <xdr:row>18</xdr:row>
      <xdr:rowOff>165100</xdr:rowOff>
    </xdr:from>
    <xdr:to>
      <xdr:col>6</xdr:col>
      <xdr:colOff>0</xdr:colOff>
      <xdr:row>19</xdr:row>
      <xdr:rowOff>101600</xdr:rowOff>
    </xdr:to>
    <xdr:pic>
      <xdr:nvPicPr>
        <xdr:cNvPr id="10" name="CommandButton9">
          <a:extLst>
            <a:ext uri="{FF2B5EF4-FFF2-40B4-BE49-F238E27FC236}">
              <a16:creationId xmlns:a16="http://schemas.microsoft.com/office/drawing/2014/main" id="{00000000-0008-0000-0700-00000A000000}"/>
            </a:ext>
          </a:extLst>
        </xdr:cNvPr>
        <xdr:cNvPicPr preferRelativeResize="0">
          <a:picLocks noChangeArrowheads="1" noChangeShapeType="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334500" y="4267200"/>
          <a:ext cx="215900" cy="101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6</xdr:col>
      <xdr:colOff>2006600</xdr:colOff>
      <xdr:row>3</xdr:row>
      <xdr:rowOff>0</xdr:rowOff>
    </xdr:from>
    <xdr:to>
      <xdr:col>36</xdr:col>
      <xdr:colOff>12700</xdr:colOff>
      <xdr:row>3</xdr:row>
      <xdr:rowOff>114300</xdr:rowOff>
    </xdr:to>
    <xdr:pic>
      <xdr:nvPicPr>
        <xdr:cNvPr id="11" name="CommandButton10">
          <a:extLst>
            <a:ext uri="{FF2B5EF4-FFF2-40B4-BE49-F238E27FC236}">
              <a16:creationId xmlns:a16="http://schemas.microsoft.com/office/drawing/2014/main" id="{00000000-0008-0000-0700-00000B000000}"/>
            </a:ext>
          </a:extLst>
        </xdr:cNvPr>
        <xdr:cNvPicPr preferRelativeResize="0">
          <a:picLocks noChangeArrowheads="1" noChangeShapeType="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1557000" y="1320800"/>
          <a:ext cx="3937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6</xdr:col>
      <xdr:colOff>2006600</xdr:colOff>
      <xdr:row>18</xdr:row>
      <xdr:rowOff>152400</xdr:rowOff>
    </xdr:from>
    <xdr:to>
      <xdr:col>36</xdr:col>
      <xdr:colOff>12700</xdr:colOff>
      <xdr:row>19</xdr:row>
      <xdr:rowOff>101600</xdr:rowOff>
    </xdr:to>
    <xdr:pic>
      <xdr:nvPicPr>
        <xdr:cNvPr id="12" name="CommandButton11">
          <a:extLst>
            <a:ext uri="{FF2B5EF4-FFF2-40B4-BE49-F238E27FC236}">
              <a16:creationId xmlns:a16="http://schemas.microsoft.com/office/drawing/2014/main" id="{00000000-0008-0000-0700-00000C000000}"/>
            </a:ext>
          </a:extLst>
        </xdr:cNvPr>
        <xdr:cNvPicPr preferRelativeResize="0">
          <a:picLocks noChangeArrowheads="1" noChangeShapeType="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1557000" y="4254500"/>
          <a:ext cx="3937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5</xdr:col>
      <xdr:colOff>736600</xdr:colOff>
      <xdr:row>32</xdr:row>
      <xdr:rowOff>0</xdr:rowOff>
    </xdr:from>
    <xdr:to>
      <xdr:col>6</xdr:col>
      <xdr:colOff>0</xdr:colOff>
      <xdr:row>32</xdr:row>
      <xdr:rowOff>114300</xdr:rowOff>
    </xdr:to>
    <xdr:pic>
      <xdr:nvPicPr>
        <xdr:cNvPr id="13" name="CommandButton12">
          <a:extLst>
            <a:ext uri="{FF2B5EF4-FFF2-40B4-BE49-F238E27FC236}">
              <a16:creationId xmlns:a16="http://schemas.microsoft.com/office/drawing/2014/main" id="{00000000-0008-0000-0700-00000D000000}"/>
            </a:ext>
          </a:extLst>
        </xdr:cNvPr>
        <xdr:cNvPicPr preferRelativeResize="0">
          <a:picLocks noChangeArrowheads="1" noChangeShapeType="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9334500" y="6502400"/>
          <a:ext cx="2159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xdr:from>
      <xdr:col>8</xdr:col>
      <xdr:colOff>1371600</xdr:colOff>
      <xdr:row>11</xdr:row>
      <xdr:rowOff>177800</xdr:rowOff>
    </xdr:from>
    <xdr:to>
      <xdr:col>9</xdr:col>
      <xdr:colOff>0</xdr:colOff>
      <xdr:row>12</xdr:row>
      <xdr:rowOff>101600</xdr:rowOff>
    </xdr:to>
    <xdr:pic>
      <xdr:nvPicPr>
        <xdr:cNvPr id="14" name="CommandButton13">
          <a:extLst>
            <a:ext uri="{FF2B5EF4-FFF2-40B4-BE49-F238E27FC236}">
              <a16:creationId xmlns:a16="http://schemas.microsoft.com/office/drawing/2014/main" id="{00000000-0008-0000-0700-00000E000000}"/>
            </a:ext>
          </a:extLst>
        </xdr:cNvPr>
        <xdr:cNvPicPr preferRelativeResize="0">
          <a:picLocks noChangeArrowheads="1" noChangeShapeType="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1938000" y="3048000"/>
          <a:ext cx="0" cy="101600"/>
        </a:xfrm>
        <a:prstGeom prst="rect">
          <a:avLst/>
        </a:prstGeom>
        <a:noFill/>
        <a:ln>
          <a:noFill/>
        </a:ln>
        <a:effectLst/>
        <a:extLst>
          <a:ext uri="{91240B29-F687-4F45-9708-019B960494DF}">
            <a14:hiddenLine xmlns:a14="http://schemas.microsoft.com/office/drawing/2010/main" w="1">
              <a:noFill/>
              <a:miter lim="800000"/>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 uri="{53640926-AAD7-44D8-BBD7-CCE9431645EC}">
            <a14:shadowObscured xmlns:a14="http://schemas.microsoft.com/office/drawing/2010/main" val="1"/>
          </a:ext>
        </a:extLst>
      </xdr:spPr>
    </xdr:pic>
    <xdr:clientData/>
  </xdr:twoCellAnchor>
  <xdr:twoCellAnchor>
    <xdr:from>
      <xdr:col>7</xdr:col>
      <xdr:colOff>508000</xdr:colOff>
      <xdr:row>11</xdr:row>
      <xdr:rowOff>177800</xdr:rowOff>
    </xdr:from>
    <xdr:to>
      <xdr:col>7</xdr:col>
      <xdr:colOff>596900</xdr:colOff>
      <xdr:row>12</xdr:row>
      <xdr:rowOff>101600</xdr:rowOff>
    </xdr:to>
    <xdr:pic>
      <xdr:nvPicPr>
        <xdr:cNvPr id="15" name="CommandButton14">
          <a:extLst>
            <a:ext uri="{FF2B5EF4-FFF2-40B4-BE49-F238E27FC236}">
              <a16:creationId xmlns:a16="http://schemas.microsoft.com/office/drawing/2014/main" id="{00000000-0008-0000-0700-00000F000000}"/>
            </a:ext>
          </a:extLst>
        </xdr:cNvPr>
        <xdr:cNvPicPr preferRelativeResize="0">
          <a:picLocks noChangeArrowheads="1" noChangeShapeType="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1938000" y="3048000"/>
          <a:ext cx="0" cy="101600"/>
        </a:xfrm>
        <a:prstGeom prst="rect">
          <a:avLst/>
        </a:prstGeom>
        <a:noFill/>
        <a:ln>
          <a:noFill/>
        </a:ln>
        <a:effectLst/>
        <a:extLst>
          <a:ext uri="{91240B29-F687-4F45-9708-019B960494DF}">
            <a14:hiddenLine xmlns:a14="http://schemas.microsoft.com/office/drawing/2010/main" w="1">
              <a:noFill/>
              <a:miter lim="800000"/>
              <a:headEnd/>
              <a:tailEn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 uri="{53640926-AAD7-44D8-BBD7-CCE9431645EC}">
            <a14:shadowObscured xmlns:a14="http://schemas.microsoft.com/office/drawing/2010/main" val="1"/>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857250</xdr:colOff>
      <xdr:row>0</xdr:row>
      <xdr:rowOff>581025</xdr:rowOff>
    </xdr:to>
    <xdr:grpSp>
      <xdr:nvGrpSpPr>
        <xdr:cNvPr id="2311" name="Group 246">
          <a:extLst>
            <a:ext uri="{FF2B5EF4-FFF2-40B4-BE49-F238E27FC236}">
              <a16:creationId xmlns:a16="http://schemas.microsoft.com/office/drawing/2014/main" id="{00000000-0008-0000-0800-000007090000}"/>
            </a:ext>
          </a:extLst>
        </xdr:cNvPr>
        <xdr:cNvGrpSpPr>
          <a:grpSpLocks/>
        </xdr:cNvGrpSpPr>
      </xdr:nvGrpSpPr>
      <xdr:grpSpPr bwMode="auto">
        <a:xfrm>
          <a:off x="0" y="0"/>
          <a:ext cx="857250" cy="581025"/>
          <a:chOff x="354" y="24"/>
          <a:chExt cx="164" cy="111"/>
        </a:xfrm>
      </xdr:grpSpPr>
      <xdr:sp macro="" textlink="">
        <xdr:nvSpPr>
          <xdr:cNvPr id="2312" name="Oval 247">
            <a:extLst>
              <a:ext uri="{FF2B5EF4-FFF2-40B4-BE49-F238E27FC236}">
                <a16:creationId xmlns:a16="http://schemas.microsoft.com/office/drawing/2014/main" id="{00000000-0008-0000-0800-000008090000}"/>
              </a:ext>
            </a:extLst>
          </xdr:cNvPr>
          <xdr:cNvSpPr>
            <a:spLocks noChangeArrowheads="1"/>
          </xdr:cNvSpPr>
        </xdr:nvSpPr>
        <xdr:spPr bwMode="auto">
          <a:xfrm>
            <a:off x="401" y="28"/>
            <a:ext cx="69" cy="69"/>
          </a:xfrm>
          <a:prstGeom prst="ellipse">
            <a:avLst/>
          </a:pr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sp>
      <xdr:pic>
        <xdr:nvPicPr>
          <xdr:cNvPr id="2313" name="Picture 248" descr="Logo LNEC">
            <a:extLst>
              <a:ext uri="{FF2B5EF4-FFF2-40B4-BE49-F238E27FC236}">
                <a16:creationId xmlns:a16="http://schemas.microsoft.com/office/drawing/2014/main" id="{00000000-0008-0000-0800-00000909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54" y="24"/>
            <a:ext cx="164" cy="1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0</xdr:col>
      <xdr:colOff>4902200</xdr:colOff>
      <xdr:row>2</xdr:row>
      <xdr:rowOff>215900</xdr:rowOff>
    </xdr:from>
    <xdr:to>
      <xdr:col>1</xdr:col>
      <xdr:colOff>12700</xdr:colOff>
      <xdr:row>3</xdr:row>
      <xdr:rowOff>0</xdr:rowOff>
    </xdr:to>
    <xdr:sp macro="" textlink="">
      <xdr:nvSpPr>
        <xdr:cNvPr id="2276" name="CommandButton1" hidden="1">
          <a:extLst>
            <a:ext uri="{63B3BB69-23CF-44E3-9099-C40C66FF867C}">
              <a14:compatExt xmlns:a14="http://schemas.microsoft.com/office/drawing/2010/main" spid="_x0000_s2276"/>
            </a:ext>
            <a:ext uri="{FF2B5EF4-FFF2-40B4-BE49-F238E27FC236}">
              <a16:creationId xmlns:a16="http://schemas.microsoft.com/office/drawing/2014/main" id="{00000000-0008-0000-0800-0000E4080000}"/>
            </a:ext>
          </a:extLst>
        </xdr:cNvPr>
        <xdr:cNvSpPr/>
      </xdr:nvSpPr>
      <xdr:spPr>
        <a:xfrm>
          <a:off x="0" y="0"/>
          <a:ext cx="0" cy="0"/>
        </a:xfrm>
        <a:prstGeom prst="rect">
          <a:avLst/>
        </a:prstGeom>
      </xdr:spPr>
    </xdr:sp>
    <xdr:clientData/>
  </xdr:twoCellAnchor>
  <xdr:twoCellAnchor editAs="oneCell">
    <xdr:from>
      <xdr:col>0</xdr:col>
      <xdr:colOff>4902200</xdr:colOff>
      <xdr:row>7</xdr:row>
      <xdr:rowOff>0</xdr:rowOff>
    </xdr:from>
    <xdr:to>
      <xdr:col>1</xdr:col>
      <xdr:colOff>25400</xdr:colOff>
      <xdr:row>7</xdr:row>
      <xdr:rowOff>114300</xdr:rowOff>
    </xdr:to>
    <xdr:sp macro="" textlink="">
      <xdr:nvSpPr>
        <xdr:cNvPr id="2277" name="CommandButton2" hidden="1">
          <a:extLst>
            <a:ext uri="{63B3BB69-23CF-44E3-9099-C40C66FF867C}">
              <a14:compatExt xmlns:a14="http://schemas.microsoft.com/office/drawing/2010/main" spid="_x0000_s2277"/>
            </a:ext>
            <a:ext uri="{FF2B5EF4-FFF2-40B4-BE49-F238E27FC236}">
              <a16:creationId xmlns:a16="http://schemas.microsoft.com/office/drawing/2014/main" id="{00000000-0008-0000-0800-0000E5080000}"/>
            </a:ext>
          </a:extLst>
        </xdr:cNvPr>
        <xdr:cNvSpPr/>
      </xdr:nvSpPr>
      <xdr:spPr>
        <a:xfrm>
          <a:off x="0" y="0"/>
          <a:ext cx="0" cy="0"/>
        </a:xfrm>
        <a:prstGeom prst="rect">
          <a:avLst/>
        </a:prstGeom>
      </xdr:spPr>
    </xdr:sp>
    <xdr:clientData/>
  </xdr:twoCellAnchor>
  <xdr:twoCellAnchor editAs="oneCell">
    <xdr:from>
      <xdr:col>0</xdr:col>
      <xdr:colOff>4902200</xdr:colOff>
      <xdr:row>8</xdr:row>
      <xdr:rowOff>0</xdr:rowOff>
    </xdr:from>
    <xdr:to>
      <xdr:col>1</xdr:col>
      <xdr:colOff>25400</xdr:colOff>
      <xdr:row>8</xdr:row>
      <xdr:rowOff>114300</xdr:rowOff>
    </xdr:to>
    <xdr:sp macro="" textlink="">
      <xdr:nvSpPr>
        <xdr:cNvPr id="2278" name="CommandButton3" hidden="1">
          <a:extLst>
            <a:ext uri="{63B3BB69-23CF-44E3-9099-C40C66FF867C}">
              <a14:compatExt xmlns:a14="http://schemas.microsoft.com/office/drawing/2010/main" spid="_x0000_s2278"/>
            </a:ext>
            <a:ext uri="{FF2B5EF4-FFF2-40B4-BE49-F238E27FC236}">
              <a16:creationId xmlns:a16="http://schemas.microsoft.com/office/drawing/2014/main" id="{00000000-0008-0000-0800-0000E6080000}"/>
            </a:ext>
          </a:extLst>
        </xdr:cNvPr>
        <xdr:cNvSpPr/>
      </xdr:nvSpPr>
      <xdr:spPr>
        <a:xfrm>
          <a:off x="0" y="0"/>
          <a:ext cx="0" cy="0"/>
        </a:xfrm>
        <a:prstGeom prst="rect">
          <a:avLst/>
        </a:prstGeom>
      </xdr:spPr>
    </xdr:sp>
    <xdr:clientData/>
  </xdr:twoCellAnchor>
  <xdr:twoCellAnchor editAs="oneCell">
    <xdr:from>
      <xdr:col>0</xdr:col>
      <xdr:colOff>4902200</xdr:colOff>
      <xdr:row>19</xdr:row>
      <xdr:rowOff>0</xdr:rowOff>
    </xdr:from>
    <xdr:to>
      <xdr:col>1</xdr:col>
      <xdr:colOff>12700</xdr:colOff>
      <xdr:row>19</xdr:row>
      <xdr:rowOff>114300</xdr:rowOff>
    </xdr:to>
    <xdr:sp macro="" textlink="">
      <xdr:nvSpPr>
        <xdr:cNvPr id="2279" name="CommandButton4" hidden="1">
          <a:extLst>
            <a:ext uri="{63B3BB69-23CF-44E3-9099-C40C66FF867C}">
              <a14:compatExt xmlns:a14="http://schemas.microsoft.com/office/drawing/2010/main" spid="_x0000_s2279"/>
            </a:ext>
            <a:ext uri="{FF2B5EF4-FFF2-40B4-BE49-F238E27FC236}">
              <a16:creationId xmlns:a16="http://schemas.microsoft.com/office/drawing/2014/main" id="{00000000-0008-0000-0800-0000E7080000}"/>
            </a:ext>
          </a:extLst>
        </xdr:cNvPr>
        <xdr:cNvSpPr/>
      </xdr:nvSpPr>
      <xdr:spPr>
        <a:xfrm>
          <a:off x="0" y="0"/>
          <a:ext cx="0" cy="0"/>
        </a:xfrm>
        <a:prstGeom prst="rect">
          <a:avLst/>
        </a:prstGeom>
      </xdr:spPr>
    </xdr:sp>
    <xdr:clientData/>
  </xdr:twoCellAnchor>
  <xdr:twoCellAnchor editAs="oneCell">
    <xdr:from>
      <xdr:col>0</xdr:col>
      <xdr:colOff>4902200</xdr:colOff>
      <xdr:row>23</xdr:row>
      <xdr:rowOff>0</xdr:rowOff>
    </xdr:from>
    <xdr:to>
      <xdr:col>1</xdr:col>
      <xdr:colOff>12700</xdr:colOff>
      <xdr:row>23</xdr:row>
      <xdr:rowOff>114300</xdr:rowOff>
    </xdr:to>
    <xdr:sp macro="" textlink="">
      <xdr:nvSpPr>
        <xdr:cNvPr id="2280" name="CommandButton5" hidden="1">
          <a:extLst>
            <a:ext uri="{63B3BB69-23CF-44E3-9099-C40C66FF867C}">
              <a14:compatExt xmlns:a14="http://schemas.microsoft.com/office/drawing/2010/main" spid="_x0000_s2280"/>
            </a:ext>
            <a:ext uri="{FF2B5EF4-FFF2-40B4-BE49-F238E27FC236}">
              <a16:creationId xmlns:a16="http://schemas.microsoft.com/office/drawing/2014/main" id="{00000000-0008-0000-0800-0000E8080000}"/>
            </a:ext>
          </a:extLst>
        </xdr:cNvPr>
        <xdr:cNvSpPr/>
      </xdr:nvSpPr>
      <xdr:spPr>
        <a:xfrm>
          <a:off x="0" y="0"/>
          <a:ext cx="0" cy="0"/>
        </a:xfrm>
        <a:prstGeom prst="rect">
          <a:avLst/>
        </a:prstGeom>
      </xdr:spPr>
    </xdr:sp>
    <xdr:clientData/>
  </xdr:twoCellAnchor>
  <xdr:twoCellAnchor editAs="oneCell">
    <xdr:from>
      <xdr:col>0</xdr:col>
      <xdr:colOff>4902200</xdr:colOff>
      <xdr:row>31</xdr:row>
      <xdr:rowOff>0</xdr:rowOff>
    </xdr:from>
    <xdr:to>
      <xdr:col>1</xdr:col>
      <xdr:colOff>12700</xdr:colOff>
      <xdr:row>31</xdr:row>
      <xdr:rowOff>114300</xdr:rowOff>
    </xdr:to>
    <xdr:sp macro="" textlink="">
      <xdr:nvSpPr>
        <xdr:cNvPr id="2281" name="CommandButton6" hidden="1">
          <a:extLst>
            <a:ext uri="{63B3BB69-23CF-44E3-9099-C40C66FF867C}">
              <a14:compatExt xmlns:a14="http://schemas.microsoft.com/office/drawing/2010/main" spid="_x0000_s2281"/>
            </a:ext>
            <a:ext uri="{FF2B5EF4-FFF2-40B4-BE49-F238E27FC236}">
              <a16:creationId xmlns:a16="http://schemas.microsoft.com/office/drawing/2014/main" id="{00000000-0008-0000-0800-0000E9080000}"/>
            </a:ext>
          </a:extLst>
        </xdr:cNvPr>
        <xdr:cNvSpPr/>
      </xdr:nvSpPr>
      <xdr:spPr>
        <a:xfrm>
          <a:off x="0" y="0"/>
          <a:ext cx="0" cy="0"/>
        </a:xfrm>
        <a:prstGeom prst="rect">
          <a:avLst/>
        </a:prstGeom>
      </xdr:spPr>
    </xdr:sp>
    <xdr:clientData/>
  </xdr:twoCellAnchor>
  <xdr:twoCellAnchor editAs="oneCell">
    <xdr:from>
      <xdr:col>0</xdr:col>
      <xdr:colOff>4902200</xdr:colOff>
      <xdr:row>26</xdr:row>
      <xdr:rowOff>165100</xdr:rowOff>
    </xdr:from>
    <xdr:to>
      <xdr:col>1</xdr:col>
      <xdr:colOff>12700</xdr:colOff>
      <xdr:row>27</xdr:row>
      <xdr:rowOff>101600</xdr:rowOff>
    </xdr:to>
    <xdr:sp macro="" textlink="">
      <xdr:nvSpPr>
        <xdr:cNvPr id="2282" name="CommandButton7" hidden="1">
          <a:extLst>
            <a:ext uri="{63B3BB69-23CF-44E3-9099-C40C66FF867C}">
              <a14:compatExt xmlns:a14="http://schemas.microsoft.com/office/drawing/2010/main" spid="_x0000_s2282"/>
            </a:ext>
            <a:ext uri="{FF2B5EF4-FFF2-40B4-BE49-F238E27FC236}">
              <a16:creationId xmlns:a16="http://schemas.microsoft.com/office/drawing/2014/main" id="{00000000-0008-0000-0800-0000EA080000}"/>
            </a:ext>
          </a:extLst>
        </xdr:cNvPr>
        <xdr:cNvSpPr/>
      </xdr:nvSpPr>
      <xdr:spPr>
        <a:xfrm>
          <a:off x="0" y="0"/>
          <a:ext cx="0" cy="0"/>
        </a:xfrm>
        <a:prstGeom prst="rect">
          <a:avLst/>
        </a:prstGeom>
      </xdr:spPr>
    </xdr:sp>
    <xdr:clientData/>
  </xdr:twoCellAnchor>
  <xdr:twoCellAnchor editAs="oneCell">
    <xdr:from>
      <xdr:col>0</xdr:col>
      <xdr:colOff>4902200</xdr:colOff>
      <xdr:row>35</xdr:row>
      <xdr:rowOff>0</xdr:rowOff>
    </xdr:from>
    <xdr:to>
      <xdr:col>1</xdr:col>
      <xdr:colOff>12700</xdr:colOff>
      <xdr:row>35</xdr:row>
      <xdr:rowOff>114300</xdr:rowOff>
    </xdr:to>
    <xdr:sp macro="" textlink="">
      <xdr:nvSpPr>
        <xdr:cNvPr id="2283" name="CommandButton8" hidden="1">
          <a:extLst>
            <a:ext uri="{63B3BB69-23CF-44E3-9099-C40C66FF867C}">
              <a14:compatExt xmlns:a14="http://schemas.microsoft.com/office/drawing/2010/main" spid="_x0000_s2283"/>
            </a:ext>
            <a:ext uri="{FF2B5EF4-FFF2-40B4-BE49-F238E27FC236}">
              <a16:creationId xmlns:a16="http://schemas.microsoft.com/office/drawing/2014/main" id="{00000000-0008-0000-0800-0000EB080000}"/>
            </a:ext>
          </a:extLst>
        </xdr:cNvPr>
        <xdr:cNvSpPr/>
      </xdr:nvSpPr>
      <xdr:spPr>
        <a:xfrm>
          <a:off x="0" y="0"/>
          <a:ext cx="0" cy="0"/>
        </a:xfrm>
        <a:prstGeom prst="rect">
          <a:avLst/>
        </a:prstGeom>
      </xdr:spPr>
    </xdr:sp>
    <xdr:clientData/>
  </xdr:twoCellAnchor>
  <xdr:twoCellAnchor editAs="oneCell">
    <xdr:from>
      <xdr:col>0</xdr:col>
      <xdr:colOff>4902200</xdr:colOff>
      <xdr:row>36</xdr:row>
      <xdr:rowOff>0</xdr:rowOff>
    </xdr:from>
    <xdr:to>
      <xdr:col>1</xdr:col>
      <xdr:colOff>12700</xdr:colOff>
      <xdr:row>36</xdr:row>
      <xdr:rowOff>114300</xdr:rowOff>
    </xdr:to>
    <xdr:sp macro="" textlink="">
      <xdr:nvSpPr>
        <xdr:cNvPr id="2284" name="CommandButton9" hidden="1">
          <a:extLst>
            <a:ext uri="{63B3BB69-23CF-44E3-9099-C40C66FF867C}">
              <a14:compatExt xmlns:a14="http://schemas.microsoft.com/office/drawing/2010/main" spid="_x0000_s2284"/>
            </a:ext>
            <a:ext uri="{FF2B5EF4-FFF2-40B4-BE49-F238E27FC236}">
              <a16:creationId xmlns:a16="http://schemas.microsoft.com/office/drawing/2014/main" id="{00000000-0008-0000-0800-0000EC080000}"/>
            </a:ext>
          </a:extLst>
        </xdr:cNvPr>
        <xdr:cNvSpPr/>
      </xdr:nvSpPr>
      <xdr:spPr>
        <a:xfrm>
          <a:off x="0" y="0"/>
          <a:ext cx="0" cy="0"/>
        </a:xfrm>
        <a:prstGeom prst="rect">
          <a:avLst/>
        </a:prstGeom>
      </xdr:spPr>
    </xdr:sp>
    <xdr:clientData/>
  </xdr:twoCellAnchor>
  <xdr:twoCellAnchor editAs="oneCell">
    <xdr:from>
      <xdr:col>0</xdr:col>
      <xdr:colOff>4902200</xdr:colOff>
      <xdr:row>37</xdr:row>
      <xdr:rowOff>215900</xdr:rowOff>
    </xdr:from>
    <xdr:to>
      <xdr:col>1</xdr:col>
      <xdr:colOff>25400</xdr:colOff>
      <xdr:row>38</xdr:row>
      <xdr:rowOff>101600</xdr:rowOff>
    </xdr:to>
    <xdr:sp macro="" textlink="">
      <xdr:nvSpPr>
        <xdr:cNvPr id="2285" name="CommandButton10" hidden="1">
          <a:extLst>
            <a:ext uri="{63B3BB69-23CF-44E3-9099-C40C66FF867C}">
              <a14:compatExt xmlns:a14="http://schemas.microsoft.com/office/drawing/2010/main" spid="_x0000_s2285"/>
            </a:ext>
            <a:ext uri="{FF2B5EF4-FFF2-40B4-BE49-F238E27FC236}">
              <a16:creationId xmlns:a16="http://schemas.microsoft.com/office/drawing/2014/main" id="{00000000-0008-0000-0800-0000ED080000}"/>
            </a:ext>
          </a:extLst>
        </xdr:cNvPr>
        <xdr:cNvSpPr/>
      </xdr:nvSpPr>
      <xdr:spPr>
        <a:xfrm>
          <a:off x="0" y="0"/>
          <a:ext cx="0" cy="0"/>
        </a:xfrm>
        <a:prstGeom prst="rect">
          <a:avLst/>
        </a:prstGeom>
      </xdr:spPr>
    </xdr:sp>
    <xdr:clientData/>
  </xdr:twoCellAnchor>
  <xdr:twoCellAnchor editAs="oneCell">
    <xdr:from>
      <xdr:col>5</xdr:col>
      <xdr:colOff>558800</xdr:colOff>
      <xdr:row>1</xdr:row>
      <xdr:rowOff>203200</xdr:rowOff>
    </xdr:from>
    <xdr:to>
      <xdr:col>6</xdr:col>
      <xdr:colOff>0</xdr:colOff>
      <xdr:row>2</xdr:row>
      <xdr:rowOff>101600</xdr:rowOff>
    </xdr:to>
    <xdr:sp macro="" textlink="">
      <xdr:nvSpPr>
        <xdr:cNvPr id="2286" name="CommandButton11" hidden="1">
          <a:extLst>
            <a:ext uri="{63B3BB69-23CF-44E3-9099-C40C66FF867C}">
              <a14:compatExt xmlns:a14="http://schemas.microsoft.com/office/drawing/2010/main" spid="_x0000_s2286"/>
            </a:ext>
            <a:ext uri="{FF2B5EF4-FFF2-40B4-BE49-F238E27FC236}">
              <a16:creationId xmlns:a16="http://schemas.microsoft.com/office/drawing/2014/main" id="{00000000-0008-0000-0800-0000EE080000}"/>
            </a:ext>
          </a:extLst>
        </xdr:cNvPr>
        <xdr:cNvSpPr/>
      </xdr:nvSpPr>
      <xdr:spPr>
        <a:xfrm>
          <a:off x="0" y="0"/>
          <a:ext cx="0" cy="0"/>
        </a:xfrm>
        <a:prstGeom prst="rect">
          <a:avLst/>
        </a:prstGeom>
      </xdr:spPr>
    </xdr:sp>
    <xdr:clientData/>
  </xdr:twoCellAnchor>
  <xdr:twoCellAnchor editAs="oneCell">
    <xdr:from>
      <xdr:col>5</xdr:col>
      <xdr:colOff>558800</xdr:colOff>
      <xdr:row>14</xdr:row>
      <xdr:rowOff>165100</xdr:rowOff>
    </xdr:from>
    <xdr:to>
      <xdr:col>6</xdr:col>
      <xdr:colOff>12700</xdr:colOff>
      <xdr:row>15</xdr:row>
      <xdr:rowOff>101600</xdr:rowOff>
    </xdr:to>
    <xdr:sp macro="" textlink="">
      <xdr:nvSpPr>
        <xdr:cNvPr id="2288" name="CommandButton12" hidden="1">
          <a:extLst>
            <a:ext uri="{63B3BB69-23CF-44E3-9099-C40C66FF867C}">
              <a14:compatExt xmlns:a14="http://schemas.microsoft.com/office/drawing/2010/main" spid="_x0000_s2288"/>
            </a:ext>
            <a:ext uri="{FF2B5EF4-FFF2-40B4-BE49-F238E27FC236}">
              <a16:creationId xmlns:a16="http://schemas.microsoft.com/office/drawing/2014/main" id="{00000000-0008-0000-0800-0000F0080000}"/>
            </a:ext>
          </a:extLst>
        </xdr:cNvPr>
        <xdr:cNvSpPr/>
      </xdr:nvSpPr>
      <xdr:spPr>
        <a:xfrm>
          <a:off x="0" y="0"/>
          <a:ext cx="0" cy="0"/>
        </a:xfrm>
        <a:prstGeom prst="rect">
          <a:avLst/>
        </a:prstGeom>
      </xdr:spPr>
    </xdr:sp>
    <xdr:clientData/>
  </xdr:twoCellAnchor>
  <xdr:twoCellAnchor editAs="oneCell">
    <xdr:from>
      <xdr:col>6</xdr:col>
      <xdr:colOff>2247900</xdr:colOff>
      <xdr:row>2</xdr:row>
      <xdr:rowOff>0</xdr:rowOff>
    </xdr:from>
    <xdr:to>
      <xdr:col>7</xdr:col>
      <xdr:colOff>0</xdr:colOff>
      <xdr:row>2</xdr:row>
      <xdr:rowOff>114300</xdr:rowOff>
    </xdr:to>
    <xdr:sp macro="" textlink="">
      <xdr:nvSpPr>
        <xdr:cNvPr id="2289" name="CommandButton13" hidden="1">
          <a:extLst>
            <a:ext uri="{63B3BB69-23CF-44E3-9099-C40C66FF867C}">
              <a14:compatExt xmlns:a14="http://schemas.microsoft.com/office/drawing/2010/main" spid="_x0000_s2289"/>
            </a:ext>
            <a:ext uri="{FF2B5EF4-FFF2-40B4-BE49-F238E27FC236}">
              <a16:creationId xmlns:a16="http://schemas.microsoft.com/office/drawing/2014/main" id="{00000000-0008-0000-0800-0000F1080000}"/>
            </a:ext>
          </a:extLst>
        </xdr:cNvPr>
        <xdr:cNvSpPr/>
      </xdr:nvSpPr>
      <xdr:spPr>
        <a:xfrm>
          <a:off x="0" y="0"/>
          <a:ext cx="0" cy="0"/>
        </a:xfrm>
        <a:prstGeom prst="rect">
          <a:avLst/>
        </a:prstGeom>
      </xdr:spPr>
    </xdr:sp>
    <xdr:clientData/>
  </xdr:twoCellAnchor>
  <xdr:twoCellAnchor editAs="oneCell">
    <xdr:from>
      <xdr:col>6</xdr:col>
      <xdr:colOff>2260600</xdr:colOff>
      <xdr:row>14</xdr:row>
      <xdr:rowOff>165100</xdr:rowOff>
    </xdr:from>
    <xdr:to>
      <xdr:col>36</xdr:col>
      <xdr:colOff>12700</xdr:colOff>
      <xdr:row>15</xdr:row>
      <xdr:rowOff>101600</xdr:rowOff>
    </xdr:to>
    <xdr:sp macro="" textlink="">
      <xdr:nvSpPr>
        <xdr:cNvPr id="2290" name="CommandButton14" hidden="1">
          <a:extLst>
            <a:ext uri="{63B3BB69-23CF-44E3-9099-C40C66FF867C}">
              <a14:compatExt xmlns:a14="http://schemas.microsoft.com/office/drawing/2010/main" spid="_x0000_s2290"/>
            </a:ext>
            <a:ext uri="{FF2B5EF4-FFF2-40B4-BE49-F238E27FC236}">
              <a16:creationId xmlns:a16="http://schemas.microsoft.com/office/drawing/2014/main" id="{00000000-0008-0000-0800-0000F2080000}"/>
            </a:ext>
          </a:extLst>
        </xdr:cNvPr>
        <xdr:cNvSpPr/>
      </xdr:nvSpPr>
      <xdr:spPr>
        <a:xfrm>
          <a:off x="0" y="0"/>
          <a:ext cx="0" cy="0"/>
        </a:xfrm>
        <a:prstGeom prst="rect">
          <a:avLst/>
        </a:prstGeom>
      </xdr:spPr>
    </xdr:sp>
    <xdr:clientData/>
  </xdr:twoCellAnchor>
  <xdr:twoCellAnchor>
    <xdr:from>
      <xdr:col>8</xdr:col>
      <xdr:colOff>889000</xdr:colOff>
      <xdr:row>8</xdr:row>
      <xdr:rowOff>177800</xdr:rowOff>
    </xdr:from>
    <xdr:to>
      <xdr:col>9</xdr:col>
      <xdr:colOff>12700</xdr:colOff>
      <xdr:row>9</xdr:row>
      <xdr:rowOff>101600</xdr:rowOff>
    </xdr:to>
    <xdr:sp macro="" textlink="">
      <xdr:nvSpPr>
        <xdr:cNvPr id="2291" name="CommandButton15" hidden="1">
          <a:extLst>
            <a:ext uri="{63B3BB69-23CF-44E3-9099-C40C66FF867C}">
              <a14:compatExt xmlns:a14="http://schemas.microsoft.com/office/drawing/2010/main" spid="_x0000_s2291"/>
            </a:ext>
            <a:ext uri="{FF2B5EF4-FFF2-40B4-BE49-F238E27FC236}">
              <a16:creationId xmlns:a16="http://schemas.microsoft.com/office/drawing/2014/main" id="{00000000-0008-0000-0800-0000F3080000}"/>
            </a:ext>
          </a:extLst>
        </xdr:cNvPr>
        <xdr:cNvSpPr/>
      </xdr:nvSpPr>
      <xdr:spPr>
        <a:xfrm>
          <a:off x="0" y="0"/>
          <a:ext cx="0" cy="0"/>
        </a:xfrm>
        <a:prstGeom prst="rect">
          <a:avLst/>
        </a:prstGeom>
      </xdr:spPr>
    </xdr:sp>
    <xdr:clientData/>
  </xdr:twoCellAnchor>
  <xdr:twoCellAnchor>
    <xdr:from>
      <xdr:col>7</xdr:col>
      <xdr:colOff>889000</xdr:colOff>
      <xdr:row>8</xdr:row>
      <xdr:rowOff>177800</xdr:rowOff>
    </xdr:from>
    <xdr:to>
      <xdr:col>7</xdr:col>
      <xdr:colOff>977900</xdr:colOff>
      <xdr:row>9</xdr:row>
      <xdr:rowOff>101600</xdr:rowOff>
    </xdr:to>
    <xdr:sp macro="" textlink="">
      <xdr:nvSpPr>
        <xdr:cNvPr id="2292" name="CommandButton16" hidden="1">
          <a:extLst>
            <a:ext uri="{63B3BB69-23CF-44E3-9099-C40C66FF867C}">
              <a14:compatExt xmlns:a14="http://schemas.microsoft.com/office/drawing/2010/main" spid="_x0000_s2292"/>
            </a:ext>
            <a:ext uri="{FF2B5EF4-FFF2-40B4-BE49-F238E27FC236}">
              <a16:creationId xmlns:a16="http://schemas.microsoft.com/office/drawing/2014/main" id="{00000000-0008-0000-0800-0000F4080000}"/>
            </a:ext>
          </a:extLst>
        </xdr:cNvPr>
        <xdr:cNvSpPr/>
      </xdr:nvSpPr>
      <xdr:spPr>
        <a:xfrm>
          <a:off x="0" y="0"/>
          <a:ext cx="0" cy="0"/>
        </a:xfrm>
        <a:prstGeom prst="rect">
          <a:avLst/>
        </a:prstGeom>
      </xdr:spPr>
    </xdr:sp>
    <xdr:clientData/>
  </xdr:twoCellAnchor>
  <xdr:twoCellAnchor editAs="oneCell">
    <xdr:from>
      <xdr:col>0</xdr:col>
      <xdr:colOff>4902200</xdr:colOff>
      <xdr:row>2</xdr:row>
      <xdr:rowOff>215900</xdr:rowOff>
    </xdr:from>
    <xdr:to>
      <xdr:col>1</xdr:col>
      <xdr:colOff>12700</xdr:colOff>
      <xdr:row>3</xdr:row>
      <xdr:rowOff>0</xdr:rowOff>
    </xdr:to>
    <xdr:pic>
      <xdr:nvPicPr>
        <xdr:cNvPr id="2" name="CommandButton1">
          <a:extLst>
            <a:ext uri="{FF2B5EF4-FFF2-40B4-BE49-F238E27FC236}">
              <a16:creationId xmlns:a16="http://schemas.microsoft.com/office/drawing/2014/main" id="{00000000-0008-0000-08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02200" y="1028700"/>
          <a:ext cx="800100" cy="101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4902200</xdr:colOff>
      <xdr:row>7</xdr:row>
      <xdr:rowOff>0</xdr:rowOff>
    </xdr:from>
    <xdr:to>
      <xdr:col>1</xdr:col>
      <xdr:colOff>25400</xdr:colOff>
      <xdr:row>7</xdr:row>
      <xdr:rowOff>114300</xdr:rowOff>
    </xdr:to>
    <xdr:pic>
      <xdr:nvPicPr>
        <xdr:cNvPr id="3" name="CommandButton2">
          <a:extLst>
            <a:ext uri="{FF2B5EF4-FFF2-40B4-BE49-F238E27FC236}">
              <a16:creationId xmlns:a16="http://schemas.microsoft.com/office/drawing/2014/main" id="{00000000-0008-0000-08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902200" y="2019300"/>
          <a:ext cx="8128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4902200</xdr:colOff>
      <xdr:row>8</xdr:row>
      <xdr:rowOff>0</xdr:rowOff>
    </xdr:from>
    <xdr:to>
      <xdr:col>1</xdr:col>
      <xdr:colOff>25400</xdr:colOff>
      <xdr:row>8</xdr:row>
      <xdr:rowOff>114300</xdr:rowOff>
    </xdr:to>
    <xdr:pic>
      <xdr:nvPicPr>
        <xdr:cNvPr id="4" name="CommandButton3">
          <a:extLst>
            <a:ext uri="{FF2B5EF4-FFF2-40B4-BE49-F238E27FC236}">
              <a16:creationId xmlns:a16="http://schemas.microsoft.com/office/drawing/2014/main" id="{00000000-0008-0000-0800-000004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902200" y="2209800"/>
          <a:ext cx="8128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4902200</xdr:colOff>
      <xdr:row>19</xdr:row>
      <xdr:rowOff>0</xdr:rowOff>
    </xdr:from>
    <xdr:to>
      <xdr:col>1</xdr:col>
      <xdr:colOff>12700</xdr:colOff>
      <xdr:row>19</xdr:row>
      <xdr:rowOff>114300</xdr:rowOff>
    </xdr:to>
    <xdr:pic>
      <xdr:nvPicPr>
        <xdr:cNvPr id="5" name="CommandButton4">
          <a:extLst>
            <a:ext uri="{FF2B5EF4-FFF2-40B4-BE49-F238E27FC236}">
              <a16:creationId xmlns:a16="http://schemas.microsoft.com/office/drawing/2014/main" id="{00000000-0008-0000-0800-000005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902200" y="4559300"/>
          <a:ext cx="8001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4902200</xdr:colOff>
      <xdr:row>23</xdr:row>
      <xdr:rowOff>0</xdr:rowOff>
    </xdr:from>
    <xdr:to>
      <xdr:col>1</xdr:col>
      <xdr:colOff>12700</xdr:colOff>
      <xdr:row>23</xdr:row>
      <xdr:rowOff>114300</xdr:rowOff>
    </xdr:to>
    <xdr:pic>
      <xdr:nvPicPr>
        <xdr:cNvPr id="6" name="CommandButton5">
          <a:extLst>
            <a:ext uri="{FF2B5EF4-FFF2-40B4-BE49-F238E27FC236}">
              <a16:creationId xmlns:a16="http://schemas.microsoft.com/office/drawing/2014/main" id="{00000000-0008-0000-0800-000006000000}"/>
            </a:ext>
          </a:extLst>
        </xdr:cNvPr>
        <xdr:cNvPicPr preferRelativeResize="0">
          <a:picLocks noChangeArrowheads="1" noChangeShapeType="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902200" y="5359400"/>
          <a:ext cx="8001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4902200</xdr:colOff>
      <xdr:row>31</xdr:row>
      <xdr:rowOff>0</xdr:rowOff>
    </xdr:from>
    <xdr:to>
      <xdr:col>1</xdr:col>
      <xdr:colOff>12700</xdr:colOff>
      <xdr:row>31</xdr:row>
      <xdr:rowOff>114300</xdr:rowOff>
    </xdr:to>
    <xdr:pic>
      <xdr:nvPicPr>
        <xdr:cNvPr id="7" name="CommandButton6">
          <a:extLst>
            <a:ext uri="{FF2B5EF4-FFF2-40B4-BE49-F238E27FC236}">
              <a16:creationId xmlns:a16="http://schemas.microsoft.com/office/drawing/2014/main" id="{00000000-0008-0000-0800-000007000000}"/>
            </a:ext>
          </a:extLst>
        </xdr:cNvPr>
        <xdr:cNvPicPr preferRelativeResize="0">
          <a:picLocks noChangeArrowheads="1" noChangeShapeType="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902200" y="6959600"/>
          <a:ext cx="8001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4902200</xdr:colOff>
      <xdr:row>26</xdr:row>
      <xdr:rowOff>165100</xdr:rowOff>
    </xdr:from>
    <xdr:to>
      <xdr:col>1</xdr:col>
      <xdr:colOff>12700</xdr:colOff>
      <xdr:row>27</xdr:row>
      <xdr:rowOff>101600</xdr:rowOff>
    </xdr:to>
    <xdr:pic>
      <xdr:nvPicPr>
        <xdr:cNvPr id="8" name="CommandButton7">
          <a:extLst>
            <a:ext uri="{FF2B5EF4-FFF2-40B4-BE49-F238E27FC236}">
              <a16:creationId xmlns:a16="http://schemas.microsoft.com/office/drawing/2014/main" id="{00000000-0008-0000-0800-000008000000}"/>
            </a:ext>
          </a:extLst>
        </xdr:cNvPr>
        <xdr:cNvPicPr preferRelativeResize="0">
          <a:picLocks noChangeArrowheads="1" noChangeShapeType="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4902200" y="6146800"/>
          <a:ext cx="800100" cy="101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4902200</xdr:colOff>
      <xdr:row>35</xdr:row>
      <xdr:rowOff>0</xdr:rowOff>
    </xdr:from>
    <xdr:to>
      <xdr:col>1</xdr:col>
      <xdr:colOff>12700</xdr:colOff>
      <xdr:row>35</xdr:row>
      <xdr:rowOff>114300</xdr:rowOff>
    </xdr:to>
    <xdr:pic>
      <xdr:nvPicPr>
        <xdr:cNvPr id="9" name="CommandButton8">
          <a:extLst>
            <a:ext uri="{FF2B5EF4-FFF2-40B4-BE49-F238E27FC236}">
              <a16:creationId xmlns:a16="http://schemas.microsoft.com/office/drawing/2014/main" id="{00000000-0008-0000-0800-000009000000}"/>
            </a:ext>
          </a:extLst>
        </xdr:cNvPr>
        <xdr:cNvPicPr preferRelativeResize="0">
          <a:picLocks noChangeArrowheads="1" noChangeShapeType="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902200" y="7747000"/>
          <a:ext cx="8001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4902200</xdr:colOff>
      <xdr:row>36</xdr:row>
      <xdr:rowOff>0</xdr:rowOff>
    </xdr:from>
    <xdr:to>
      <xdr:col>1</xdr:col>
      <xdr:colOff>12700</xdr:colOff>
      <xdr:row>36</xdr:row>
      <xdr:rowOff>114300</xdr:rowOff>
    </xdr:to>
    <xdr:pic>
      <xdr:nvPicPr>
        <xdr:cNvPr id="10" name="CommandButton9">
          <a:extLst>
            <a:ext uri="{FF2B5EF4-FFF2-40B4-BE49-F238E27FC236}">
              <a16:creationId xmlns:a16="http://schemas.microsoft.com/office/drawing/2014/main" id="{00000000-0008-0000-0800-00000A000000}"/>
            </a:ext>
          </a:extLst>
        </xdr:cNvPr>
        <xdr:cNvPicPr preferRelativeResize="0">
          <a:picLocks noChangeArrowheads="1" noChangeShapeType="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902200" y="7924800"/>
          <a:ext cx="8001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4902200</xdr:colOff>
      <xdr:row>37</xdr:row>
      <xdr:rowOff>215900</xdr:rowOff>
    </xdr:from>
    <xdr:to>
      <xdr:col>1</xdr:col>
      <xdr:colOff>25400</xdr:colOff>
      <xdr:row>38</xdr:row>
      <xdr:rowOff>101600</xdr:rowOff>
    </xdr:to>
    <xdr:pic>
      <xdr:nvPicPr>
        <xdr:cNvPr id="11" name="CommandButton10">
          <a:extLst>
            <a:ext uri="{FF2B5EF4-FFF2-40B4-BE49-F238E27FC236}">
              <a16:creationId xmlns:a16="http://schemas.microsoft.com/office/drawing/2014/main" id="{00000000-0008-0000-0800-00000B000000}"/>
            </a:ext>
          </a:extLst>
        </xdr:cNvPr>
        <xdr:cNvPicPr preferRelativeResize="0">
          <a:picLocks noChangeArrowheads="1" noChangeShapeType="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902200" y="8318500"/>
          <a:ext cx="8128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5</xdr:col>
      <xdr:colOff>558800</xdr:colOff>
      <xdr:row>1</xdr:row>
      <xdr:rowOff>203200</xdr:rowOff>
    </xdr:from>
    <xdr:to>
      <xdr:col>6</xdr:col>
      <xdr:colOff>0</xdr:colOff>
      <xdr:row>2</xdr:row>
      <xdr:rowOff>101600</xdr:rowOff>
    </xdr:to>
    <xdr:pic>
      <xdr:nvPicPr>
        <xdr:cNvPr id="12" name="CommandButton11">
          <a:extLst>
            <a:ext uri="{FF2B5EF4-FFF2-40B4-BE49-F238E27FC236}">
              <a16:creationId xmlns:a16="http://schemas.microsoft.com/office/drawing/2014/main" id="{00000000-0008-0000-0800-00000C000000}"/>
            </a:ext>
          </a:extLst>
        </xdr:cNvPr>
        <xdr:cNvPicPr preferRelativeResize="0">
          <a:picLocks noChangeArrowheads="1" noChangeShapeType="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8839200" y="812800"/>
          <a:ext cx="177800" cy="101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5</xdr:col>
      <xdr:colOff>558800</xdr:colOff>
      <xdr:row>14</xdr:row>
      <xdr:rowOff>165100</xdr:rowOff>
    </xdr:from>
    <xdr:to>
      <xdr:col>6</xdr:col>
      <xdr:colOff>12700</xdr:colOff>
      <xdr:row>15</xdr:row>
      <xdr:rowOff>101600</xdr:rowOff>
    </xdr:to>
    <xdr:pic>
      <xdr:nvPicPr>
        <xdr:cNvPr id="13" name="CommandButton12">
          <a:extLst>
            <a:ext uri="{FF2B5EF4-FFF2-40B4-BE49-F238E27FC236}">
              <a16:creationId xmlns:a16="http://schemas.microsoft.com/office/drawing/2014/main" id="{00000000-0008-0000-0800-00000D000000}"/>
            </a:ext>
          </a:extLst>
        </xdr:cNvPr>
        <xdr:cNvPicPr preferRelativeResize="0">
          <a:picLocks noChangeArrowheads="1" noChangeShapeType="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839200" y="3594100"/>
          <a:ext cx="190500" cy="101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6</xdr:col>
      <xdr:colOff>2247900</xdr:colOff>
      <xdr:row>2</xdr:row>
      <xdr:rowOff>0</xdr:rowOff>
    </xdr:from>
    <xdr:to>
      <xdr:col>7</xdr:col>
      <xdr:colOff>0</xdr:colOff>
      <xdr:row>2</xdr:row>
      <xdr:rowOff>114300</xdr:rowOff>
    </xdr:to>
    <xdr:pic>
      <xdr:nvPicPr>
        <xdr:cNvPr id="14" name="CommandButton13">
          <a:extLst>
            <a:ext uri="{FF2B5EF4-FFF2-40B4-BE49-F238E27FC236}">
              <a16:creationId xmlns:a16="http://schemas.microsoft.com/office/drawing/2014/main" id="{00000000-0008-0000-0800-00000E000000}"/>
            </a:ext>
          </a:extLst>
        </xdr:cNvPr>
        <xdr:cNvPicPr preferRelativeResize="0">
          <a:picLocks noChangeArrowheads="1" noChangeShapeType="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1264900" y="812800"/>
          <a:ext cx="4318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6</xdr:col>
      <xdr:colOff>2260600</xdr:colOff>
      <xdr:row>14</xdr:row>
      <xdr:rowOff>165100</xdr:rowOff>
    </xdr:from>
    <xdr:to>
      <xdr:col>36</xdr:col>
      <xdr:colOff>12700</xdr:colOff>
      <xdr:row>15</xdr:row>
      <xdr:rowOff>101600</xdr:rowOff>
    </xdr:to>
    <xdr:pic>
      <xdr:nvPicPr>
        <xdr:cNvPr id="15" name="CommandButton14">
          <a:extLst>
            <a:ext uri="{FF2B5EF4-FFF2-40B4-BE49-F238E27FC236}">
              <a16:creationId xmlns:a16="http://schemas.microsoft.com/office/drawing/2014/main" id="{00000000-0008-0000-0800-00000F000000}"/>
            </a:ext>
          </a:extLst>
        </xdr:cNvPr>
        <xdr:cNvPicPr preferRelativeResize="0">
          <a:picLocks noChangeArrowheads="1" noChangeShapeType="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1277600" y="3594100"/>
          <a:ext cx="431800" cy="101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xdr:from>
      <xdr:col>8</xdr:col>
      <xdr:colOff>889000</xdr:colOff>
      <xdr:row>8</xdr:row>
      <xdr:rowOff>177800</xdr:rowOff>
    </xdr:from>
    <xdr:to>
      <xdr:col>9</xdr:col>
      <xdr:colOff>12700</xdr:colOff>
      <xdr:row>9</xdr:row>
      <xdr:rowOff>101600</xdr:rowOff>
    </xdr:to>
    <xdr:pic>
      <xdr:nvPicPr>
        <xdr:cNvPr id="16" name="CommandButton15">
          <a:extLst>
            <a:ext uri="{FF2B5EF4-FFF2-40B4-BE49-F238E27FC236}">
              <a16:creationId xmlns:a16="http://schemas.microsoft.com/office/drawing/2014/main" id="{00000000-0008-0000-0800-000010000000}"/>
            </a:ext>
          </a:extLst>
        </xdr:cNvPr>
        <xdr:cNvPicPr preferRelativeResize="0">
          <a:picLocks noChangeArrowheads="1" noChangeShapeType="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1696700" y="2387600"/>
          <a:ext cx="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xdr:from>
      <xdr:col>7</xdr:col>
      <xdr:colOff>889000</xdr:colOff>
      <xdr:row>8</xdr:row>
      <xdr:rowOff>177800</xdr:rowOff>
    </xdr:from>
    <xdr:to>
      <xdr:col>7</xdr:col>
      <xdr:colOff>977900</xdr:colOff>
      <xdr:row>9</xdr:row>
      <xdr:rowOff>101600</xdr:rowOff>
    </xdr:to>
    <xdr:pic>
      <xdr:nvPicPr>
        <xdr:cNvPr id="17" name="CommandButton16">
          <a:extLst>
            <a:ext uri="{FF2B5EF4-FFF2-40B4-BE49-F238E27FC236}">
              <a16:creationId xmlns:a16="http://schemas.microsoft.com/office/drawing/2014/main" id="{00000000-0008-0000-0800-000011000000}"/>
            </a:ext>
          </a:extLst>
        </xdr:cNvPr>
        <xdr:cNvPicPr preferRelativeResize="0">
          <a:picLocks noChangeArrowheads="1" noChangeShapeType="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1696700" y="2387600"/>
          <a:ext cx="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9525</xdr:rowOff>
    </xdr:from>
    <xdr:to>
      <xdr:col>0</xdr:col>
      <xdr:colOff>742950</xdr:colOff>
      <xdr:row>0</xdr:row>
      <xdr:rowOff>514350</xdr:rowOff>
    </xdr:to>
    <xdr:grpSp>
      <xdr:nvGrpSpPr>
        <xdr:cNvPr id="8353" name="Group 146">
          <a:extLst>
            <a:ext uri="{FF2B5EF4-FFF2-40B4-BE49-F238E27FC236}">
              <a16:creationId xmlns:a16="http://schemas.microsoft.com/office/drawing/2014/main" id="{00000000-0008-0000-0900-0000A1200000}"/>
            </a:ext>
          </a:extLst>
        </xdr:cNvPr>
        <xdr:cNvGrpSpPr>
          <a:grpSpLocks/>
        </xdr:cNvGrpSpPr>
      </xdr:nvGrpSpPr>
      <xdr:grpSpPr bwMode="auto">
        <a:xfrm>
          <a:off x="0" y="9525"/>
          <a:ext cx="742950" cy="504825"/>
          <a:chOff x="354" y="24"/>
          <a:chExt cx="164" cy="111"/>
        </a:xfrm>
      </xdr:grpSpPr>
      <xdr:sp macro="" textlink="">
        <xdr:nvSpPr>
          <xdr:cNvPr id="8354" name="Oval 147">
            <a:extLst>
              <a:ext uri="{FF2B5EF4-FFF2-40B4-BE49-F238E27FC236}">
                <a16:creationId xmlns:a16="http://schemas.microsoft.com/office/drawing/2014/main" id="{00000000-0008-0000-0900-0000A2200000}"/>
              </a:ext>
            </a:extLst>
          </xdr:cNvPr>
          <xdr:cNvSpPr>
            <a:spLocks noChangeArrowheads="1"/>
          </xdr:cNvSpPr>
        </xdr:nvSpPr>
        <xdr:spPr bwMode="auto">
          <a:xfrm>
            <a:off x="401" y="28"/>
            <a:ext cx="69" cy="69"/>
          </a:xfrm>
          <a:prstGeom prst="ellipse">
            <a:avLst/>
          </a:pr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sp>
      <xdr:pic>
        <xdr:nvPicPr>
          <xdr:cNvPr id="8355" name="Picture 148" descr="Logo LNEC">
            <a:extLst>
              <a:ext uri="{FF2B5EF4-FFF2-40B4-BE49-F238E27FC236}">
                <a16:creationId xmlns:a16="http://schemas.microsoft.com/office/drawing/2014/main" id="{00000000-0008-0000-0900-0000A320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54" y="24"/>
            <a:ext cx="164" cy="1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mc:AlternateContent xmlns:mc="http://schemas.openxmlformats.org/markup-compatibility/2006">
    <mc:Choice xmlns:a14="http://schemas.microsoft.com/office/drawing/2010/main" Requires="a14">
      <xdr:twoCellAnchor>
        <xdr:from>
          <xdr:col>4</xdr:col>
          <xdr:colOff>0</xdr:colOff>
          <xdr:row>29</xdr:row>
          <xdr:rowOff>0</xdr:rowOff>
        </xdr:from>
        <xdr:to>
          <xdr:col>6</xdr:col>
          <xdr:colOff>0</xdr:colOff>
          <xdr:row>30</xdr:row>
          <xdr:rowOff>85725</xdr:rowOff>
        </xdr:to>
        <xdr:sp macro="" textlink="">
          <xdr:nvSpPr>
            <xdr:cNvPr id="8198" name="Drop Down 6" hidden="1">
              <a:extLst>
                <a:ext uri="{63B3BB69-23CF-44E3-9099-C40C66FF867C}">
                  <a14:compatExt spid="_x0000_s8198"/>
                </a:ext>
                <a:ext uri="{FF2B5EF4-FFF2-40B4-BE49-F238E27FC236}">
                  <a16:creationId xmlns:a16="http://schemas.microsoft.com/office/drawing/2014/main" id="{00000000-0008-0000-0900-000006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6</xdr:col>
          <xdr:colOff>0</xdr:colOff>
          <xdr:row>30</xdr:row>
          <xdr:rowOff>85725</xdr:rowOff>
        </xdr:to>
        <xdr:sp macro="" textlink="">
          <xdr:nvSpPr>
            <xdr:cNvPr id="8199" name="Drop Down 7" hidden="1">
              <a:extLst>
                <a:ext uri="{63B3BB69-23CF-44E3-9099-C40C66FF867C}">
                  <a14:compatExt spid="_x0000_s8199"/>
                </a:ext>
                <a:ext uri="{FF2B5EF4-FFF2-40B4-BE49-F238E27FC236}">
                  <a16:creationId xmlns:a16="http://schemas.microsoft.com/office/drawing/2014/main" id="{00000000-0008-0000-0900-000007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6</xdr:col>
          <xdr:colOff>0</xdr:colOff>
          <xdr:row>30</xdr:row>
          <xdr:rowOff>85725</xdr:rowOff>
        </xdr:to>
        <xdr:sp macro="" textlink="">
          <xdr:nvSpPr>
            <xdr:cNvPr id="8201" name="Drop Down 9" hidden="1">
              <a:extLst>
                <a:ext uri="{63B3BB69-23CF-44E3-9099-C40C66FF867C}">
                  <a14:compatExt spid="_x0000_s8201"/>
                </a:ext>
                <a:ext uri="{FF2B5EF4-FFF2-40B4-BE49-F238E27FC236}">
                  <a16:creationId xmlns:a16="http://schemas.microsoft.com/office/drawing/2014/main" id="{00000000-0008-0000-0900-000009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6</xdr:col>
          <xdr:colOff>0</xdr:colOff>
          <xdr:row>30</xdr:row>
          <xdr:rowOff>85725</xdr:rowOff>
        </xdr:to>
        <xdr:sp macro="" textlink="">
          <xdr:nvSpPr>
            <xdr:cNvPr id="8202" name="Drop Down 10" hidden="1">
              <a:extLst>
                <a:ext uri="{63B3BB69-23CF-44E3-9099-C40C66FF867C}">
                  <a14:compatExt spid="_x0000_s8202"/>
                </a:ext>
                <a:ext uri="{FF2B5EF4-FFF2-40B4-BE49-F238E27FC236}">
                  <a16:creationId xmlns:a16="http://schemas.microsoft.com/office/drawing/2014/main" id="{00000000-0008-0000-0900-00000A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6</xdr:col>
          <xdr:colOff>0</xdr:colOff>
          <xdr:row>30</xdr:row>
          <xdr:rowOff>85725</xdr:rowOff>
        </xdr:to>
        <xdr:sp macro="" textlink="">
          <xdr:nvSpPr>
            <xdr:cNvPr id="8213" name="Drop Down 21" hidden="1">
              <a:extLst>
                <a:ext uri="{63B3BB69-23CF-44E3-9099-C40C66FF867C}">
                  <a14:compatExt spid="_x0000_s8213"/>
                </a:ext>
                <a:ext uri="{FF2B5EF4-FFF2-40B4-BE49-F238E27FC236}">
                  <a16:creationId xmlns:a16="http://schemas.microsoft.com/office/drawing/2014/main" id="{00000000-0008-0000-0900-000015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6</xdr:col>
          <xdr:colOff>0</xdr:colOff>
          <xdr:row>30</xdr:row>
          <xdr:rowOff>85725</xdr:rowOff>
        </xdr:to>
        <xdr:sp macro="" textlink="">
          <xdr:nvSpPr>
            <xdr:cNvPr id="8214" name="Drop Down 22" hidden="1">
              <a:extLst>
                <a:ext uri="{63B3BB69-23CF-44E3-9099-C40C66FF867C}">
                  <a14:compatExt spid="_x0000_s8214"/>
                </a:ext>
                <a:ext uri="{FF2B5EF4-FFF2-40B4-BE49-F238E27FC236}">
                  <a16:creationId xmlns:a16="http://schemas.microsoft.com/office/drawing/2014/main" id="{00000000-0008-0000-0900-000016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5168900</xdr:colOff>
      <xdr:row>2</xdr:row>
      <xdr:rowOff>0</xdr:rowOff>
    </xdr:from>
    <xdr:to>
      <xdr:col>1</xdr:col>
      <xdr:colOff>0</xdr:colOff>
      <xdr:row>2</xdr:row>
      <xdr:rowOff>114300</xdr:rowOff>
    </xdr:to>
    <xdr:sp macro="" textlink="">
      <xdr:nvSpPr>
        <xdr:cNvPr id="8332" name="CommandButton1" hidden="1">
          <a:extLst>
            <a:ext uri="{63B3BB69-23CF-44E3-9099-C40C66FF867C}">
              <a14:compatExt xmlns:a14="http://schemas.microsoft.com/office/drawing/2010/main" spid="_x0000_s8332"/>
            </a:ext>
            <a:ext uri="{FF2B5EF4-FFF2-40B4-BE49-F238E27FC236}">
              <a16:creationId xmlns:a16="http://schemas.microsoft.com/office/drawing/2014/main" id="{00000000-0008-0000-0900-00008C200000}"/>
            </a:ext>
          </a:extLst>
        </xdr:cNvPr>
        <xdr:cNvSpPr/>
      </xdr:nvSpPr>
      <xdr:spPr>
        <a:xfrm>
          <a:off x="0" y="0"/>
          <a:ext cx="0" cy="0"/>
        </a:xfrm>
        <a:prstGeom prst="rect">
          <a:avLst/>
        </a:prstGeom>
      </xdr:spPr>
    </xdr:sp>
    <xdr:clientData/>
  </xdr:twoCellAnchor>
  <xdr:twoCellAnchor editAs="oneCell">
    <xdr:from>
      <xdr:col>0</xdr:col>
      <xdr:colOff>5156200</xdr:colOff>
      <xdr:row>7</xdr:row>
      <xdr:rowOff>12700</xdr:rowOff>
    </xdr:from>
    <xdr:to>
      <xdr:col>0</xdr:col>
      <xdr:colOff>5245100</xdr:colOff>
      <xdr:row>7</xdr:row>
      <xdr:rowOff>127000</xdr:rowOff>
    </xdr:to>
    <xdr:sp macro="" textlink="">
      <xdr:nvSpPr>
        <xdr:cNvPr id="8333" name="CommandButton2" hidden="1">
          <a:extLst>
            <a:ext uri="{63B3BB69-23CF-44E3-9099-C40C66FF867C}">
              <a14:compatExt xmlns:a14="http://schemas.microsoft.com/office/drawing/2010/main" spid="_x0000_s8333"/>
            </a:ext>
            <a:ext uri="{FF2B5EF4-FFF2-40B4-BE49-F238E27FC236}">
              <a16:creationId xmlns:a16="http://schemas.microsoft.com/office/drawing/2014/main" id="{00000000-0008-0000-0900-00008D200000}"/>
            </a:ext>
          </a:extLst>
        </xdr:cNvPr>
        <xdr:cNvSpPr/>
      </xdr:nvSpPr>
      <xdr:spPr>
        <a:xfrm>
          <a:off x="0" y="0"/>
          <a:ext cx="0" cy="0"/>
        </a:xfrm>
        <a:prstGeom prst="rect">
          <a:avLst/>
        </a:prstGeom>
      </xdr:spPr>
    </xdr:sp>
    <xdr:clientData/>
  </xdr:twoCellAnchor>
  <xdr:twoCellAnchor editAs="oneCell">
    <xdr:from>
      <xdr:col>0</xdr:col>
      <xdr:colOff>5168900</xdr:colOff>
      <xdr:row>12</xdr:row>
      <xdr:rowOff>0</xdr:rowOff>
    </xdr:from>
    <xdr:to>
      <xdr:col>1</xdr:col>
      <xdr:colOff>12700</xdr:colOff>
      <xdr:row>12</xdr:row>
      <xdr:rowOff>114300</xdr:rowOff>
    </xdr:to>
    <xdr:sp macro="" textlink="">
      <xdr:nvSpPr>
        <xdr:cNvPr id="8334" name="CommandButton3" hidden="1">
          <a:extLst>
            <a:ext uri="{63B3BB69-23CF-44E3-9099-C40C66FF867C}">
              <a14:compatExt xmlns:a14="http://schemas.microsoft.com/office/drawing/2010/main" spid="_x0000_s8334"/>
            </a:ext>
            <a:ext uri="{FF2B5EF4-FFF2-40B4-BE49-F238E27FC236}">
              <a16:creationId xmlns:a16="http://schemas.microsoft.com/office/drawing/2014/main" id="{00000000-0008-0000-0900-00008E200000}"/>
            </a:ext>
          </a:extLst>
        </xdr:cNvPr>
        <xdr:cNvSpPr/>
      </xdr:nvSpPr>
      <xdr:spPr>
        <a:xfrm>
          <a:off x="0" y="0"/>
          <a:ext cx="0" cy="0"/>
        </a:xfrm>
        <a:prstGeom prst="rect">
          <a:avLst/>
        </a:prstGeom>
      </xdr:spPr>
    </xdr:sp>
    <xdr:clientData/>
  </xdr:twoCellAnchor>
  <xdr:twoCellAnchor editAs="oneCell">
    <xdr:from>
      <xdr:col>2</xdr:col>
      <xdr:colOff>241300</xdr:colOff>
      <xdr:row>4</xdr:row>
      <xdr:rowOff>190500</xdr:rowOff>
    </xdr:from>
    <xdr:to>
      <xdr:col>3</xdr:col>
      <xdr:colOff>25400</xdr:colOff>
      <xdr:row>5</xdr:row>
      <xdr:rowOff>101600</xdr:rowOff>
    </xdr:to>
    <xdr:sp macro="" textlink="">
      <xdr:nvSpPr>
        <xdr:cNvPr id="8335" name="CommandButton4" hidden="1">
          <a:extLst>
            <a:ext uri="{63B3BB69-23CF-44E3-9099-C40C66FF867C}">
              <a14:compatExt xmlns:a14="http://schemas.microsoft.com/office/drawing/2010/main" spid="_x0000_s8335"/>
            </a:ext>
            <a:ext uri="{FF2B5EF4-FFF2-40B4-BE49-F238E27FC236}">
              <a16:creationId xmlns:a16="http://schemas.microsoft.com/office/drawing/2014/main" id="{00000000-0008-0000-0900-00008F200000}"/>
            </a:ext>
          </a:extLst>
        </xdr:cNvPr>
        <xdr:cNvSpPr/>
      </xdr:nvSpPr>
      <xdr:spPr>
        <a:xfrm>
          <a:off x="0" y="0"/>
          <a:ext cx="0" cy="0"/>
        </a:xfrm>
        <a:prstGeom prst="rect">
          <a:avLst/>
        </a:prstGeom>
      </xdr:spPr>
    </xdr:sp>
    <xdr:clientData/>
  </xdr:twoCellAnchor>
  <xdr:twoCellAnchor editAs="oneCell">
    <xdr:from>
      <xdr:col>2</xdr:col>
      <xdr:colOff>241300</xdr:colOff>
      <xdr:row>5</xdr:row>
      <xdr:rowOff>177800</xdr:rowOff>
    </xdr:from>
    <xdr:to>
      <xdr:col>3</xdr:col>
      <xdr:colOff>25400</xdr:colOff>
      <xdr:row>6</xdr:row>
      <xdr:rowOff>101600</xdr:rowOff>
    </xdr:to>
    <xdr:sp macro="" textlink="">
      <xdr:nvSpPr>
        <xdr:cNvPr id="8336" name="CommandButton5" hidden="1">
          <a:extLst>
            <a:ext uri="{63B3BB69-23CF-44E3-9099-C40C66FF867C}">
              <a14:compatExt xmlns:a14="http://schemas.microsoft.com/office/drawing/2010/main" spid="_x0000_s8336"/>
            </a:ext>
            <a:ext uri="{FF2B5EF4-FFF2-40B4-BE49-F238E27FC236}">
              <a16:creationId xmlns:a16="http://schemas.microsoft.com/office/drawing/2014/main" id="{00000000-0008-0000-0900-000090200000}"/>
            </a:ext>
          </a:extLst>
        </xdr:cNvPr>
        <xdr:cNvSpPr/>
      </xdr:nvSpPr>
      <xdr:spPr>
        <a:xfrm>
          <a:off x="0" y="0"/>
          <a:ext cx="0" cy="0"/>
        </a:xfrm>
        <a:prstGeom prst="rect">
          <a:avLst/>
        </a:prstGeom>
      </xdr:spPr>
    </xdr:sp>
    <xdr:clientData/>
  </xdr:twoCellAnchor>
  <xdr:twoCellAnchor editAs="oneCell">
    <xdr:from>
      <xdr:col>8</xdr:col>
      <xdr:colOff>2336800</xdr:colOff>
      <xdr:row>0</xdr:row>
      <xdr:rowOff>469900</xdr:rowOff>
    </xdr:from>
    <xdr:to>
      <xdr:col>36</xdr:col>
      <xdr:colOff>12700</xdr:colOff>
      <xdr:row>1</xdr:row>
      <xdr:rowOff>63500</xdr:rowOff>
    </xdr:to>
    <xdr:sp macro="" textlink="">
      <xdr:nvSpPr>
        <xdr:cNvPr id="8337" name="CommandButton6" hidden="1">
          <a:extLst>
            <a:ext uri="{63B3BB69-23CF-44E3-9099-C40C66FF867C}">
              <a14:compatExt xmlns:a14="http://schemas.microsoft.com/office/drawing/2010/main" spid="_x0000_s8337"/>
            </a:ext>
            <a:ext uri="{FF2B5EF4-FFF2-40B4-BE49-F238E27FC236}">
              <a16:creationId xmlns:a16="http://schemas.microsoft.com/office/drawing/2014/main" id="{00000000-0008-0000-0900-000091200000}"/>
            </a:ext>
          </a:extLst>
        </xdr:cNvPr>
        <xdr:cNvSpPr/>
      </xdr:nvSpPr>
      <xdr:spPr>
        <a:xfrm>
          <a:off x="0" y="0"/>
          <a:ext cx="0" cy="0"/>
        </a:xfrm>
        <a:prstGeom prst="rect">
          <a:avLst/>
        </a:prstGeom>
      </xdr:spPr>
    </xdr:sp>
    <xdr:clientData/>
  </xdr:twoCellAnchor>
  <xdr:twoCellAnchor editAs="oneCell">
    <xdr:from>
      <xdr:col>0</xdr:col>
      <xdr:colOff>5168900</xdr:colOff>
      <xdr:row>2</xdr:row>
      <xdr:rowOff>0</xdr:rowOff>
    </xdr:from>
    <xdr:to>
      <xdr:col>1</xdr:col>
      <xdr:colOff>0</xdr:colOff>
      <xdr:row>2</xdr:row>
      <xdr:rowOff>114300</xdr:rowOff>
    </xdr:to>
    <xdr:pic>
      <xdr:nvPicPr>
        <xdr:cNvPr id="2" name="CommandButton1">
          <a:extLst>
            <a:ext uri="{FF2B5EF4-FFF2-40B4-BE49-F238E27FC236}">
              <a16:creationId xmlns:a16="http://schemas.microsoft.com/office/drawing/2014/main" id="{00000000-0008-0000-09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68900" y="825500"/>
          <a:ext cx="8382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5156200</xdr:colOff>
      <xdr:row>7</xdr:row>
      <xdr:rowOff>12700</xdr:rowOff>
    </xdr:from>
    <xdr:to>
      <xdr:col>0</xdr:col>
      <xdr:colOff>5245100</xdr:colOff>
      <xdr:row>7</xdr:row>
      <xdr:rowOff>127000</xdr:rowOff>
    </xdr:to>
    <xdr:pic>
      <xdr:nvPicPr>
        <xdr:cNvPr id="3" name="CommandButton2">
          <a:extLst>
            <a:ext uri="{FF2B5EF4-FFF2-40B4-BE49-F238E27FC236}">
              <a16:creationId xmlns:a16="http://schemas.microsoft.com/office/drawing/2014/main" id="{00000000-0008-0000-09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56200" y="1879600"/>
          <a:ext cx="889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5168900</xdr:colOff>
      <xdr:row>12</xdr:row>
      <xdr:rowOff>0</xdr:rowOff>
    </xdr:from>
    <xdr:to>
      <xdr:col>1</xdr:col>
      <xdr:colOff>12700</xdr:colOff>
      <xdr:row>12</xdr:row>
      <xdr:rowOff>114300</xdr:rowOff>
    </xdr:to>
    <xdr:pic>
      <xdr:nvPicPr>
        <xdr:cNvPr id="4" name="CommandButton3">
          <a:extLst>
            <a:ext uri="{FF2B5EF4-FFF2-40B4-BE49-F238E27FC236}">
              <a16:creationId xmlns:a16="http://schemas.microsoft.com/office/drawing/2014/main" id="{00000000-0008-0000-0900-000004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168900" y="2819400"/>
          <a:ext cx="8509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241300</xdr:colOff>
      <xdr:row>4</xdr:row>
      <xdr:rowOff>190500</xdr:rowOff>
    </xdr:from>
    <xdr:to>
      <xdr:col>3</xdr:col>
      <xdr:colOff>25400</xdr:colOff>
      <xdr:row>5</xdr:row>
      <xdr:rowOff>101600</xdr:rowOff>
    </xdr:to>
    <xdr:pic>
      <xdr:nvPicPr>
        <xdr:cNvPr id="5" name="CommandButton4">
          <a:extLst>
            <a:ext uri="{FF2B5EF4-FFF2-40B4-BE49-F238E27FC236}">
              <a16:creationId xmlns:a16="http://schemas.microsoft.com/office/drawing/2014/main" id="{00000000-0008-0000-0900-000005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896100" y="1511300"/>
          <a:ext cx="139700" cy="101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241300</xdr:colOff>
      <xdr:row>5</xdr:row>
      <xdr:rowOff>177800</xdr:rowOff>
    </xdr:from>
    <xdr:to>
      <xdr:col>3</xdr:col>
      <xdr:colOff>25400</xdr:colOff>
      <xdr:row>6</xdr:row>
      <xdr:rowOff>101600</xdr:rowOff>
    </xdr:to>
    <xdr:pic>
      <xdr:nvPicPr>
        <xdr:cNvPr id="6" name="CommandButton5">
          <a:extLst>
            <a:ext uri="{FF2B5EF4-FFF2-40B4-BE49-F238E27FC236}">
              <a16:creationId xmlns:a16="http://schemas.microsoft.com/office/drawing/2014/main" id="{00000000-0008-0000-0900-000006000000}"/>
            </a:ext>
          </a:extLst>
        </xdr:cNvPr>
        <xdr:cNvPicPr preferRelativeResize="0">
          <a:picLocks noChangeArrowheads="1" noChangeShapeType="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896100" y="1689100"/>
          <a:ext cx="139700" cy="101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8</xdr:col>
      <xdr:colOff>2336800</xdr:colOff>
      <xdr:row>0</xdr:row>
      <xdr:rowOff>469900</xdr:rowOff>
    </xdr:from>
    <xdr:to>
      <xdr:col>36</xdr:col>
      <xdr:colOff>12700</xdr:colOff>
      <xdr:row>1</xdr:row>
      <xdr:rowOff>63500</xdr:rowOff>
    </xdr:to>
    <xdr:pic>
      <xdr:nvPicPr>
        <xdr:cNvPr id="7" name="CommandButton6">
          <a:extLst>
            <a:ext uri="{FF2B5EF4-FFF2-40B4-BE49-F238E27FC236}">
              <a16:creationId xmlns:a16="http://schemas.microsoft.com/office/drawing/2014/main" id="{00000000-0008-0000-0900-000007000000}"/>
            </a:ext>
          </a:extLst>
        </xdr:cNvPr>
        <xdr:cNvPicPr preferRelativeResize="0">
          <a:picLocks noChangeArrowheads="1" noChangeShapeType="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2674600" y="469900"/>
          <a:ext cx="4445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9525</xdr:colOff>
      <xdr:row>0</xdr:row>
      <xdr:rowOff>9525</xdr:rowOff>
    </xdr:from>
    <xdr:to>
      <xdr:col>0</xdr:col>
      <xdr:colOff>838200</xdr:colOff>
      <xdr:row>1</xdr:row>
      <xdr:rowOff>0</xdr:rowOff>
    </xdr:to>
    <xdr:grpSp>
      <xdr:nvGrpSpPr>
        <xdr:cNvPr id="7239" name="Group 60">
          <a:extLst>
            <a:ext uri="{FF2B5EF4-FFF2-40B4-BE49-F238E27FC236}">
              <a16:creationId xmlns:a16="http://schemas.microsoft.com/office/drawing/2014/main" id="{00000000-0008-0000-0A00-0000471C0000}"/>
            </a:ext>
          </a:extLst>
        </xdr:cNvPr>
        <xdr:cNvGrpSpPr>
          <a:grpSpLocks/>
        </xdr:cNvGrpSpPr>
      </xdr:nvGrpSpPr>
      <xdr:grpSpPr bwMode="auto">
        <a:xfrm>
          <a:off x="9525" y="9525"/>
          <a:ext cx="828675" cy="561975"/>
          <a:chOff x="354" y="24"/>
          <a:chExt cx="164" cy="111"/>
        </a:xfrm>
      </xdr:grpSpPr>
      <xdr:sp macro="" textlink="">
        <xdr:nvSpPr>
          <xdr:cNvPr id="7240" name="Oval 61">
            <a:extLst>
              <a:ext uri="{FF2B5EF4-FFF2-40B4-BE49-F238E27FC236}">
                <a16:creationId xmlns:a16="http://schemas.microsoft.com/office/drawing/2014/main" id="{00000000-0008-0000-0A00-0000481C0000}"/>
              </a:ext>
            </a:extLst>
          </xdr:cNvPr>
          <xdr:cNvSpPr>
            <a:spLocks noChangeArrowheads="1"/>
          </xdr:cNvSpPr>
        </xdr:nvSpPr>
        <xdr:spPr bwMode="auto">
          <a:xfrm>
            <a:off x="401" y="28"/>
            <a:ext cx="69" cy="69"/>
          </a:xfrm>
          <a:prstGeom prst="ellipse">
            <a:avLst/>
          </a:pr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sp>
      <xdr:pic>
        <xdr:nvPicPr>
          <xdr:cNvPr id="7241" name="Picture 62" descr="Logo LNEC">
            <a:extLst>
              <a:ext uri="{FF2B5EF4-FFF2-40B4-BE49-F238E27FC236}">
                <a16:creationId xmlns:a16="http://schemas.microsoft.com/office/drawing/2014/main" id="{00000000-0008-0000-0A00-0000491C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54" y="24"/>
            <a:ext cx="164" cy="1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mc:AlternateContent xmlns:mc="http://schemas.openxmlformats.org/markup-compatibility/2006">
    <mc:Choice xmlns:a14="http://schemas.microsoft.com/office/drawing/2010/main" Requires="a14">
      <xdr:twoCellAnchor>
        <xdr:from>
          <xdr:col>2</xdr:col>
          <xdr:colOff>0</xdr:colOff>
          <xdr:row>20</xdr:row>
          <xdr:rowOff>0</xdr:rowOff>
        </xdr:from>
        <xdr:to>
          <xdr:col>2</xdr:col>
          <xdr:colOff>0</xdr:colOff>
          <xdr:row>20</xdr:row>
          <xdr:rowOff>0</xdr:rowOff>
        </xdr:to>
        <xdr:sp macro="" textlink="">
          <xdr:nvSpPr>
            <xdr:cNvPr id="7171" name="Drop Down 3" hidden="1">
              <a:extLst>
                <a:ext uri="{63B3BB69-23CF-44E3-9099-C40C66FF867C}">
                  <a14:compatExt spid="_x0000_s7171"/>
                </a:ext>
                <a:ext uri="{FF2B5EF4-FFF2-40B4-BE49-F238E27FC236}">
                  <a16:creationId xmlns:a16="http://schemas.microsoft.com/office/drawing/2014/main" id="{00000000-0008-0000-0A00-000003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20</xdr:row>
          <xdr:rowOff>0</xdr:rowOff>
        </xdr:from>
        <xdr:to>
          <xdr:col>2</xdr:col>
          <xdr:colOff>0</xdr:colOff>
          <xdr:row>20</xdr:row>
          <xdr:rowOff>0</xdr:rowOff>
        </xdr:to>
        <xdr:sp macro="" textlink="">
          <xdr:nvSpPr>
            <xdr:cNvPr id="7174" name="Drop Down 6" hidden="1">
              <a:extLst>
                <a:ext uri="{63B3BB69-23CF-44E3-9099-C40C66FF867C}">
                  <a14:compatExt spid="_x0000_s7174"/>
                </a:ext>
                <a:ext uri="{FF2B5EF4-FFF2-40B4-BE49-F238E27FC236}">
                  <a16:creationId xmlns:a16="http://schemas.microsoft.com/office/drawing/2014/main" id="{00000000-0008-0000-0A00-000006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20</xdr:row>
          <xdr:rowOff>0</xdr:rowOff>
        </xdr:from>
        <xdr:to>
          <xdr:col>2</xdr:col>
          <xdr:colOff>0</xdr:colOff>
          <xdr:row>20</xdr:row>
          <xdr:rowOff>0</xdr:rowOff>
        </xdr:to>
        <xdr:sp macro="" textlink="">
          <xdr:nvSpPr>
            <xdr:cNvPr id="7176" name="Drop Down 8" hidden="1">
              <a:extLst>
                <a:ext uri="{63B3BB69-23CF-44E3-9099-C40C66FF867C}">
                  <a14:compatExt spid="_x0000_s7176"/>
                </a:ext>
                <a:ext uri="{FF2B5EF4-FFF2-40B4-BE49-F238E27FC236}">
                  <a16:creationId xmlns:a16="http://schemas.microsoft.com/office/drawing/2014/main" id="{00000000-0008-0000-0A00-000008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6</xdr:col>
      <xdr:colOff>2349500</xdr:colOff>
      <xdr:row>3</xdr:row>
      <xdr:rowOff>0</xdr:rowOff>
    </xdr:from>
    <xdr:to>
      <xdr:col>36</xdr:col>
      <xdr:colOff>12700</xdr:colOff>
      <xdr:row>3</xdr:row>
      <xdr:rowOff>114300</xdr:rowOff>
    </xdr:to>
    <xdr:sp macro="" textlink="">
      <xdr:nvSpPr>
        <xdr:cNvPr id="7227" name="CommandButton1" hidden="1">
          <a:extLst>
            <a:ext uri="{63B3BB69-23CF-44E3-9099-C40C66FF867C}">
              <a14:compatExt xmlns:a14="http://schemas.microsoft.com/office/drawing/2010/main" spid="_x0000_s7227"/>
            </a:ext>
            <a:ext uri="{FF2B5EF4-FFF2-40B4-BE49-F238E27FC236}">
              <a16:creationId xmlns:a16="http://schemas.microsoft.com/office/drawing/2014/main" id="{00000000-0008-0000-0A00-00003B1C0000}"/>
            </a:ext>
          </a:extLst>
        </xdr:cNvPr>
        <xdr:cNvSpPr/>
      </xdr:nvSpPr>
      <xdr:spPr>
        <a:xfrm>
          <a:off x="0" y="0"/>
          <a:ext cx="0" cy="0"/>
        </a:xfrm>
        <a:prstGeom prst="rect">
          <a:avLst/>
        </a:prstGeom>
      </xdr:spPr>
    </xdr:sp>
    <xdr:clientData/>
  </xdr:twoCellAnchor>
  <xdr:twoCellAnchor editAs="oneCell">
    <xdr:from>
      <xdr:col>6</xdr:col>
      <xdr:colOff>2349500</xdr:colOff>
      <xdr:row>3</xdr:row>
      <xdr:rowOff>0</xdr:rowOff>
    </xdr:from>
    <xdr:to>
      <xdr:col>36</xdr:col>
      <xdr:colOff>12700</xdr:colOff>
      <xdr:row>3</xdr:row>
      <xdr:rowOff>114300</xdr:rowOff>
    </xdr:to>
    <xdr:pic>
      <xdr:nvPicPr>
        <xdr:cNvPr id="2" name="CommandButton1">
          <a:extLst>
            <a:ext uri="{FF2B5EF4-FFF2-40B4-BE49-F238E27FC236}">
              <a16:creationId xmlns:a16="http://schemas.microsoft.com/office/drawing/2014/main" id="{00000000-0008-0000-0A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379200" y="1828800"/>
          <a:ext cx="4445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xdr:colOff>
      <xdr:row>0</xdr:row>
      <xdr:rowOff>9525</xdr:rowOff>
    </xdr:from>
    <xdr:to>
      <xdr:col>0</xdr:col>
      <xdr:colOff>800100</xdr:colOff>
      <xdr:row>0</xdr:row>
      <xdr:rowOff>542925</xdr:rowOff>
    </xdr:to>
    <xdr:grpSp>
      <xdr:nvGrpSpPr>
        <xdr:cNvPr id="4130" name="Group 23">
          <a:extLst>
            <a:ext uri="{FF2B5EF4-FFF2-40B4-BE49-F238E27FC236}">
              <a16:creationId xmlns:a16="http://schemas.microsoft.com/office/drawing/2014/main" id="{00000000-0008-0000-0B00-000022100000}"/>
            </a:ext>
          </a:extLst>
        </xdr:cNvPr>
        <xdr:cNvGrpSpPr>
          <a:grpSpLocks/>
        </xdr:cNvGrpSpPr>
      </xdr:nvGrpSpPr>
      <xdr:grpSpPr bwMode="auto">
        <a:xfrm>
          <a:off x="9525" y="9525"/>
          <a:ext cx="790575" cy="533400"/>
          <a:chOff x="354" y="24"/>
          <a:chExt cx="164" cy="111"/>
        </a:xfrm>
      </xdr:grpSpPr>
      <xdr:sp macro="" textlink="">
        <xdr:nvSpPr>
          <xdr:cNvPr id="4131" name="Oval 24">
            <a:extLst>
              <a:ext uri="{FF2B5EF4-FFF2-40B4-BE49-F238E27FC236}">
                <a16:creationId xmlns:a16="http://schemas.microsoft.com/office/drawing/2014/main" id="{00000000-0008-0000-0B00-000023100000}"/>
              </a:ext>
            </a:extLst>
          </xdr:cNvPr>
          <xdr:cNvSpPr>
            <a:spLocks noChangeArrowheads="1"/>
          </xdr:cNvSpPr>
        </xdr:nvSpPr>
        <xdr:spPr bwMode="auto">
          <a:xfrm>
            <a:off x="401" y="28"/>
            <a:ext cx="69" cy="69"/>
          </a:xfrm>
          <a:prstGeom prst="ellipse">
            <a:avLst/>
          </a:pr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sp>
      <xdr:pic>
        <xdr:nvPicPr>
          <xdr:cNvPr id="4132" name="Picture 25" descr="Logo LNEC">
            <a:extLst>
              <a:ext uri="{FF2B5EF4-FFF2-40B4-BE49-F238E27FC236}">
                <a16:creationId xmlns:a16="http://schemas.microsoft.com/office/drawing/2014/main" id="{00000000-0008-0000-0B00-00002410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54" y="24"/>
            <a:ext cx="164" cy="1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mc:AlternateContent xmlns:mc="http://schemas.openxmlformats.org/markup-compatibility/2006">
    <mc:Choice xmlns:a14="http://schemas.microsoft.com/office/drawing/2010/main" Requires="a14">
      <xdr:twoCellAnchor editAs="oneCell">
        <xdr:from>
          <xdr:col>0</xdr:col>
          <xdr:colOff>561975</xdr:colOff>
          <xdr:row>15</xdr:row>
          <xdr:rowOff>0</xdr:rowOff>
        </xdr:from>
        <xdr:to>
          <xdr:col>1</xdr:col>
          <xdr:colOff>9525</xdr:colOff>
          <xdr:row>16</xdr:row>
          <xdr:rowOff>66675</xdr:rowOff>
        </xdr:to>
        <xdr:sp macro="" textlink="">
          <xdr:nvSpPr>
            <xdr:cNvPr id="4097" name="Option Button 1" hidden="1">
              <a:extLst>
                <a:ext uri="{63B3BB69-23CF-44E3-9099-C40C66FF867C}">
                  <a14:compatExt spid="_x0000_s4097"/>
                </a:ext>
                <a:ext uri="{FF2B5EF4-FFF2-40B4-BE49-F238E27FC236}">
                  <a16:creationId xmlns:a16="http://schemas.microsoft.com/office/drawing/2014/main" id="{00000000-0008-0000-0B00-000001100000}"/>
                </a:ext>
              </a:extLst>
            </xdr:cNvPr>
            <xdr:cNvSpPr/>
          </xdr:nvSpPr>
          <xdr:spPr bwMode="auto">
            <a:xfrm>
              <a:off x="0" y="0"/>
              <a:ext cx="0" cy="0"/>
            </a:xfrm>
            <a:prstGeom prst="rect">
              <a:avLst/>
            </a:prstGeom>
            <a:solidFill>
              <a:srgbClr val="CCFFFF" mc:Ignorable="a14" a14:legacySpreadsheetColorIndex="41"/>
            </a:solidFill>
            <a:ln>
              <a:noFill/>
            </a:ln>
            <a:extLs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561975</xdr:colOff>
          <xdr:row>16</xdr:row>
          <xdr:rowOff>104775</xdr:rowOff>
        </xdr:from>
        <xdr:to>
          <xdr:col>0</xdr:col>
          <xdr:colOff>866775</xdr:colOff>
          <xdr:row>18</xdr:row>
          <xdr:rowOff>66675</xdr:rowOff>
        </xdr:to>
        <xdr:sp macro="" textlink="">
          <xdr:nvSpPr>
            <xdr:cNvPr id="4098" name="Option Button 2" hidden="1">
              <a:extLst>
                <a:ext uri="{63B3BB69-23CF-44E3-9099-C40C66FF867C}">
                  <a14:compatExt spid="_x0000_s4098"/>
                </a:ext>
                <a:ext uri="{FF2B5EF4-FFF2-40B4-BE49-F238E27FC236}">
                  <a16:creationId xmlns:a16="http://schemas.microsoft.com/office/drawing/2014/main" id="{00000000-0008-0000-0B00-000002100000}"/>
                </a:ext>
              </a:extLst>
            </xdr:cNvPr>
            <xdr:cNvSpPr/>
          </xdr:nvSpPr>
          <xdr:spPr bwMode="auto">
            <a:xfrm>
              <a:off x="0" y="0"/>
              <a:ext cx="0" cy="0"/>
            </a:xfrm>
            <a:prstGeom prst="rect">
              <a:avLst/>
            </a:prstGeom>
            <a:solidFill>
              <a:srgbClr val="CCFFFF"/>
            </a:solidFill>
            <a:ln>
              <a:noFill/>
            </a:ln>
            <a:extLs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 </a:t>
              </a:r>
            </a:p>
          </xdr:txBody>
        </xdr:sp>
        <xdr:clientData/>
      </xdr:twoCellAnchor>
    </mc:Choice>
    <mc:Fallback/>
  </mc:AlternateContent>
  <xdr:twoCellAnchor editAs="oneCell">
    <xdr:from>
      <xdr:col>1</xdr:col>
      <xdr:colOff>5321300</xdr:colOff>
      <xdr:row>3</xdr:row>
      <xdr:rowOff>330200</xdr:rowOff>
    </xdr:from>
    <xdr:to>
      <xdr:col>2</xdr:col>
      <xdr:colOff>12700</xdr:colOff>
      <xdr:row>4</xdr:row>
      <xdr:rowOff>101600</xdr:rowOff>
    </xdr:to>
    <xdr:sp macro="" textlink="">
      <xdr:nvSpPr>
        <xdr:cNvPr id="4115" name="CommandButton1" hidden="1">
          <a:extLst>
            <a:ext uri="{63B3BB69-23CF-44E3-9099-C40C66FF867C}">
              <a14:compatExt xmlns:a14="http://schemas.microsoft.com/office/drawing/2010/main" spid="_x0000_s4115"/>
            </a:ext>
            <a:ext uri="{FF2B5EF4-FFF2-40B4-BE49-F238E27FC236}">
              <a16:creationId xmlns:a16="http://schemas.microsoft.com/office/drawing/2014/main" id="{00000000-0008-0000-0B00-000013100000}"/>
            </a:ext>
          </a:extLst>
        </xdr:cNvPr>
        <xdr:cNvSpPr/>
      </xdr:nvSpPr>
      <xdr:spPr>
        <a:xfrm>
          <a:off x="0" y="0"/>
          <a:ext cx="0" cy="0"/>
        </a:xfrm>
        <a:prstGeom prst="rect">
          <a:avLst/>
        </a:prstGeom>
      </xdr:spPr>
    </xdr:sp>
    <xdr:clientData/>
  </xdr:twoCellAnchor>
  <xdr:twoCellAnchor editAs="oneCell">
    <xdr:from>
      <xdr:col>4</xdr:col>
      <xdr:colOff>165100</xdr:colOff>
      <xdr:row>10</xdr:row>
      <xdr:rowOff>482600</xdr:rowOff>
    </xdr:from>
    <xdr:to>
      <xdr:col>5</xdr:col>
      <xdr:colOff>38100</xdr:colOff>
      <xdr:row>11</xdr:row>
      <xdr:rowOff>101600</xdr:rowOff>
    </xdr:to>
    <xdr:sp macro="" textlink="">
      <xdr:nvSpPr>
        <xdr:cNvPr id="4116" name="CommandButton2" hidden="1">
          <a:extLst>
            <a:ext uri="{63B3BB69-23CF-44E3-9099-C40C66FF867C}">
              <a14:compatExt xmlns:a14="http://schemas.microsoft.com/office/drawing/2010/main" spid="_x0000_s4116"/>
            </a:ext>
            <a:ext uri="{FF2B5EF4-FFF2-40B4-BE49-F238E27FC236}">
              <a16:creationId xmlns:a16="http://schemas.microsoft.com/office/drawing/2014/main" id="{00000000-0008-0000-0B00-000014100000}"/>
            </a:ext>
          </a:extLst>
        </xdr:cNvPr>
        <xdr:cNvSpPr/>
      </xdr:nvSpPr>
      <xdr:spPr>
        <a:xfrm>
          <a:off x="0" y="0"/>
          <a:ext cx="0" cy="0"/>
        </a:xfrm>
        <a:prstGeom prst="rect">
          <a:avLst/>
        </a:prstGeom>
      </xdr:spPr>
    </xdr:sp>
    <xdr:clientData/>
  </xdr:twoCellAnchor>
  <xdr:twoCellAnchor editAs="oneCell">
    <xdr:from>
      <xdr:col>9</xdr:col>
      <xdr:colOff>939800</xdr:colOff>
      <xdr:row>3</xdr:row>
      <xdr:rowOff>330200</xdr:rowOff>
    </xdr:from>
    <xdr:to>
      <xdr:col>10</xdr:col>
      <xdr:colOff>25400</xdr:colOff>
      <xdr:row>4</xdr:row>
      <xdr:rowOff>101600</xdr:rowOff>
    </xdr:to>
    <xdr:sp macro="" textlink="">
      <xdr:nvSpPr>
        <xdr:cNvPr id="4117" name="CommandButton3" hidden="1">
          <a:extLst>
            <a:ext uri="{63B3BB69-23CF-44E3-9099-C40C66FF867C}">
              <a14:compatExt xmlns:a14="http://schemas.microsoft.com/office/drawing/2010/main" spid="_x0000_s4117"/>
            </a:ext>
            <a:ext uri="{FF2B5EF4-FFF2-40B4-BE49-F238E27FC236}">
              <a16:creationId xmlns:a16="http://schemas.microsoft.com/office/drawing/2014/main" id="{00000000-0008-0000-0B00-000015100000}"/>
            </a:ext>
          </a:extLst>
        </xdr:cNvPr>
        <xdr:cNvSpPr/>
      </xdr:nvSpPr>
      <xdr:spPr>
        <a:xfrm>
          <a:off x="0" y="0"/>
          <a:ext cx="0" cy="0"/>
        </a:xfrm>
        <a:prstGeom prst="rect">
          <a:avLst/>
        </a:prstGeom>
      </xdr:spPr>
    </xdr:sp>
    <xdr:clientData/>
  </xdr:twoCellAnchor>
  <xdr:twoCellAnchor editAs="oneCell">
    <xdr:from>
      <xdr:col>7</xdr:col>
      <xdr:colOff>1206500</xdr:colOff>
      <xdr:row>3</xdr:row>
      <xdr:rowOff>330200</xdr:rowOff>
    </xdr:from>
    <xdr:to>
      <xdr:col>8</xdr:col>
      <xdr:colOff>12700</xdr:colOff>
      <xdr:row>4</xdr:row>
      <xdr:rowOff>101600</xdr:rowOff>
    </xdr:to>
    <xdr:sp macro="" textlink="">
      <xdr:nvSpPr>
        <xdr:cNvPr id="4118" name="CommandButton4" hidden="1">
          <a:extLst>
            <a:ext uri="{63B3BB69-23CF-44E3-9099-C40C66FF867C}">
              <a14:compatExt xmlns:a14="http://schemas.microsoft.com/office/drawing/2010/main" spid="_x0000_s4118"/>
            </a:ext>
            <a:ext uri="{FF2B5EF4-FFF2-40B4-BE49-F238E27FC236}">
              <a16:creationId xmlns:a16="http://schemas.microsoft.com/office/drawing/2014/main" id="{00000000-0008-0000-0B00-000016100000}"/>
            </a:ext>
          </a:extLst>
        </xdr:cNvPr>
        <xdr:cNvSpPr/>
      </xdr:nvSpPr>
      <xdr:spPr>
        <a:xfrm>
          <a:off x="0" y="0"/>
          <a:ext cx="0" cy="0"/>
        </a:xfrm>
        <a:prstGeom prst="rect">
          <a:avLst/>
        </a:prstGeom>
      </xdr:spPr>
    </xdr:sp>
    <xdr:clientData/>
  </xdr:twoCellAnchor>
  <mc:AlternateContent xmlns:mc="http://schemas.openxmlformats.org/markup-compatibility/2006">
    <mc:Choice xmlns:a14="http://schemas.microsoft.com/office/drawing/2010/main" Requires="a14">
      <xdr:twoCellAnchor editAs="oneCell">
        <xdr:from>
          <xdr:col>12</xdr:col>
          <xdr:colOff>0</xdr:colOff>
          <xdr:row>15</xdr:row>
          <xdr:rowOff>47625</xdr:rowOff>
        </xdr:from>
        <xdr:to>
          <xdr:col>45</xdr:col>
          <xdr:colOff>66675</xdr:colOff>
          <xdr:row>16</xdr:row>
          <xdr:rowOff>104775</xdr:rowOff>
        </xdr:to>
        <xdr:sp macro="" textlink="">
          <xdr:nvSpPr>
            <xdr:cNvPr id="4122" name="Option Button 26" hidden="1">
              <a:extLst>
                <a:ext uri="{63B3BB69-23CF-44E3-9099-C40C66FF867C}">
                  <a14:compatExt spid="_x0000_s4122"/>
                </a:ext>
                <a:ext uri="{FF2B5EF4-FFF2-40B4-BE49-F238E27FC236}">
                  <a16:creationId xmlns:a16="http://schemas.microsoft.com/office/drawing/2014/main" id="{00000000-0008-0000-0B00-00001A100000}"/>
                </a:ext>
              </a:extLst>
            </xdr:cNvPr>
            <xdr:cNvSpPr/>
          </xdr:nvSpPr>
          <xdr:spPr bwMode="auto">
            <a:xfrm>
              <a:off x="0" y="0"/>
              <a:ext cx="0" cy="0"/>
            </a:xfrm>
            <a:prstGeom prst="rect">
              <a:avLst/>
            </a:prstGeom>
            <a:solidFill>
              <a:srgbClr val="CCFFFF" mc:Ignorable="a14" a14:legacySpreadsheetColorIndex="41"/>
            </a:solidFill>
            <a:ln>
              <a:noFill/>
            </a:ln>
            <a:extLs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Propagação de erros baseada em médias aritméticas = soma erros parcelares</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16</xdr:row>
          <xdr:rowOff>85725</xdr:rowOff>
        </xdr:from>
        <xdr:to>
          <xdr:col>45</xdr:col>
          <xdr:colOff>66675</xdr:colOff>
          <xdr:row>17</xdr:row>
          <xdr:rowOff>142875</xdr:rowOff>
        </xdr:to>
        <xdr:sp macro="" textlink="">
          <xdr:nvSpPr>
            <xdr:cNvPr id="4123" name="Option Button 27" hidden="1">
              <a:extLst>
                <a:ext uri="{63B3BB69-23CF-44E3-9099-C40C66FF867C}">
                  <a14:compatExt spid="_x0000_s4123"/>
                </a:ext>
                <a:ext uri="{FF2B5EF4-FFF2-40B4-BE49-F238E27FC236}">
                  <a16:creationId xmlns:a16="http://schemas.microsoft.com/office/drawing/2014/main" id="{00000000-0008-0000-0B00-00001B100000}"/>
                </a:ext>
              </a:extLst>
            </xdr:cNvPr>
            <xdr:cNvSpPr/>
          </xdr:nvSpPr>
          <xdr:spPr bwMode="auto">
            <a:xfrm>
              <a:off x="0" y="0"/>
              <a:ext cx="0" cy="0"/>
            </a:xfrm>
            <a:prstGeom prst="rect">
              <a:avLst/>
            </a:prstGeom>
            <a:solidFill>
              <a:srgbClr val="CCFFFF"/>
            </a:solidFill>
            <a:ln>
              <a:noFill/>
            </a:ln>
            <a:extLs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Propagação de erros baseada em médias geométricas = raiz quadrada da soma dos quadrados dos erros parcelares</a:t>
              </a:r>
            </a:p>
          </xdr:txBody>
        </xdr:sp>
        <xdr:clientData/>
      </xdr:twoCellAnchor>
    </mc:Choice>
    <mc:Fallback/>
  </mc:AlternateContent>
  <xdr:twoCellAnchor editAs="oneCell">
    <xdr:from>
      <xdr:col>1</xdr:col>
      <xdr:colOff>5321300</xdr:colOff>
      <xdr:row>3</xdr:row>
      <xdr:rowOff>330200</xdr:rowOff>
    </xdr:from>
    <xdr:to>
      <xdr:col>2</xdr:col>
      <xdr:colOff>12700</xdr:colOff>
      <xdr:row>4</xdr:row>
      <xdr:rowOff>101600</xdr:rowOff>
    </xdr:to>
    <xdr:pic>
      <xdr:nvPicPr>
        <xdr:cNvPr id="2" name="CommandButton1">
          <a:extLst>
            <a:ext uri="{FF2B5EF4-FFF2-40B4-BE49-F238E27FC236}">
              <a16:creationId xmlns:a16="http://schemas.microsoft.com/office/drawing/2014/main" id="{00000000-0008-0000-0B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0000" y="1282700"/>
          <a:ext cx="863600" cy="101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165100</xdr:colOff>
      <xdr:row>10</xdr:row>
      <xdr:rowOff>482600</xdr:rowOff>
    </xdr:from>
    <xdr:to>
      <xdr:col>5</xdr:col>
      <xdr:colOff>38100</xdr:colOff>
      <xdr:row>11</xdr:row>
      <xdr:rowOff>101600</xdr:rowOff>
    </xdr:to>
    <xdr:pic>
      <xdr:nvPicPr>
        <xdr:cNvPr id="3" name="CommandButton2">
          <a:extLst>
            <a:ext uri="{FF2B5EF4-FFF2-40B4-BE49-F238E27FC236}">
              <a16:creationId xmlns:a16="http://schemas.microsoft.com/office/drawing/2014/main" id="{00000000-0008-0000-0B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556500" y="4559300"/>
          <a:ext cx="1270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9</xdr:col>
      <xdr:colOff>939800</xdr:colOff>
      <xdr:row>3</xdr:row>
      <xdr:rowOff>330200</xdr:rowOff>
    </xdr:from>
    <xdr:to>
      <xdr:col>10</xdr:col>
      <xdr:colOff>25400</xdr:colOff>
      <xdr:row>4</xdr:row>
      <xdr:rowOff>101600</xdr:rowOff>
    </xdr:to>
    <xdr:pic>
      <xdr:nvPicPr>
        <xdr:cNvPr id="4" name="CommandButton3">
          <a:extLst>
            <a:ext uri="{FF2B5EF4-FFF2-40B4-BE49-F238E27FC236}">
              <a16:creationId xmlns:a16="http://schemas.microsoft.com/office/drawing/2014/main" id="{00000000-0008-0000-0B00-000004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341100" y="1282700"/>
          <a:ext cx="241300" cy="101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7</xdr:col>
      <xdr:colOff>1206500</xdr:colOff>
      <xdr:row>3</xdr:row>
      <xdr:rowOff>330200</xdr:rowOff>
    </xdr:from>
    <xdr:to>
      <xdr:col>8</xdr:col>
      <xdr:colOff>12700</xdr:colOff>
      <xdr:row>4</xdr:row>
      <xdr:rowOff>101600</xdr:rowOff>
    </xdr:to>
    <xdr:pic>
      <xdr:nvPicPr>
        <xdr:cNvPr id="5" name="CommandButton4">
          <a:extLst>
            <a:ext uri="{FF2B5EF4-FFF2-40B4-BE49-F238E27FC236}">
              <a16:creationId xmlns:a16="http://schemas.microsoft.com/office/drawing/2014/main" id="{00000000-0008-0000-0B00-000005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334500" y="1282700"/>
          <a:ext cx="292100" cy="101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4191000</xdr:colOff>
      <xdr:row>0</xdr:row>
      <xdr:rowOff>47625</xdr:rowOff>
    </xdr:from>
    <xdr:to>
      <xdr:col>1</xdr:col>
      <xdr:colOff>4781550</xdr:colOff>
      <xdr:row>1</xdr:row>
      <xdr:rowOff>152400</xdr:rowOff>
    </xdr:to>
    <xdr:grpSp>
      <xdr:nvGrpSpPr>
        <xdr:cNvPr id="18453" name="Group 12">
          <a:extLst>
            <a:ext uri="{FF2B5EF4-FFF2-40B4-BE49-F238E27FC236}">
              <a16:creationId xmlns:a16="http://schemas.microsoft.com/office/drawing/2014/main" id="{00000000-0008-0000-0100-000015480000}"/>
            </a:ext>
          </a:extLst>
        </xdr:cNvPr>
        <xdr:cNvGrpSpPr>
          <a:grpSpLocks/>
        </xdr:cNvGrpSpPr>
      </xdr:nvGrpSpPr>
      <xdr:grpSpPr bwMode="auto">
        <a:xfrm>
          <a:off x="5257800" y="47625"/>
          <a:ext cx="590550" cy="401955"/>
          <a:chOff x="354" y="24"/>
          <a:chExt cx="164" cy="111"/>
        </a:xfrm>
      </xdr:grpSpPr>
      <xdr:sp macro="" textlink="">
        <xdr:nvSpPr>
          <xdr:cNvPr id="18454" name="Oval 13">
            <a:extLst>
              <a:ext uri="{FF2B5EF4-FFF2-40B4-BE49-F238E27FC236}">
                <a16:creationId xmlns:a16="http://schemas.microsoft.com/office/drawing/2014/main" id="{00000000-0008-0000-0100-000016480000}"/>
              </a:ext>
            </a:extLst>
          </xdr:cNvPr>
          <xdr:cNvSpPr>
            <a:spLocks noChangeArrowheads="1"/>
          </xdr:cNvSpPr>
        </xdr:nvSpPr>
        <xdr:spPr bwMode="auto">
          <a:xfrm>
            <a:off x="401" y="28"/>
            <a:ext cx="69" cy="69"/>
          </a:xfrm>
          <a:prstGeom prst="ellipse">
            <a:avLst/>
          </a:pr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sp>
      <xdr:pic>
        <xdr:nvPicPr>
          <xdr:cNvPr id="18455" name="Picture 14" descr="Logo LNEC">
            <a:extLst>
              <a:ext uri="{FF2B5EF4-FFF2-40B4-BE49-F238E27FC236}">
                <a16:creationId xmlns:a16="http://schemas.microsoft.com/office/drawing/2014/main" id="{00000000-0008-0000-0100-00001748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54" y="24"/>
            <a:ext cx="164" cy="1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28575</xdr:rowOff>
    </xdr:from>
    <xdr:to>
      <xdr:col>0</xdr:col>
      <xdr:colOff>809625</xdr:colOff>
      <xdr:row>2</xdr:row>
      <xdr:rowOff>152400</xdr:rowOff>
    </xdr:to>
    <xdr:grpSp>
      <xdr:nvGrpSpPr>
        <xdr:cNvPr id="11291" name="Group 18">
          <a:extLst>
            <a:ext uri="{FF2B5EF4-FFF2-40B4-BE49-F238E27FC236}">
              <a16:creationId xmlns:a16="http://schemas.microsoft.com/office/drawing/2014/main" id="{00000000-0008-0000-0200-00001B2C0000}"/>
            </a:ext>
          </a:extLst>
        </xdr:cNvPr>
        <xdr:cNvGrpSpPr>
          <a:grpSpLocks/>
        </xdr:cNvGrpSpPr>
      </xdr:nvGrpSpPr>
      <xdr:grpSpPr bwMode="auto">
        <a:xfrm>
          <a:off x="0" y="28575"/>
          <a:ext cx="809625" cy="550545"/>
          <a:chOff x="354" y="24"/>
          <a:chExt cx="164" cy="111"/>
        </a:xfrm>
      </xdr:grpSpPr>
      <xdr:sp macro="" textlink="">
        <xdr:nvSpPr>
          <xdr:cNvPr id="11292" name="Oval 19">
            <a:extLst>
              <a:ext uri="{FF2B5EF4-FFF2-40B4-BE49-F238E27FC236}">
                <a16:creationId xmlns:a16="http://schemas.microsoft.com/office/drawing/2014/main" id="{00000000-0008-0000-0200-00001C2C0000}"/>
              </a:ext>
            </a:extLst>
          </xdr:cNvPr>
          <xdr:cNvSpPr>
            <a:spLocks noChangeArrowheads="1"/>
          </xdr:cNvSpPr>
        </xdr:nvSpPr>
        <xdr:spPr bwMode="auto">
          <a:xfrm>
            <a:off x="401" y="28"/>
            <a:ext cx="69" cy="69"/>
          </a:xfrm>
          <a:prstGeom prst="ellipse">
            <a:avLst/>
          </a:pr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sp>
      <xdr:pic>
        <xdr:nvPicPr>
          <xdr:cNvPr id="11293" name="Picture 20" descr="Logo LNEC">
            <a:extLst>
              <a:ext uri="{FF2B5EF4-FFF2-40B4-BE49-F238E27FC236}">
                <a16:creationId xmlns:a16="http://schemas.microsoft.com/office/drawing/2014/main" id="{00000000-0008-0000-0200-00001D2C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54" y="24"/>
            <a:ext cx="164" cy="1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3</xdr:col>
      <xdr:colOff>889000</xdr:colOff>
      <xdr:row>9</xdr:row>
      <xdr:rowOff>0</xdr:rowOff>
    </xdr:from>
    <xdr:to>
      <xdr:col>4</xdr:col>
      <xdr:colOff>12700</xdr:colOff>
      <xdr:row>9</xdr:row>
      <xdr:rowOff>114300</xdr:rowOff>
    </xdr:to>
    <xdr:sp macro="" textlink="">
      <xdr:nvSpPr>
        <xdr:cNvPr id="11279" name="CommandButton1" hidden="1">
          <a:extLst>
            <a:ext uri="{63B3BB69-23CF-44E3-9099-C40C66FF867C}">
              <a14:compatExt xmlns:a14="http://schemas.microsoft.com/office/drawing/2010/main" spid="_x0000_s11279"/>
            </a:ext>
            <a:ext uri="{FF2B5EF4-FFF2-40B4-BE49-F238E27FC236}">
              <a16:creationId xmlns:a16="http://schemas.microsoft.com/office/drawing/2014/main" id="{00000000-0008-0000-0200-00000F2C0000}"/>
            </a:ext>
          </a:extLst>
        </xdr:cNvPr>
        <xdr:cNvSpPr/>
      </xdr:nvSpPr>
      <xdr:spPr>
        <a:xfrm>
          <a:off x="0" y="0"/>
          <a:ext cx="0" cy="0"/>
        </a:xfrm>
        <a:prstGeom prst="rect">
          <a:avLst/>
        </a:prstGeom>
      </xdr:spPr>
    </xdr:sp>
    <xdr:clientData/>
  </xdr:twoCellAnchor>
  <xdr:twoCellAnchor editAs="oneCell">
    <xdr:from>
      <xdr:col>3</xdr:col>
      <xdr:colOff>889000</xdr:colOff>
      <xdr:row>12</xdr:row>
      <xdr:rowOff>0</xdr:rowOff>
    </xdr:from>
    <xdr:to>
      <xdr:col>4</xdr:col>
      <xdr:colOff>12700</xdr:colOff>
      <xdr:row>12</xdr:row>
      <xdr:rowOff>114300</xdr:rowOff>
    </xdr:to>
    <xdr:sp macro="" textlink="">
      <xdr:nvSpPr>
        <xdr:cNvPr id="11280" name="CommandButton2" hidden="1">
          <a:extLst>
            <a:ext uri="{63B3BB69-23CF-44E3-9099-C40C66FF867C}">
              <a14:compatExt xmlns:a14="http://schemas.microsoft.com/office/drawing/2010/main" spid="_x0000_s11280"/>
            </a:ext>
            <a:ext uri="{FF2B5EF4-FFF2-40B4-BE49-F238E27FC236}">
              <a16:creationId xmlns:a16="http://schemas.microsoft.com/office/drawing/2014/main" id="{00000000-0008-0000-0200-0000102C0000}"/>
            </a:ext>
          </a:extLst>
        </xdr:cNvPr>
        <xdr:cNvSpPr/>
      </xdr:nvSpPr>
      <xdr:spPr>
        <a:xfrm>
          <a:off x="0" y="0"/>
          <a:ext cx="0" cy="0"/>
        </a:xfrm>
        <a:prstGeom prst="rect">
          <a:avLst/>
        </a:prstGeom>
      </xdr:spPr>
    </xdr:sp>
    <xdr:clientData/>
  </xdr:twoCellAnchor>
  <xdr:twoCellAnchor>
    <xdr:from>
      <xdr:col>5</xdr:col>
      <xdr:colOff>482600</xdr:colOff>
      <xdr:row>12</xdr:row>
      <xdr:rowOff>25400</xdr:rowOff>
    </xdr:from>
    <xdr:to>
      <xdr:col>5</xdr:col>
      <xdr:colOff>571500</xdr:colOff>
      <xdr:row>12</xdr:row>
      <xdr:rowOff>139700</xdr:rowOff>
    </xdr:to>
    <xdr:sp macro="" textlink="">
      <xdr:nvSpPr>
        <xdr:cNvPr id="11281" name="CommandButton3" hidden="1">
          <a:extLst>
            <a:ext uri="{63B3BB69-23CF-44E3-9099-C40C66FF867C}">
              <a14:compatExt xmlns:a14="http://schemas.microsoft.com/office/drawing/2010/main" spid="_x0000_s11281"/>
            </a:ext>
            <a:ext uri="{FF2B5EF4-FFF2-40B4-BE49-F238E27FC236}">
              <a16:creationId xmlns:a16="http://schemas.microsoft.com/office/drawing/2014/main" id="{00000000-0008-0000-0200-0000112C0000}"/>
            </a:ext>
          </a:extLst>
        </xdr:cNvPr>
        <xdr:cNvSpPr/>
      </xdr:nvSpPr>
      <xdr:spPr>
        <a:xfrm>
          <a:off x="0" y="0"/>
          <a:ext cx="0" cy="0"/>
        </a:xfrm>
        <a:prstGeom prst="rect">
          <a:avLst/>
        </a:prstGeom>
      </xdr:spPr>
    </xdr:sp>
    <xdr:clientData/>
  </xdr:twoCellAnchor>
  <xdr:twoCellAnchor editAs="oneCell">
    <xdr:from>
      <xdr:col>3</xdr:col>
      <xdr:colOff>889000</xdr:colOff>
      <xdr:row>9</xdr:row>
      <xdr:rowOff>0</xdr:rowOff>
    </xdr:from>
    <xdr:to>
      <xdr:col>4</xdr:col>
      <xdr:colOff>12700</xdr:colOff>
      <xdr:row>9</xdr:row>
      <xdr:rowOff>114300</xdr:rowOff>
    </xdr:to>
    <xdr:pic>
      <xdr:nvPicPr>
        <xdr:cNvPr id="2" name="CommandButton1">
          <a:extLst>
            <a:ext uri="{FF2B5EF4-FFF2-40B4-BE49-F238E27FC236}">
              <a16:creationId xmlns:a16="http://schemas.microsoft.com/office/drawing/2014/main" id="{00000000-0008-0000-02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89700" y="2108200"/>
          <a:ext cx="2286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3</xdr:col>
      <xdr:colOff>889000</xdr:colOff>
      <xdr:row>12</xdr:row>
      <xdr:rowOff>0</xdr:rowOff>
    </xdr:from>
    <xdr:to>
      <xdr:col>4</xdr:col>
      <xdr:colOff>12700</xdr:colOff>
      <xdr:row>12</xdr:row>
      <xdr:rowOff>114300</xdr:rowOff>
    </xdr:to>
    <xdr:pic>
      <xdr:nvPicPr>
        <xdr:cNvPr id="3" name="CommandButton2">
          <a:extLst>
            <a:ext uri="{FF2B5EF4-FFF2-40B4-BE49-F238E27FC236}">
              <a16:creationId xmlns:a16="http://schemas.microsoft.com/office/drawing/2014/main" id="{00000000-0008-0000-02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89700" y="2908300"/>
          <a:ext cx="2286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xdr:from>
      <xdr:col>5</xdr:col>
      <xdr:colOff>482600</xdr:colOff>
      <xdr:row>12</xdr:row>
      <xdr:rowOff>25400</xdr:rowOff>
    </xdr:from>
    <xdr:to>
      <xdr:col>5</xdr:col>
      <xdr:colOff>571500</xdr:colOff>
      <xdr:row>12</xdr:row>
      <xdr:rowOff>139700</xdr:rowOff>
    </xdr:to>
    <xdr:pic>
      <xdr:nvPicPr>
        <xdr:cNvPr id="4" name="CommandButton3">
          <a:extLst>
            <a:ext uri="{FF2B5EF4-FFF2-40B4-BE49-F238E27FC236}">
              <a16:creationId xmlns:a16="http://schemas.microsoft.com/office/drawing/2014/main" id="{00000000-0008-0000-0200-000004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175500" y="2933700"/>
          <a:ext cx="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0</xdr:row>
      <xdr:rowOff>57150</xdr:rowOff>
    </xdr:from>
    <xdr:to>
      <xdr:col>0</xdr:col>
      <xdr:colOff>838200</xdr:colOff>
      <xdr:row>2</xdr:row>
      <xdr:rowOff>161925</xdr:rowOff>
    </xdr:to>
    <xdr:grpSp>
      <xdr:nvGrpSpPr>
        <xdr:cNvPr id="9282" name="Group 57">
          <a:extLst>
            <a:ext uri="{FF2B5EF4-FFF2-40B4-BE49-F238E27FC236}">
              <a16:creationId xmlns:a16="http://schemas.microsoft.com/office/drawing/2014/main" id="{00000000-0008-0000-0300-000042240000}"/>
            </a:ext>
          </a:extLst>
        </xdr:cNvPr>
        <xdr:cNvGrpSpPr>
          <a:grpSpLocks/>
        </xdr:cNvGrpSpPr>
      </xdr:nvGrpSpPr>
      <xdr:grpSpPr bwMode="auto">
        <a:xfrm>
          <a:off x="9525" y="57150"/>
          <a:ext cx="828675" cy="561975"/>
          <a:chOff x="354" y="24"/>
          <a:chExt cx="164" cy="111"/>
        </a:xfrm>
      </xdr:grpSpPr>
      <xdr:sp macro="" textlink="">
        <xdr:nvSpPr>
          <xdr:cNvPr id="9283" name="Oval 58">
            <a:extLst>
              <a:ext uri="{FF2B5EF4-FFF2-40B4-BE49-F238E27FC236}">
                <a16:creationId xmlns:a16="http://schemas.microsoft.com/office/drawing/2014/main" id="{00000000-0008-0000-0300-000043240000}"/>
              </a:ext>
            </a:extLst>
          </xdr:cNvPr>
          <xdr:cNvSpPr>
            <a:spLocks noChangeArrowheads="1"/>
          </xdr:cNvSpPr>
        </xdr:nvSpPr>
        <xdr:spPr bwMode="auto">
          <a:xfrm>
            <a:off x="401" y="28"/>
            <a:ext cx="69" cy="69"/>
          </a:xfrm>
          <a:prstGeom prst="ellipse">
            <a:avLst/>
          </a:pr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sp>
      <xdr:pic>
        <xdr:nvPicPr>
          <xdr:cNvPr id="9284" name="Picture 59" descr="Logo LNEC">
            <a:extLst>
              <a:ext uri="{FF2B5EF4-FFF2-40B4-BE49-F238E27FC236}">
                <a16:creationId xmlns:a16="http://schemas.microsoft.com/office/drawing/2014/main" id="{00000000-0008-0000-0300-00004424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54" y="24"/>
            <a:ext cx="164" cy="1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0</xdr:col>
      <xdr:colOff>3276600</xdr:colOff>
      <xdr:row>60</xdr:row>
      <xdr:rowOff>12700</xdr:rowOff>
    </xdr:from>
    <xdr:to>
      <xdr:col>1</xdr:col>
      <xdr:colOff>12700</xdr:colOff>
      <xdr:row>60</xdr:row>
      <xdr:rowOff>127000</xdr:rowOff>
    </xdr:to>
    <xdr:sp macro="" textlink="">
      <xdr:nvSpPr>
        <xdr:cNvPr id="9272" name="CommandButton1" hidden="1">
          <a:extLst>
            <a:ext uri="{63B3BB69-23CF-44E3-9099-C40C66FF867C}">
              <a14:compatExt xmlns:a14="http://schemas.microsoft.com/office/drawing/2010/main" spid="_x0000_s9272"/>
            </a:ext>
            <a:ext uri="{FF2B5EF4-FFF2-40B4-BE49-F238E27FC236}">
              <a16:creationId xmlns:a16="http://schemas.microsoft.com/office/drawing/2014/main" id="{00000000-0008-0000-0300-000038240000}"/>
            </a:ext>
          </a:extLst>
        </xdr:cNvPr>
        <xdr:cNvSpPr/>
      </xdr:nvSpPr>
      <xdr:spPr>
        <a:xfrm>
          <a:off x="0" y="0"/>
          <a:ext cx="0" cy="0"/>
        </a:xfrm>
        <a:prstGeom prst="rect">
          <a:avLst/>
        </a:prstGeom>
      </xdr:spPr>
    </xdr:sp>
    <xdr:clientData/>
  </xdr:twoCellAnchor>
  <xdr:twoCellAnchor editAs="oneCell">
    <xdr:from>
      <xdr:col>0</xdr:col>
      <xdr:colOff>3276600</xdr:colOff>
      <xdr:row>60</xdr:row>
      <xdr:rowOff>12700</xdr:rowOff>
    </xdr:from>
    <xdr:to>
      <xdr:col>1</xdr:col>
      <xdr:colOff>12700</xdr:colOff>
      <xdr:row>60</xdr:row>
      <xdr:rowOff>127000</xdr:rowOff>
    </xdr:to>
    <xdr:pic>
      <xdr:nvPicPr>
        <xdr:cNvPr id="2" name="CommandButton1">
          <a:extLst>
            <a:ext uri="{FF2B5EF4-FFF2-40B4-BE49-F238E27FC236}">
              <a16:creationId xmlns:a16="http://schemas.microsoft.com/office/drawing/2014/main" id="{00000000-0008-0000-03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76600" y="10083800"/>
          <a:ext cx="5842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600075</xdr:colOff>
      <xdr:row>3</xdr:row>
      <xdr:rowOff>0</xdr:rowOff>
    </xdr:from>
    <xdr:to>
      <xdr:col>5</xdr:col>
      <xdr:colOff>0</xdr:colOff>
      <xdr:row>12</xdr:row>
      <xdr:rowOff>0</xdr:rowOff>
    </xdr:to>
    <xdr:graphicFrame macro="">
      <xdr:nvGraphicFramePr>
        <xdr:cNvPr id="10328" name="Chart 2">
          <a:extLst>
            <a:ext uri="{FF2B5EF4-FFF2-40B4-BE49-F238E27FC236}">
              <a16:creationId xmlns:a16="http://schemas.microsoft.com/office/drawing/2014/main" id="{00000000-0008-0000-0400-0000582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editAs="oneCell">
    <xdr:from>
      <xdr:col>36</xdr:col>
      <xdr:colOff>0</xdr:colOff>
      <xdr:row>14</xdr:row>
      <xdr:rowOff>0</xdr:rowOff>
    </xdr:from>
    <xdr:to>
      <xdr:col>36</xdr:col>
      <xdr:colOff>57150</xdr:colOff>
      <xdr:row>14</xdr:row>
      <xdr:rowOff>190500</xdr:rowOff>
    </xdr:to>
    <xdr:sp macro="" textlink="">
      <xdr:nvSpPr>
        <xdr:cNvPr id="10329" name="Text Box 5">
          <a:extLst>
            <a:ext uri="{FF2B5EF4-FFF2-40B4-BE49-F238E27FC236}">
              <a16:creationId xmlns:a16="http://schemas.microsoft.com/office/drawing/2014/main" id="{00000000-0008-0000-0400-000059280000}"/>
            </a:ext>
          </a:extLst>
        </xdr:cNvPr>
        <xdr:cNvSpPr txBox="1">
          <a:spLocks noChangeArrowheads="1"/>
        </xdr:cNvSpPr>
      </xdr:nvSpPr>
      <xdr:spPr bwMode="auto">
        <a:xfrm>
          <a:off x="5867400" y="3381375"/>
          <a:ext cx="571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47625</xdr:colOff>
      <xdr:row>12</xdr:row>
      <xdr:rowOff>47625</xdr:rowOff>
    </xdr:from>
    <xdr:to>
      <xdr:col>3</xdr:col>
      <xdr:colOff>542925</xdr:colOff>
      <xdr:row>12</xdr:row>
      <xdr:rowOff>123825</xdr:rowOff>
    </xdr:to>
    <xdr:grpSp>
      <xdr:nvGrpSpPr>
        <xdr:cNvPr id="10330" name="Group 45">
          <a:extLst>
            <a:ext uri="{FF2B5EF4-FFF2-40B4-BE49-F238E27FC236}">
              <a16:creationId xmlns:a16="http://schemas.microsoft.com/office/drawing/2014/main" id="{00000000-0008-0000-0400-00005A280000}"/>
            </a:ext>
          </a:extLst>
        </xdr:cNvPr>
        <xdr:cNvGrpSpPr>
          <a:grpSpLocks/>
        </xdr:cNvGrpSpPr>
      </xdr:nvGrpSpPr>
      <xdr:grpSpPr bwMode="auto">
        <a:xfrm>
          <a:off x="47625" y="3019425"/>
          <a:ext cx="4008120" cy="76200"/>
          <a:chOff x="5" y="237"/>
          <a:chExt cx="422" cy="8"/>
        </a:xfrm>
      </xdr:grpSpPr>
      <xdr:sp macro="" textlink="">
        <xdr:nvSpPr>
          <xdr:cNvPr id="10339" name="Rectangle 6">
            <a:extLst>
              <a:ext uri="{FF2B5EF4-FFF2-40B4-BE49-F238E27FC236}">
                <a16:creationId xmlns:a16="http://schemas.microsoft.com/office/drawing/2014/main" id="{00000000-0008-0000-0400-000063280000}"/>
              </a:ext>
            </a:extLst>
          </xdr:cNvPr>
          <xdr:cNvSpPr>
            <a:spLocks noChangeArrowheads="1"/>
          </xdr:cNvSpPr>
        </xdr:nvSpPr>
        <xdr:spPr bwMode="auto">
          <a:xfrm>
            <a:off x="5" y="237"/>
            <a:ext cx="7" cy="8"/>
          </a:xfrm>
          <a:prstGeom prst="rect">
            <a:avLst/>
          </a:prstGeom>
          <a:solidFill>
            <a:srgbClr val="CCFFFF"/>
          </a:solidFill>
          <a:ln w="9525">
            <a:solidFill>
              <a:srgbClr val="000000"/>
            </a:solidFill>
            <a:miter lim="800000"/>
            <a:headEnd/>
            <a:tailEnd/>
          </a:ln>
        </xdr:spPr>
      </xdr:sp>
      <xdr:sp macro="" textlink="">
        <xdr:nvSpPr>
          <xdr:cNvPr id="10340" name="Rectangle 8">
            <a:extLst>
              <a:ext uri="{FF2B5EF4-FFF2-40B4-BE49-F238E27FC236}">
                <a16:creationId xmlns:a16="http://schemas.microsoft.com/office/drawing/2014/main" id="{00000000-0008-0000-0400-000064280000}"/>
              </a:ext>
            </a:extLst>
          </xdr:cNvPr>
          <xdr:cNvSpPr>
            <a:spLocks noChangeArrowheads="1"/>
          </xdr:cNvSpPr>
        </xdr:nvSpPr>
        <xdr:spPr bwMode="auto">
          <a:xfrm>
            <a:off x="236" y="237"/>
            <a:ext cx="7" cy="8"/>
          </a:xfrm>
          <a:prstGeom prst="rect">
            <a:avLst/>
          </a:prstGeom>
          <a:solidFill>
            <a:srgbClr val="FFFF99"/>
          </a:solidFill>
          <a:ln w="9525">
            <a:solidFill>
              <a:srgbClr val="000000"/>
            </a:solidFill>
            <a:miter lim="800000"/>
            <a:headEnd/>
            <a:tailEnd/>
          </a:ln>
        </xdr:spPr>
      </xdr:sp>
      <xdr:sp macro="" textlink="">
        <xdr:nvSpPr>
          <xdr:cNvPr id="10341" name="Rectangle 9">
            <a:extLst>
              <a:ext uri="{FF2B5EF4-FFF2-40B4-BE49-F238E27FC236}">
                <a16:creationId xmlns:a16="http://schemas.microsoft.com/office/drawing/2014/main" id="{00000000-0008-0000-0400-000065280000}"/>
              </a:ext>
            </a:extLst>
          </xdr:cNvPr>
          <xdr:cNvSpPr>
            <a:spLocks noChangeArrowheads="1"/>
          </xdr:cNvSpPr>
        </xdr:nvSpPr>
        <xdr:spPr bwMode="auto">
          <a:xfrm>
            <a:off x="420" y="237"/>
            <a:ext cx="7" cy="8"/>
          </a:xfrm>
          <a:prstGeom prst="rect">
            <a:avLst/>
          </a:prstGeom>
          <a:solidFill>
            <a:srgbClr val="FFCC00"/>
          </a:solidFill>
          <a:ln w="9525">
            <a:solidFill>
              <a:srgbClr val="000000"/>
            </a:solidFill>
            <a:miter lim="800000"/>
            <a:headEnd/>
            <a:tailEnd/>
          </a:ln>
        </xdr:spPr>
      </xdr:sp>
    </xdr:grpSp>
    <xdr:clientData/>
  </xdr:twoCellAnchor>
  <xdr:twoCellAnchor>
    <xdr:from>
      <xdr:col>0</xdr:col>
      <xdr:colOff>47625</xdr:colOff>
      <xdr:row>13</xdr:row>
      <xdr:rowOff>114300</xdr:rowOff>
    </xdr:from>
    <xdr:to>
      <xdr:col>3</xdr:col>
      <xdr:colOff>533400</xdr:colOff>
      <xdr:row>13</xdr:row>
      <xdr:rowOff>190500</xdr:rowOff>
    </xdr:to>
    <xdr:grpSp>
      <xdr:nvGrpSpPr>
        <xdr:cNvPr id="10331" name="Group 44">
          <a:extLst>
            <a:ext uri="{FF2B5EF4-FFF2-40B4-BE49-F238E27FC236}">
              <a16:creationId xmlns:a16="http://schemas.microsoft.com/office/drawing/2014/main" id="{00000000-0008-0000-0400-00005B280000}"/>
            </a:ext>
          </a:extLst>
        </xdr:cNvPr>
        <xdr:cNvGrpSpPr>
          <a:grpSpLocks/>
        </xdr:cNvGrpSpPr>
      </xdr:nvGrpSpPr>
      <xdr:grpSpPr bwMode="auto">
        <a:xfrm>
          <a:off x="47625" y="3246120"/>
          <a:ext cx="3998595" cy="76200"/>
          <a:chOff x="5" y="261"/>
          <a:chExt cx="421" cy="8"/>
        </a:xfrm>
      </xdr:grpSpPr>
      <xdr:sp macro="" textlink="">
        <xdr:nvSpPr>
          <xdr:cNvPr id="10336" name="Rectangle 39">
            <a:extLst>
              <a:ext uri="{FF2B5EF4-FFF2-40B4-BE49-F238E27FC236}">
                <a16:creationId xmlns:a16="http://schemas.microsoft.com/office/drawing/2014/main" id="{00000000-0008-0000-0400-000060280000}"/>
              </a:ext>
            </a:extLst>
          </xdr:cNvPr>
          <xdr:cNvSpPr>
            <a:spLocks noChangeArrowheads="1"/>
          </xdr:cNvSpPr>
        </xdr:nvSpPr>
        <xdr:spPr bwMode="auto">
          <a:xfrm>
            <a:off x="5" y="261"/>
            <a:ext cx="7" cy="8"/>
          </a:xfrm>
          <a:prstGeom prst="rect">
            <a:avLst/>
          </a:prstGeom>
          <a:solidFill>
            <a:srgbClr val="CCFFCC"/>
          </a:solidFill>
          <a:ln w="9525">
            <a:solidFill>
              <a:srgbClr val="000000"/>
            </a:solidFill>
            <a:miter lim="800000"/>
            <a:headEnd/>
            <a:tailEnd/>
          </a:ln>
        </xdr:spPr>
      </xdr:sp>
      <xdr:sp macro="" textlink="">
        <xdr:nvSpPr>
          <xdr:cNvPr id="10337" name="Rectangle 41">
            <a:extLst>
              <a:ext uri="{FF2B5EF4-FFF2-40B4-BE49-F238E27FC236}">
                <a16:creationId xmlns:a16="http://schemas.microsoft.com/office/drawing/2014/main" id="{00000000-0008-0000-0400-000061280000}"/>
              </a:ext>
            </a:extLst>
          </xdr:cNvPr>
          <xdr:cNvSpPr>
            <a:spLocks noChangeArrowheads="1"/>
          </xdr:cNvSpPr>
        </xdr:nvSpPr>
        <xdr:spPr bwMode="auto">
          <a:xfrm>
            <a:off x="236" y="261"/>
            <a:ext cx="7" cy="8"/>
          </a:xfrm>
          <a:prstGeom prst="rect">
            <a:avLst/>
          </a:prstGeom>
          <a:solidFill>
            <a:srgbClr val="FFCC99"/>
          </a:solidFill>
          <a:ln w="9525">
            <a:solidFill>
              <a:srgbClr val="000000"/>
            </a:solidFill>
            <a:miter lim="800000"/>
            <a:headEnd/>
            <a:tailEnd/>
          </a:ln>
        </xdr:spPr>
      </xdr:sp>
      <xdr:sp macro="" textlink="">
        <xdr:nvSpPr>
          <xdr:cNvPr id="10338" name="Rectangle 43">
            <a:extLst>
              <a:ext uri="{FF2B5EF4-FFF2-40B4-BE49-F238E27FC236}">
                <a16:creationId xmlns:a16="http://schemas.microsoft.com/office/drawing/2014/main" id="{00000000-0008-0000-0400-000062280000}"/>
              </a:ext>
            </a:extLst>
          </xdr:cNvPr>
          <xdr:cNvSpPr>
            <a:spLocks noChangeArrowheads="1"/>
          </xdr:cNvSpPr>
        </xdr:nvSpPr>
        <xdr:spPr bwMode="auto">
          <a:xfrm>
            <a:off x="419" y="261"/>
            <a:ext cx="7" cy="8"/>
          </a:xfrm>
          <a:prstGeom prst="rect">
            <a:avLst/>
          </a:prstGeom>
          <a:solidFill>
            <a:srgbClr val="FFFF00"/>
          </a:solidFill>
          <a:ln w="9525">
            <a:solidFill>
              <a:srgbClr val="000000"/>
            </a:solidFill>
            <a:miter lim="800000"/>
            <a:headEnd/>
            <a:tailEnd/>
          </a:ln>
        </xdr:spPr>
      </xdr:sp>
    </xdr:grpSp>
    <xdr:clientData/>
  </xdr:twoCellAnchor>
  <xdr:twoCellAnchor>
    <xdr:from>
      <xdr:col>0</xdr:col>
      <xdr:colOff>0</xdr:colOff>
      <xdr:row>3</xdr:row>
      <xdr:rowOff>0</xdr:rowOff>
    </xdr:from>
    <xdr:to>
      <xdr:col>2</xdr:col>
      <xdr:colOff>600075</xdr:colOff>
      <xdr:row>12</xdr:row>
      <xdr:rowOff>0</xdr:rowOff>
    </xdr:to>
    <xdr:graphicFrame macro="">
      <xdr:nvGraphicFramePr>
        <xdr:cNvPr id="10332" name="Chart 56">
          <a:extLst>
            <a:ext uri="{FF2B5EF4-FFF2-40B4-BE49-F238E27FC236}">
              <a16:creationId xmlns:a16="http://schemas.microsoft.com/office/drawing/2014/main" id="{00000000-0008-0000-0400-00005C2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9525</xdr:rowOff>
    </xdr:from>
    <xdr:to>
      <xdr:col>0</xdr:col>
      <xdr:colOff>876300</xdr:colOff>
      <xdr:row>2</xdr:row>
      <xdr:rowOff>171450</xdr:rowOff>
    </xdr:to>
    <xdr:grpSp>
      <xdr:nvGrpSpPr>
        <xdr:cNvPr id="10333" name="Group 57">
          <a:extLst>
            <a:ext uri="{FF2B5EF4-FFF2-40B4-BE49-F238E27FC236}">
              <a16:creationId xmlns:a16="http://schemas.microsoft.com/office/drawing/2014/main" id="{00000000-0008-0000-0400-00005D280000}"/>
            </a:ext>
          </a:extLst>
        </xdr:cNvPr>
        <xdr:cNvGrpSpPr>
          <a:grpSpLocks/>
        </xdr:cNvGrpSpPr>
      </xdr:nvGrpSpPr>
      <xdr:grpSpPr bwMode="auto">
        <a:xfrm>
          <a:off x="0" y="9525"/>
          <a:ext cx="876300" cy="588645"/>
          <a:chOff x="354" y="24"/>
          <a:chExt cx="164" cy="111"/>
        </a:xfrm>
      </xdr:grpSpPr>
      <xdr:sp macro="" textlink="">
        <xdr:nvSpPr>
          <xdr:cNvPr id="10334" name="Oval 58">
            <a:extLst>
              <a:ext uri="{FF2B5EF4-FFF2-40B4-BE49-F238E27FC236}">
                <a16:creationId xmlns:a16="http://schemas.microsoft.com/office/drawing/2014/main" id="{00000000-0008-0000-0400-00005E280000}"/>
              </a:ext>
            </a:extLst>
          </xdr:cNvPr>
          <xdr:cNvSpPr>
            <a:spLocks noChangeArrowheads="1"/>
          </xdr:cNvSpPr>
        </xdr:nvSpPr>
        <xdr:spPr bwMode="auto">
          <a:xfrm>
            <a:off x="401" y="28"/>
            <a:ext cx="69" cy="69"/>
          </a:xfrm>
          <a:prstGeom prst="ellipse">
            <a:avLst/>
          </a:pr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sp>
      <xdr:pic>
        <xdr:nvPicPr>
          <xdr:cNvPr id="10335" name="Picture 59" descr="Logo LNEC">
            <a:extLst>
              <a:ext uri="{FF2B5EF4-FFF2-40B4-BE49-F238E27FC236}">
                <a16:creationId xmlns:a16="http://schemas.microsoft.com/office/drawing/2014/main" id="{00000000-0008-0000-0400-00005F280000}"/>
              </a:ext>
            </a:extLst>
          </xdr:cNvPr>
          <xdr:cNvPicPr>
            <a:picLocks noChangeAspect="1" noChangeArrowheads="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54" y="24"/>
            <a:ext cx="164" cy="1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xml><?xml version="1.0" encoding="utf-8"?>
<c:userShapes xmlns:c="http://schemas.openxmlformats.org/drawingml/2006/chart">
  <cdr:relSizeAnchor xmlns:cdr="http://schemas.openxmlformats.org/drawingml/2006/chartDrawing">
    <cdr:from>
      <cdr:x>0.54013</cdr:x>
      <cdr:y>0.37947</cdr:y>
    </cdr:from>
    <cdr:to>
      <cdr:x>0.6446</cdr:x>
      <cdr:y>0.75424</cdr:y>
    </cdr:to>
    <cdr:sp macro="" textlink="'Output (4)'!$C$14">
      <cdr:nvSpPr>
        <cdr:cNvPr id="20481" name="Text Box 1"/>
        <cdr:cNvSpPr txBox="1">
          <a:spLocks xmlns:a="http://schemas.openxmlformats.org/drawingml/2006/main" noChangeArrowheads="1" noTextEdit="1"/>
        </cdr:cNvSpPr>
      </cdr:nvSpPr>
      <cdr:spPr bwMode="auto">
        <a:xfrm xmlns:a="http://schemas.openxmlformats.org/drawingml/2006/main">
          <a:off x="1552252" y="843868"/>
          <a:ext cx="299159" cy="81411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vert="vert270" wrap="square" lIns="27432" tIns="22860" rIns="27432" bIns="22860" anchor="ctr" upright="1"/>
        <a:lstStyle xmlns:a="http://schemas.openxmlformats.org/drawingml/2006/main"/>
        <a:p xmlns:a="http://schemas.openxmlformats.org/drawingml/2006/main">
          <a:pPr algn="ctr" rtl="0">
            <a:defRPr sz="1000"/>
          </a:pPr>
          <a:fld id="{FD86CE5E-3ABB-4B24-8836-CD6506C58454}" type="TxLink">
            <a:rPr lang="pt-PT" sz="800" b="0" i="0" u="none" strike="noStrike" baseline="0">
              <a:solidFill>
                <a:srgbClr val="000000"/>
              </a:solidFill>
              <a:latin typeface="Arial"/>
              <a:cs typeface="Arial"/>
            </a:rPr>
            <a:pPr algn="ctr" rtl="0">
              <a:defRPr sz="1000"/>
            </a:pPr>
            <a:t>Água não facturada</a:t>
          </a:fld>
          <a:endParaRPr lang="pt-PT" sz="800" b="0" i="0" u="none" strike="noStrike" baseline="0">
            <a:solidFill>
              <a:srgbClr val="000000"/>
            </a:solidFill>
            <a:latin typeface="Arial"/>
            <a:cs typeface="Aria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0.54294</cdr:x>
      <cdr:y>0.24144</cdr:y>
    </cdr:from>
    <cdr:to>
      <cdr:x>0.62537</cdr:x>
      <cdr:y>0.68696</cdr:y>
    </cdr:to>
    <cdr:sp macro="" textlink="'Output (4)'!$C$13">
      <cdr:nvSpPr>
        <cdr:cNvPr id="19457" name="Text Box 1"/>
        <cdr:cNvSpPr txBox="1">
          <a:spLocks xmlns:a="http://schemas.openxmlformats.org/drawingml/2006/main" noChangeArrowheads="1" noTextEdit="1"/>
        </cdr:cNvSpPr>
      </cdr:nvSpPr>
      <cdr:spPr bwMode="auto">
        <a:xfrm xmlns:a="http://schemas.openxmlformats.org/drawingml/2006/main">
          <a:off x="1590842" y="531272"/>
          <a:ext cx="228550" cy="9341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vert="vert270" wrap="square" lIns="27432" tIns="22860" rIns="27432" bIns="22860" anchor="ctr" upright="1"/>
        <a:lstStyle xmlns:a="http://schemas.openxmlformats.org/drawingml/2006/main"/>
        <a:p xmlns:a="http://schemas.openxmlformats.org/drawingml/2006/main">
          <a:pPr algn="ctr" rtl="0">
            <a:defRPr sz="1000"/>
          </a:pPr>
          <a:fld id="{3A748DFB-11FE-4118-AC10-6C1FC4016665}" type="TxLink">
            <a:rPr lang="pt-PT" sz="800" b="0" i="0" u="none" strike="noStrike" baseline="0">
              <a:solidFill>
                <a:srgbClr val="000000"/>
              </a:solidFill>
              <a:latin typeface="Arial"/>
              <a:cs typeface="Arial"/>
            </a:rPr>
            <a:pPr algn="ctr" rtl="0">
              <a:defRPr sz="1000"/>
            </a:pPr>
            <a:t>Perdas totais</a:t>
          </a:fld>
          <a:endParaRPr lang="pt-PT" sz="800" b="0" i="0" u="none" strike="noStrike" baseline="0">
            <a:solidFill>
              <a:srgbClr val="000000"/>
            </a:solidFill>
            <a:latin typeface="Arial"/>
            <a:cs typeface="Aria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19050</xdr:colOff>
      <xdr:row>0</xdr:row>
      <xdr:rowOff>19050</xdr:rowOff>
    </xdr:from>
    <xdr:to>
      <xdr:col>0</xdr:col>
      <xdr:colOff>609600</xdr:colOff>
      <xdr:row>0</xdr:row>
      <xdr:rowOff>419100</xdr:rowOff>
    </xdr:to>
    <xdr:grpSp>
      <xdr:nvGrpSpPr>
        <xdr:cNvPr id="3218" name="Group 122">
          <a:extLst>
            <a:ext uri="{FF2B5EF4-FFF2-40B4-BE49-F238E27FC236}">
              <a16:creationId xmlns:a16="http://schemas.microsoft.com/office/drawing/2014/main" id="{00000000-0008-0000-0500-0000920C0000}"/>
            </a:ext>
          </a:extLst>
        </xdr:cNvPr>
        <xdr:cNvGrpSpPr>
          <a:grpSpLocks/>
        </xdr:cNvGrpSpPr>
      </xdr:nvGrpSpPr>
      <xdr:grpSpPr bwMode="auto">
        <a:xfrm>
          <a:off x="19050" y="19050"/>
          <a:ext cx="590550" cy="400050"/>
          <a:chOff x="354" y="24"/>
          <a:chExt cx="164" cy="111"/>
        </a:xfrm>
      </xdr:grpSpPr>
      <xdr:sp macro="" textlink="">
        <xdr:nvSpPr>
          <xdr:cNvPr id="3220" name="Oval 123">
            <a:extLst>
              <a:ext uri="{FF2B5EF4-FFF2-40B4-BE49-F238E27FC236}">
                <a16:creationId xmlns:a16="http://schemas.microsoft.com/office/drawing/2014/main" id="{00000000-0008-0000-0500-0000940C0000}"/>
              </a:ext>
            </a:extLst>
          </xdr:cNvPr>
          <xdr:cNvSpPr>
            <a:spLocks noChangeArrowheads="1"/>
          </xdr:cNvSpPr>
        </xdr:nvSpPr>
        <xdr:spPr bwMode="auto">
          <a:xfrm>
            <a:off x="401" y="28"/>
            <a:ext cx="69" cy="69"/>
          </a:xfrm>
          <a:prstGeom prst="ellipse">
            <a:avLst/>
          </a:pr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sp>
      <xdr:pic>
        <xdr:nvPicPr>
          <xdr:cNvPr id="3221" name="Picture 124" descr="Logo LNEC">
            <a:extLst>
              <a:ext uri="{FF2B5EF4-FFF2-40B4-BE49-F238E27FC236}">
                <a16:creationId xmlns:a16="http://schemas.microsoft.com/office/drawing/2014/main" id="{00000000-0008-0000-0500-0000950C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54" y="24"/>
            <a:ext cx="164" cy="1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1</xdr:col>
      <xdr:colOff>19050</xdr:colOff>
      <xdr:row>9</xdr:row>
      <xdr:rowOff>19050</xdr:rowOff>
    </xdr:from>
    <xdr:to>
      <xdr:col>1</xdr:col>
      <xdr:colOff>857250</xdr:colOff>
      <xdr:row>10</xdr:row>
      <xdr:rowOff>19050</xdr:rowOff>
    </xdr:to>
    <xdr:sp macro="" textlink="">
      <xdr:nvSpPr>
        <xdr:cNvPr id="3219" name="Rectangle 134">
          <a:extLst>
            <a:ext uri="{FF2B5EF4-FFF2-40B4-BE49-F238E27FC236}">
              <a16:creationId xmlns:a16="http://schemas.microsoft.com/office/drawing/2014/main" id="{00000000-0008-0000-0500-0000930C0000}"/>
            </a:ext>
          </a:extLst>
        </xdr:cNvPr>
        <xdr:cNvSpPr>
          <a:spLocks noChangeArrowheads="1"/>
        </xdr:cNvSpPr>
      </xdr:nvSpPr>
      <xdr:spPr bwMode="auto">
        <a:xfrm>
          <a:off x="3200400" y="1819275"/>
          <a:ext cx="838200" cy="228600"/>
        </a:xfrm>
        <a:prstGeom prst="rect">
          <a:avLst/>
        </a:prstGeom>
        <a:solidFill>
          <a:srgbClr val="CC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fLocksWithSheet="0"/>
  </xdr:twoCellAnchor>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304800</xdr:colOff>
          <xdr:row>10</xdr:row>
          <xdr:rowOff>0</xdr:rowOff>
        </xdr:to>
        <xdr:sp macro="" textlink="">
          <xdr:nvSpPr>
            <xdr:cNvPr id="3075" name="Option Button 3" hidden="1">
              <a:extLst>
                <a:ext uri="{63B3BB69-23CF-44E3-9099-C40C66FF867C}">
                  <a14:compatExt spid="_x0000_s3075"/>
                </a:ext>
                <a:ext uri="{FF2B5EF4-FFF2-40B4-BE49-F238E27FC236}">
                  <a16:creationId xmlns:a16="http://schemas.microsoft.com/office/drawing/2014/main" id="{00000000-0008-0000-0500-0000030C0000}"/>
                </a:ext>
              </a:extLst>
            </xdr:cNvPr>
            <xdr:cNvSpPr/>
          </xdr:nvSpPr>
          <xdr:spPr bwMode="auto">
            <a:xfrm>
              <a:off x="0" y="0"/>
              <a:ext cx="0" cy="0"/>
            </a:xfrm>
            <a:prstGeom prst="rect">
              <a:avLst/>
            </a:prstGeom>
            <a:solidFill>
              <a:srgbClr val="CCFFFF" mc:Ignorable="a14" a14:legacySpreadsheetColorIndex="41"/>
            </a:solidFill>
            <a:ln>
              <a:noFill/>
            </a:ln>
            <a:extLs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Tahoma"/>
                  <a:ea typeface="Tahoma"/>
                  <a:cs typeface="Tahoma"/>
                </a:rPr>
                <a: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219075</xdr:rowOff>
        </xdr:from>
        <xdr:to>
          <xdr:col>0</xdr:col>
          <xdr:colOff>304800</xdr:colOff>
          <xdr:row>10</xdr:row>
          <xdr:rowOff>219075</xdr:rowOff>
        </xdr:to>
        <xdr:sp macro="" textlink="">
          <xdr:nvSpPr>
            <xdr:cNvPr id="3076" name="Option Button 4" hidden="1">
              <a:extLst>
                <a:ext uri="{63B3BB69-23CF-44E3-9099-C40C66FF867C}">
                  <a14:compatExt spid="_x0000_s3076"/>
                </a:ext>
                <a:ext uri="{FF2B5EF4-FFF2-40B4-BE49-F238E27FC236}">
                  <a16:creationId xmlns:a16="http://schemas.microsoft.com/office/drawing/2014/main" id="{00000000-0008-0000-0500-0000040C0000}"/>
                </a:ext>
              </a:extLst>
            </xdr:cNvPr>
            <xdr:cNvSpPr/>
          </xdr:nvSpPr>
          <xdr:spPr bwMode="auto">
            <a:xfrm>
              <a:off x="0" y="0"/>
              <a:ext cx="0" cy="0"/>
            </a:xfrm>
            <a:prstGeom prst="rect">
              <a:avLst/>
            </a:prstGeom>
            <a:solidFill>
              <a:srgbClr val="CCFFFF"/>
            </a:solidFill>
            <a:ln>
              <a:noFill/>
            </a:ln>
            <a:extLst>
              <a:ext uri="{91240B29-F687-4F45-9708-019B960494DF}">
                <a14:hiddenLine w="9525">
                  <a:solidFill>
                    <a:srgbClr val="000000"/>
                  </a:solidFill>
                  <a:miter lim="800000"/>
                  <a:headEnd/>
                  <a:tailEnd/>
                </a14:hiddenLine>
              </a:ext>
            </a:extLst>
          </xdr:spPr>
        </xdr:sp>
        <xdr:clientData fLocksWithSheet="0"/>
      </xdr:twoCellAnchor>
    </mc:Choice>
    <mc:Fallback/>
  </mc:AlternateContent>
  <xdr:twoCellAnchor editAs="oneCell">
    <xdr:from>
      <xdr:col>0</xdr:col>
      <xdr:colOff>3098800</xdr:colOff>
      <xdr:row>4</xdr:row>
      <xdr:rowOff>152400</xdr:rowOff>
    </xdr:from>
    <xdr:to>
      <xdr:col>1</xdr:col>
      <xdr:colOff>12700</xdr:colOff>
      <xdr:row>5</xdr:row>
      <xdr:rowOff>101600</xdr:rowOff>
    </xdr:to>
    <xdr:sp macro="" textlink="">
      <xdr:nvSpPr>
        <xdr:cNvPr id="3177" name="CommandButton1" hidden="1">
          <a:extLst>
            <a:ext uri="{63B3BB69-23CF-44E3-9099-C40C66FF867C}">
              <a14:compatExt xmlns:a14="http://schemas.microsoft.com/office/drawing/2010/main" spid="_x0000_s3177"/>
            </a:ext>
            <a:ext uri="{FF2B5EF4-FFF2-40B4-BE49-F238E27FC236}">
              <a16:creationId xmlns:a16="http://schemas.microsoft.com/office/drawing/2014/main" id="{00000000-0008-0000-0500-0000690C0000}"/>
            </a:ext>
          </a:extLst>
        </xdr:cNvPr>
        <xdr:cNvSpPr/>
      </xdr:nvSpPr>
      <xdr:spPr>
        <a:xfrm>
          <a:off x="0" y="0"/>
          <a:ext cx="0" cy="0"/>
        </a:xfrm>
        <a:prstGeom prst="rect">
          <a:avLst/>
        </a:prstGeom>
      </xdr:spPr>
    </xdr:sp>
    <xdr:clientData/>
  </xdr:twoCellAnchor>
  <xdr:twoCellAnchor editAs="oneCell">
    <xdr:from>
      <xdr:col>6</xdr:col>
      <xdr:colOff>2603500</xdr:colOff>
      <xdr:row>2</xdr:row>
      <xdr:rowOff>0</xdr:rowOff>
    </xdr:from>
    <xdr:to>
      <xdr:col>7</xdr:col>
      <xdr:colOff>12700</xdr:colOff>
      <xdr:row>2</xdr:row>
      <xdr:rowOff>101600</xdr:rowOff>
    </xdr:to>
    <xdr:sp macro="" textlink="">
      <xdr:nvSpPr>
        <xdr:cNvPr id="3180" name="CommandButton2" hidden="1">
          <a:extLst>
            <a:ext uri="{63B3BB69-23CF-44E3-9099-C40C66FF867C}">
              <a14:compatExt xmlns:a14="http://schemas.microsoft.com/office/drawing/2010/main" spid="_x0000_s3180"/>
            </a:ext>
            <a:ext uri="{FF2B5EF4-FFF2-40B4-BE49-F238E27FC236}">
              <a16:creationId xmlns:a16="http://schemas.microsoft.com/office/drawing/2014/main" id="{00000000-0008-0000-0500-00006C0C0000}"/>
            </a:ext>
          </a:extLst>
        </xdr:cNvPr>
        <xdr:cNvSpPr/>
      </xdr:nvSpPr>
      <xdr:spPr>
        <a:xfrm>
          <a:off x="0" y="0"/>
          <a:ext cx="0" cy="0"/>
        </a:xfrm>
        <a:prstGeom prst="rect">
          <a:avLst/>
        </a:prstGeom>
      </xdr:spPr>
    </xdr:sp>
    <xdr:clientData/>
  </xdr:twoCellAnchor>
  <xdr:twoCellAnchor editAs="oneCell">
    <xdr:from>
      <xdr:col>6</xdr:col>
      <xdr:colOff>2616200</xdr:colOff>
      <xdr:row>17</xdr:row>
      <xdr:rowOff>0</xdr:rowOff>
    </xdr:from>
    <xdr:to>
      <xdr:col>7</xdr:col>
      <xdr:colOff>12700</xdr:colOff>
      <xdr:row>17</xdr:row>
      <xdr:rowOff>114300</xdr:rowOff>
    </xdr:to>
    <xdr:sp macro="" textlink="">
      <xdr:nvSpPr>
        <xdr:cNvPr id="3181" name="CommandButton3" hidden="1">
          <a:extLst>
            <a:ext uri="{63B3BB69-23CF-44E3-9099-C40C66FF867C}">
              <a14:compatExt xmlns:a14="http://schemas.microsoft.com/office/drawing/2010/main" spid="_x0000_s3181"/>
            </a:ext>
            <a:ext uri="{FF2B5EF4-FFF2-40B4-BE49-F238E27FC236}">
              <a16:creationId xmlns:a16="http://schemas.microsoft.com/office/drawing/2014/main" id="{00000000-0008-0000-0500-00006D0C0000}"/>
            </a:ext>
          </a:extLst>
        </xdr:cNvPr>
        <xdr:cNvSpPr/>
      </xdr:nvSpPr>
      <xdr:spPr>
        <a:xfrm>
          <a:off x="0" y="0"/>
          <a:ext cx="0" cy="0"/>
        </a:xfrm>
        <a:prstGeom prst="rect">
          <a:avLst/>
        </a:prstGeom>
      </xdr:spPr>
    </xdr:sp>
    <xdr:clientData/>
  </xdr:twoCellAnchor>
  <xdr:twoCellAnchor editAs="oneCell">
    <xdr:from>
      <xdr:col>0</xdr:col>
      <xdr:colOff>3098800</xdr:colOff>
      <xdr:row>5</xdr:row>
      <xdr:rowOff>165100</xdr:rowOff>
    </xdr:from>
    <xdr:to>
      <xdr:col>1</xdr:col>
      <xdr:colOff>12700</xdr:colOff>
      <xdr:row>6</xdr:row>
      <xdr:rowOff>101600</xdr:rowOff>
    </xdr:to>
    <xdr:sp macro="" textlink="">
      <xdr:nvSpPr>
        <xdr:cNvPr id="3182" name="CommandButton4" hidden="1">
          <a:extLst>
            <a:ext uri="{63B3BB69-23CF-44E3-9099-C40C66FF867C}">
              <a14:compatExt xmlns:a14="http://schemas.microsoft.com/office/drawing/2010/main" spid="_x0000_s3182"/>
            </a:ext>
            <a:ext uri="{FF2B5EF4-FFF2-40B4-BE49-F238E27FC236}">
              <a16:creationId xmlns:a16="http://schemas.microsoft.com/office/drawing/2014/main" id="{00000000-0008-0000-0500-00006E0C0000}"/>
            </a:ext>
          </a:extLst>
        </xdr:cNvPr>
        <xdr:cNvSpPr/>
      </xdr:nvSpPr>
      <xdr:spPr>
        <a:xfrm>
          <a:off x="0" y="0"/>
          <a:ext cx="0" cy="0"/>
        </a:xfrm>
        <a:prstGeom prst="rect">
          <a:avLst/>
        </a:prstGeom>
      </xdr:spPr>
    </xdr:sp>
    <xdr:clientData/>
  </xdr:twoCellAnchor>
  <xdr:twoCellAnchor editAs="oneCell">
    <xdr:from>
      <xdr:col>0</xdr:col>
      <xdr:colOff>3098800</xdr:colOff>
      <xdr:row>11</xdr:row>
      <xdr:rowOff>165100</xdr:rowOff>
    </xdr:from>
    <xdr:to>
      <xdr:col>1</xdr:col>
      <xdr:colOff>12700</xdr:colOff>
      <xdr:row>12</xdr:row>
      <xdr:rowOff>101600</xdr:rowOff>
    </xdr:to>
    <xdr:sp macro="" textlink="">
      <xdr:nvSpPr>
        <xdr:cNvPr id="3183" name="CommandButton5" hidden="1">
          <a:extLst>
            <a:ext uri="{63B3BB69-23CF-44E3-9099-C40C66FF867C}">
              <a14:compatExt xmlns:a14="http://schemas.microsoft.com/office/drawing/2010/main" spid="_x0000_s3183"/>
            </a:ext>
            <a:ext uri="{FF2B5EF4-FFF2-40B4-BE49-F238E27FC236}">
              <a16:creationId xmlns:a16="http://schemas.microsoft.com/office/drawing/2014/main" id="{00000000-0008-0000-0500-00006F0C0000}"/>
            </a:ext>
          </a:extLst>
        </xdr:cNvPr>
        <xdr:cNvSpPr/>
      </xdr:nvSpPr>
      <xdr:spPr>
        <a:xfrm>
          <a:off x="0" y="0"/>
          <a:ext cx="0" cy="0"/>
        </a:xfrm>
        <a:prstGeom prst="rect">
          <a:avLst/>
        </a:prstGeom>
      </xdr:spPr>
    </xdr:sp>
    <xdr:clientData/>
  </xdr:twoCellAnchor>
  <xdr:twoCellAnchor editAs="oneCell">
    <xdr:from>
      <xdr:col>0</xdr:col>
      <xdr:colOff>3086100</xdr:colOff>
      <xdr:row>19</xdr:row>
      <xdr:rowOff>177800</xdr:rowOff>
    </xdr:from>
    <xdr:to>
      <xdr:col>1</xdr:col>
      <xdr:colOff>0</xdr:colOff>
      <xdr:row>20</xdr:row>
      <xdr:rowOff>101600</xdr:rowOff>
    </xdr:to>
    <xdr:sp macro="" textlink="">
      <xdr:nvSpPr>
        <xdr:cNvPr id="3184" name="CommandButton6" hidden="1">
          <a:extLst>
            <a:ext uri="{63B3BB69-23CF-44E3-9099-C40C66FF867C}">
              <a14:compatExt xmlns:a14="http://schemas.microsoft.com/office/drawing/2010/main" spid="_x0000_s3184"/>
            </a:ext>
            <a:ext uri="{FF2B5EF4-FFF2-40B4-BE49-F238E27FC236}">
              <a16:creationId xmlns:a16="http://schemas.microsoft.com/office/drawing/2014/main" id="{00000000-0008-0000-0500-0000700C0000}"/>
            </a:ext>
          </a:extLst>
        </xdr:cNvPr>
        <xdr:cNvSpPr/>
      </xdr:nvSpPr>
      <xdr:spPr>
        <a:xfrm>
          <a:off x="0" y="0"/>
          <a:ext cx="0" cy="0"/>
        </a:xfrm>
        <a:prstGeom prst="rect">
          <a:avLst/>
        </a:prstGeom>
      </xdr:spPr>
    </xdr:sp>
    <xdr:clientData/>
  </xdr:twoCellAnchor>
  <xdr:twoCellAnchor editAs="oneCell">
    <xdr:from>
      <xdr:col>0</xdr:col>
      <xdr:colOff>3098800</xdr:colOff>
      <xdr:row>22</xdr:row>
      <xdr:rowOff>0</xdr:rowOff>
    </xdr:from>
    <xdr:to>
      <xdr:col>1</xdr:col>
      <xdr:colOff>12700</xdr:colOff>
      <xdr:row>22</xdr:row>
      <xdr:rowOff>114300</xdr:rowOff>
    </xdr:to>
    <xdr:sp macro="" textlink="">
      <xdr:nvSpPr>
        <xdr:cNvPr id="3185" name="CommandButton7" hidden="1">
          <a:extLst>
            <a:ext uri="{63B3BB69-23CF-44E3-9099-C40C66FF867C}">
              <a14:compatExt xmlns:a14="http://schemas.microsoft.com/office/drawing/2010/main" spid="_x0000_s3185"/>
            </a:ext>
            <a:ext uri="{FF2B5EF4-FFF2-40B4-BE49-F238E27FC236}">
              <a16:creationId xmlns:a16="http://schemas.microsoft.com/office/drawing/2014/main" id="{00000000-0008-0000-0500-0000710C0000}"/>
            </a:ext>
          </a:extLst>
        </xdr:cNvPr>
        <xdr:cNvSpPr/>
      </xdr:nvSpPr>
      <xdr:spPr>
        <a:xfrm>
          <a:off x="0" y="0"/>
          <a:ext cx="0" cy="0"/>
        </a:xfrm>
        <a:prstGeom prst="rect">
          <a:avLst/>
        </a:prstGeom>
      </xdr:spPr>
    </xdr:sp>
    <xdr:clientData/>
  </xdr:twoCellAnchor>
  <xdr:twoCellAnchor editAs="oneCell">
    <xdr:from>
      <xdr:col>0</xdr:col>
      <xdr:colOff>3098800</xdr:colOff>
      <xdr:row>23</xdr:row>
      <xdr:rowOff>0</xdr:rowOff>
    </xdr:from>
    <xdr:to>
      <xdr:col>1</xdr:col>
      <xdr:colOff>12700</xdr:colOff>
      <xdr:row>23</xdr:row>
      <xdr:rowOff>114300</xdr:rowOff>
    </xdr:to>
    <xdr:sp macro="" textlink="">
      <xdr:nvSpPr>
        <xdr:cNvPr id="3186" name="CommandButton8" hidden="1">
          <a:extLst>
            <a:ext uri="{63B3BB69-23CF-44E3-9099-C40C66FF867C}">
              <a14:compatExt xmlns:a14="http://schemas.microsoft.com/office/drawing/2010/main" spid="_x0000_s3186"/>
            </a:ext>
            <a:ext uri="{FF2B5EF4-FFF2-40B4-BE49-F238E27FC236}">
              <a16:creationId xmlns:a16="http://schemas.microsoft.com/office/drawing/2014/main" id="{00000000-0008-0000-0500-0000720C0000}"/>
            </a:ext>
          </a:extLst>
        </xdr:cNvPr>
        <xdr:cNvSpPr/>
      </xdr:nvSpPr>
      <xdr:spPr>
        <a:xfrm>
          <a:off x="0" y="0"/>
          <a:ext cx="0" cy="0"/>
        </a:xfrm>
        <a:prstGeom prst="rect">
          <a:avLst/>
        </a:prstGeom>
      </xdr:spPr>
    </xdr:sp>
    <xdr:clientData/>
  </xdr:twoCellAnchor>
  <xdr:twoCellAnchor editAs="oneCell">
    <xdr:from>
      <xdr:col>0</xdr:col>
      <xdr:colOff>3086100</xdr:colOff>
      <xdr:row>25</xdr:row>
      <xdr:rowOff>12700</xdr:rowOff>
    </xdr:from>
    <xdr:to>
      <xdr:col>1</xdr:col>
      <xdr:colOff>0</xdr:colOff>
      <xdr:row>25</xdr:row>
      <xdr:rowOff>127000</xdr:rowOff>
    </xdr:to>
    <xdr:sp macro="" textlink="">
      <xdr:nvSpPr>
        <xdr:cNvPr id="3187" name="CommandButton9" hidden="1">
          <a:extLst>
            <a:ext uri="{63B3BB69-23CF-44E3-9099-C40C66FF867C}">
              <a14:compatExt xmlns:a14="http://schemas.microsoft.com/office/drawing/2010/main" spid="_x0000_s3187"/>
            </a:ext>
            <a:ext uri="{FF2B5EF4-FFF2-40B4-BE49-F238E27FC236}">
              <a16:creationId xmlns:a16="http://schemas.microsoft.com/office/drawing/2014/main" id="{00000000-0008-0000-0500-0000730C0000}"/>
            </a:ext>
          </a:extLst>
        </xdr:cNvPr>
        <xdr:cNvSpPr/>
      </xdr:nvSpPr>
      <xdr:spPr>
        <a:xfrm>
          <a:off x="0" y="0"/>
          <a:ext cx="0" cy="0"/>
        </a:xfrm>
        <a:prstGeom prst="rect">
          <a:avLst/>
        </a:prstGeom>
      </xdr:spPr>
    </xdr:sp>
    <xdr:clientData/>
  </xdr:twoCellAnchor>
  <xdr:twoCellAnchor editAs="oneCell">
    <xdr:from>
      <xdr:col>0</xdr:col>
      <xdr:colOff>3086100</xdr:colOff>
      <xdr:row>26</xdr:row>
      <xdr:rowOff>12700</xdr:rowOff>
    </xdr:from>
    <xdr:to>
      <xdr:col>1</xdr:col>
      <xdr:colOff>0</xdr:colOff>
      <xdr:row>26</xdr:row>
      <xdr:rowOff>127000</xdr:rowOff>
    </xdr:to>
    <xdr:sp macro="" textlink="">
      <xdr:nvSpPr>
        <xdr:cNvPr id="3188" name="CommandButton10" hidden="1">
          <a:extLst>
            <a:ext uri="{63B3BB69-23CF-44E3-9099-C40C66FF867C}">
              <a14:compatExt xmlns:a14="http://schemas.microsoft.com/office/drawing/2010/main" spid="_x0000_s3188"/>
            </a:ext>
            <a:ext uri="{FF2B5EF4-FFF2-40B4-BE49-F238E27FC236}">
              <a16:creationId xmlns:a16="http://schemas.microsoft.com/office/drawing/2014/main" id="{00000000-0008-0000-0500-0000740C0000}"/>
            </a:ext>
          </a:extLst>
        </xdr:cNvPr>
        <xdr:cNvSpPr/>
      </xdr:nvSpPr>
      <xdr:spPr>
        <a:xfrm>
          <a:off x="0" y="0"/>
          <a:ext cx="0" cy="0"/>
        </a:xfrm>
        <a:prstGeom prst="rect">
          <a:avLst/>
        </a:prstGeom>
      </xdr:spPr>
    </xdr:sp>
    <xdr:clientData/>
  </xdr:twoCellAnchor>
  <xdr:twoCellAnchor editAs="oneCell">
    <xdr:from>
      <xdr:col>0</xdr:col>
      <xdr:colOff>3086100</xdr:colOff>
      <xdr:row>26</xdr:row>
      <xdr:rowOff>177800</xdr:rowOff>
    </xdr:from>
    <xdr:to>
      <xdr:col>1</xdr:col>
      <xdr:colOff>0</xdr:colOff>
      <xdr:row>27</xdr:row>
      <xdr:rowOff>101600</xdr:rowOff>
    </xdr:to>
    <xdr:sp macro="" textlink="">
      <xdr:nvSpPr>
        <xdr:cNvPr id="3189" name="CommandButton11" hidden="1">
          <a:extLst>
            <a:ext uri="{63B3BB69-23CF-44E3-9099-C40C66FF867C}">
              <a14:compatExt xmlns:a14="http://schemas.microsoft.com/office/drawing/2010/main" spid="_x0000_s3189"/>
            </a:ext>
            <a:ext uri="{FF2B5EF4-FFF2-40B4-BE49-F238E27FC236}">
              <a16:creationId xmlns:a16="http://schemas.microsoft.com/office/drawing/2014/main" id="{00000000-0008-0000-0500-0000750C0000}"/>
            </a:ext>
          </a:extLst>
        </xdr:cNvPr>
        <xdr:cNvSpPr/>
      </xdr:nvSpPr>
      <xdr:spPr>
        <a:xfrm>
          <a:off x="0" y="0"/>
          <a:ext cx="0" cy="0"/>
        </a:xfrm>
        <a:prstGeom prst="rect">
          <a:avLst/>
        </a:prstGeom>
      </xdr:spPr>
    </xdr:sp>
    <xdr:clientData/>
  </xdr:twoCellAnchor>
  <xdr:twoCellAnchor editAs="oneCell">
    <xdr:from>
      <xdr:col>0</xdr:col>
      <xdr:colOff>3098800</xdr:colOff>
      <xdr:row>4</xdr:row>
      <xdr:rowOff>152400</xdr:rowOff>
    </xdr:from>
    <xdr:to>
      <xdr:col>1</xdr:col>
      <xdr:colOff>12700</xdr:colOff>
      <xdr:row>5</xdr:row>
      <xdr:rowOff>101600</xdr:rowOff>
    </xdr:to>
    <xdr:pic>
      <xdr:nvPicPr>
        <xdr:cNvPr id="2" name="CommandButton1">
          <a:extLst>
            <a:ext uri="{FF2B5EF4-FFF2-40B4-BE49-F238E27FC236}">
              <a16:creationId xmlns:a16="http://schemas.microsoft.com/office/drawing/2014/main" id="{00000000-0008-0000-05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98800" y="1079500"/>
          <a:ext cx="5461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6</xdr:col>
      <xdr:colOff>2603500</xdr:colOff>
      <xdr:row>2</xdr:row>
      <xdr:rowOff>0</xdr:rowOff>
    </xdr:from>
    <xdr:to>
      <xdr:col>7</xdr:col>
      <xdr:colOff>12700</xdr:colOff>
      <xdr:row>2</xdr:row>
      <xdr:rowOff>101600</xdr:rowOff>
    </xdr:to>
    <xdr:pic>
      <xdr:nvPicPr>
        <xdr:cNvPr id="3" name="CommandButton2">
          <a:extLst>
            <a:ext uri="{FF2B5EF4-FFF2-40B4-BE49-F238E27FC236}">
              <a16:creationId xmlns:a16="http://schemas.microsoft.com/office/drawing/2014/main" id="{00000000-0008-0000-05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88500" y="596900"/>
          <a:ext cx="495300" cy="101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6</xdr:col>
      <xdr:colOff>2616200</xdr:colOff>
      <xdr:row>17</xdr:row>
      <xdr:rowOff>0</xdr:rowOff>
    </xdr:from>
    <xdr:to>
      <xdr:col>7</xdr:col>
      <xdr:colOff>12700</xdr:colOff>
      <xdr:row>17</xdr:row>
      <xdr:rowOff>114300</xdr:rowOff>
    </xdr:to>
    <xdr:pic>
      <xdr:nvPicPr>
        <xdr:cNvPr id="4" name="CommandButton3">
          <a:extLst>
            <a:ext uri="{FF2B5EF4-FFF2-40B4-BE49-F238E27FC236}">
              <a16:creationId xmlns:a16="http://schemas.microsoft.com/office/drawing/2014/main" id="{00000000-0008-0000-0500-000004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601200" y="3162300"/>
          <a:ext cx="4826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3098800</xdr:colOff>
      <xdr:row>5</xdr:row>
      <xdr:rowOff>165100</xdr:rowOff>
    </xdr:from>
    <xdr:to>
      <xdr:col>1</xdr:col>
      <xdr:colOff>12700</xdr:colOff>
      <xdr:row>6</xdr:row>
      <xdr:rowOff>101600</xdr:rowOff>
    </xdr:to>
    <xdr:pic>
      <xdr:nvPicPr>
        <xdr:cNvPr id="5" name="CommandButton4">
          <a:extLst>
            <a:ext uri="{FF2B5EF4-FFF2-40B4-BE49-F238E27FC236}">
              <a16:creationId xmlns:a16="http://schemas.microsoft.com/office/drawing/2014/main" id="{00000000-0008-0000-0500-000005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098800" y="1257300"/>
          <a:ext cx="546100" cy="101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3098800</xdr:colOff>
      <xdr:row>11</xdr:row>
      <xdr:rowOff>165100</xdr:rowOff>
    </xdr:from>
    <xdr:to>
      <xdr:col>1</xdr:col>
      <xdr:colOff>12700</xdr:colOff>
      <xdr:row>12</xdr:row>
      <xdr:rowOff>101600</xdr:rowOff>
    </xdr:to>
    <xdr:pic>
      <xdr:nvPicPr>
        <xdr:cNvPr id="6" name="CommandButton5">
          <a:extLst>
            <a:ext uri="{FF2B5EF4-FFF2-40B4-BE49-F238E27FC236}">
              <a16:creationId xmlns:a16="http://schemas.microsoft.com/office/drawing/2014/main" id="{00000000-0008-0000-0500-000006000000}"/>
            </a:ext>
          </a:extLst>
        </xdr:cNvPr>
        <xdr:cNvPicPr preferRelativeResize="0">
          <a:picLocks noChangeArrowheads="1" noChangeShapeType="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98800" y="2362200"/>
          <a:ext cx="546100" cy="101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3086100</xdr:colOff>
      <xdr:row>19</xdr:row>
      <xdr:rowOff>177800</xdr:rowOff>
    </xdr:from>
    <xdr:to>
      <xdr:col>1</xdr:col>
      <xdr:colOff>0</xdr:colOff>
      <xdr:row>20</xdr:row>
      <xdr:rowOff>101600</xdr:rowOff>
    </xdr:to>
    <xdr:pic>
      <xdr:nvPicPr>
        <xdr:cNvPr id="7" name="CommandButton6">
          <a:extLst>
            <a:ext uri="{FF2B5EF4-FFF2-40B4-BE49-F238E27FC236}">
              <a16:creationId xmlns:a16="http://schemas.microsoft.com/office/drawing/2014/main" id="{00000000-0008-0000-0500-000007000000}"/>
            </a:ext>
          </a:extLst>
        </xdr:cNvPr>
        <xdr:cNvPicPr preferRelativeResize="0">
          <a:picLocks noChangeArrowheads="1" noChangeShapeType="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86100" y="3695700"/>
          <a:ext cx="5461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3098800</xdr:colOff>
      <xdr:row>22</xdr:row>
      <xdr:rowOff>0</xdr:rowOff>
    </xdr:from>
    <xdr:to>
      <xdr:col>1</xdr:col>
      <xdr:colOff>12700</xdr:colOff>
      <xdr:row>22</xdr:row>
      <xdr:rowOff>114300</xdr:rowOff>
    </xdr:to>
    <xdr:pic>
      <xdr:nvPicPr>
        <xdr:cNvPr id="8" name="CommandButton7">
          <a:extLst>
            <a:ext uri="{FF2B5EF4-FFF2-40B4-BE49-F238E27FC236}">
              <a16:creationId xmlns:a16="http://schemas.microsoft.com/office/drawing/2014/main" id="{00000000-0008-0000-0500-000008000000}"/>
            </a:ext>
          </a:extLst>
        </xdr:cNvPr>
        <xdr:cNvPicPr preferRelativeResize="0">
          <a:picLocks noChangeArrowheads="1" noChangeShapeType="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98800" y="4089400"/>
          <a:ext cx="5461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3098800</xdr:colOff>
      <xdr:row>23</xdr:row>
      <xdr:rowOff>0</xdr:rowOff>
    </xdr:from>
    <xdr:to>
      <xdr:col>1</xdr:col>
      <xdr:colOff>12700</xdr:colOff>
      <xdr:row>23</xdr:row>
      <xdr:rowOff>114300</xdr:rowOff>
    </xdr:to>
    <xdr:pic>
      <xdr:nvPicPr>
        <xdr:cNvPr id="9" name="CommandButton8">
          <a:extLst>
            <a:ext uri="{FF2B5EF4-FFF2-40B4-BE49-F238E27FC236}">
              <a16:creationId xmlns:a16="http://schemas.microsoft.com/office/drawing/2014/main" id="{00000000-0008-0000-0500-000009000000}"/>
            </a:ext>
          </a:extLst>
        </xdr:cNvPr>
        <xdr:cNvPicPr preferRelativeResize="0">
          <a:picLocks noChangeArrowheads="1" noChangeShapeType="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098800" y="4419600"/>
          <a:ext cx="5461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3086100</xdr:colOff>
      <xdr:row>25</xdr:row>
      <xdr:rowOff>12700</xdr:rowOff>
    </xdr:from>
    <xdr:to>
      <xdr:col>1</xdr:col>
      <xdr:colOff>0</xdr:colOff>
      <xdr:row>25</xdr:row>
      <xdr:rowOff>127000</xdr:rowOff>
    </xdr:to>
    <xdr:pic>
      <xdr:nvPicPr>
        <xdr:cNvPr id="10" name="CommandButton9">
          <a:extLst>
            <a:ext uri="{FF2B5EF4-FFF2-40B4-BE49-F238E27FC236}">
              <a16:creationId xmlns:a16="http://schemas.microsoft.com/office/drawing/2014/main" id="{00000000-0008-0000-0500-00000A000000}"/>
            </a:ext>
          </a:extLst>
        </xdr:cNvPr>
        <xdr:cNvPicPr preferRelativeResize="0">
          <a:picLocks noChangeArrowheads="1" noChangeShapeType="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086100" y="4813300"/>
          <a:ext cx="5461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3086100</xdr:colOff>
      <xdr:row>26</xdr:row>
      <xdr:rowOff>12700</xdr:rowOff>
    </xdr:from>
    <xdr:to>
      <xdr:col>1</xdr:col>
      <xdr:colOff>0</xdr:colOff>
      <xdr:row>26</xdr:row>
      <xdr:rowOff>127000</xdr:rowOff>
    </xdr:to>
    <xdr:pic>
      <xdr:nvPicPr>
        <xdr:cNvPr id="11" name="CommandButton10">
          <a:extLst>
            <a:ext uri="{FF2B5EF4-FFF2-40B4-BE49-F238E27FC236}">
              <a16:creationId xmlns:a16="http://schemas.microsoft.com/office/drawing/2014/main" id="{00000000-0008-0000-0500-00000B000000}"/>
            </a:ext>
          </a:extLst>
        </xdr:cNvPr>
        <xdr:cNvPicPr preferRelativeResize="0">
          <a:picLocks noChangeArrowheads="1" noChangeShapeType="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086100" y="5003800"/>
          <a:ext cx="5461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0</xdr:col>
      <xdr:colOff>3086100</xdr:colOff>
      <xdr:row>26</xdr:row>
      <xdr:rowOff>177800</xdr:rowOff>
    </xdr:from>
    <xdr:to>
      <xdr:col>1</xdr:col>
      <xdr:colOff>0</xdr:colOff>
      <xdr:row>27</xdr:row>
      <xdr:rowOff>101600</xdr:rowOff>
    </xdr:to>
    <xdr:pic>
      <xdr:nvPicPr>
        <xdr:cNvPr id="12" name="CommandButton11">
          <a:extLst>
            <a:ext uri="{FF2B5EF4-FFF2-40B4-BE49-F238E27FC236}">
              <a16:creationId xmlns:a16="http://schemas.microsoft.com/office/drawing/2014/main" id="{00000000-0008-0000-0500-00000C000000}"/>
            </a:ext>
          </a:extLst>
        </xdr:cNvPr>
        <xdr:cNvPicPr preferRelativeResize="0">
          <a:picLocks noChangeArrowheads="1" noChangeShapeType="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086100" y="5168900"/>
          <a:ext cx="5461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800100</xdr:colOff>
      <xdr:row>0</xdr:row>
      <xdr:rowOff>542925</xdr:rowOff>
    </xdr:to>
    <xdr:grpSp>
      <xdr:nvGrpSpPr>
        <xdr:cNvPr id="1166" name="Group 131">
          <a:extLst>
            <a:ext uri="{FF2B5EF4-FFF2-40B4-BE49-F238E27FC236}">
              <a16:creationId xmlns:a16="http://schemas.microsoft.com/office/drawing/2014/main" id="{00000000-0008-0000-0600-00008E040000}"/>
            </a:ext>
          </a:extLst>
        </xdr:cNvPr>
        <xdr:cNvGrpSpPr>
          <a:grpSpLocks/>
        </xdr:cNvGrpSpPr>
      </xdr:nvGrpSpPr>
      <xdr:grpSpPr bwMode="auto">
        <a:xfrm>
          <a:off x="0" y="0"/>
          <a:ext cx="800100" cy="542925"/>
          <a:chOff x="354" y="24"/>
          <a:chExt cx="164" cy="111"/>
        </a:xfrm>
      </xdr:grpSpPr>
      <xdr:sp macro="" textlink="">
        <xdr:nvSpPr>
          <xdr:cNvPr id="1167" name="Oval 132">
            <a:extLst>
              <a:ext uri="{FF2B5EF4-FFF2-40B4-BE49-F238E27FC236}">
                <a16:creationId xmlns:a16="http://schemas.microsoft.com/office/drawing/2014/main" id="{00000000-0008-0000-0600-00008F040000}"/>
              </a:ext>
            </a:extLst>
          </xdr:cNvPr>
          <xdr:cNvSpPr>
            <a:spLocks noChangeArrowheads="1"/>
          </xdr:cNvSpPr>
        </xdr:nvSpPr>
        <xdr:spPr bwMode="auto">
          <a:xfrm>
            <a:off x="401" y="28"/>
            <a:ext cx="69" cy="69"/>
          </a:xfrm>
          <a:prstGeom prst="ellipse">
            <a:avLst/>
          </a:prstGeom>
          <a:solidFill>
            <a:srgbClr val="FFFFFF"/>
          </a:solidFill>
          <a:ln>
            <a:noFill/>
          </a:ln>
          <a:extLst>
            <a:ext uri="{91240B29-F687-4F45-9708-019B960494DF}">
              <a14:hiddenLine xmlns:a14="http://schemas.microsoft.com/office/drawing/2010/main" w="9525">
                <a:solidFill>
                  <a:srgbClr val="000000"/>
                </a:solidFill>
                <a:round/>
                <a:headEnd/>
                <a:tailEnd/>
              </a14:hiddenLine>
            </a:ext>
          </a:extLst>
        </xdr:spPr>
      </xdr:sp>
      <xdr:pic>
        <xdr:nvPicPr>
          <xdr:cNvPr id="1168" name="Picture 133" descr="Logo LNEC">
            <a:extLst>
              <a:ext uri="{FF2B5EF4-FFF2-40B4-BE49-F238E27FC236}">
                <a16:creationId xmlns:a16="http://schemas.microsoft.com/office/drawing/2014/main" id="{00000000-0008-0000-0600-00009004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54" y="24"/>
            <a:ext cx="164" cy="1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editAs="oneCell">
    <xdr:from>
      <xdr:col>6</xdr:col>
      <xdr:colOff>2971800</xdr:colOff>
      <xdr:row>1</xdr:row>
      <xdr:rowOff>203200</xdr:rowOff>
    </xdr:from>
    <xdr:to>
      <xdr:col>36</xdr:col>
      <xdr:colOff>25400</xdr:colOff>
      <xdr:row>2</xdr:row>
      <xdr:rowOff>101600</xdr:rowOff>
    </xdr:to>
    <xdr:sp macro="" textlink="">
      <xdr:nvSpPr>
        <xdr:cNvPr id="1149" name="CommandButton1" hidden="1">
          <a:extLst>
            <a:ext uri="{63B3BB69-23CF-44E3-9099-C40C66FF867C}">
              <a14:compatExt xmlns:a14="http://schemas.microsoft.com/office/drawing/2010/main" spid="_x0000_s1149"/>
            </a:ext>
            <a:ext uri="{FF2B5EF4-FFF2-40B4-BE49-F238E27FC236}">
              <a16:creationId xmlns:a16="http://schemas.microsoft.com/office/drawing/2014/main" id="{00000000-0008-0000-0600-00007D040000}"/>
            </a:ext>
          </a:extLst>
        </xdr:cNvPr>
        <xdr:cNvSpPr/>
      </xdr:nvSpPr>
      <xdr:spPr>
        <a:xfrm>
          <a:off x="0" y="0"/>
          <a:ext cx="0" cy="0"/>
        </a:xfrm>
        <a:prstGeom prst="rect">
          <a:avLst/>
        </a:prstGeom>
      </xdr:spPr>
    </xdr:sp>
    <xdr:clientData/>
  </xdr:twoCellAnchor>
  <xdr:twoCellAnchor editAs="oneCell">
    <xdr:from>
      <xdr:col>5</xdr:col>
      <xdr:colOff>558800</xdr:colOff>
      <xdr:row>1</xdr:row>
      <xdr:rowOff>203200</xdr:rowOff>
    </xdr:from>
    <xdr:to>
      <xdr:col>6</xdr:col>
      <xdr:colOff>12700</xdr:colOff>
      <xdr:row>2</xdr:row>
      <xdr:rowOff>101600</xdr:rowOff>
    </xdr:to>
    <xdr:sp macro="" textlink="">
      <xdr:nvSpPr>
        <xdr:cNvPr id="1150" name="CommandButton2" hidden="1">
          <a:extLst>
            <a:ext uri="{63B3BB69-23CF-44E3-9099-C40C66FF867C}">
              <a14:compatExt xmlns:a14="http://schemas.microsoft.com/office/drawing/2010/main" spid="_x0000_s1150"/>
            </a:ext>
            <a:ext uri="{FF2B5EF4-FFF2-40B4-BE49-F238E27FC236}">
              <a16:creationId xmlns:a16="http://schemas.microsoft.com/office/drawing/2014/main" id="{00000000-0008-0000-0600-00007E040000}"/>
            </a:ext>
          </a:extLst>
        </xdr:cNvPr>
        <xdr:cNvSpPr/>
      </xdr:nvSpPr>
      <xdr:spPr>
        <a:xfrm>
          <a:off x="0" y="0"/>
          <a:ext cx="0" cy="0"/>
        </a:xfrm>
        <a:prstGeom prst="rect">
          <a:avLst/>
        </a:prstGeom>
      </xdr:spPr>
    </xdr:sp>
    <xdr:clientData/>
  </xdr:twoCellAnchor>
  <xdr:twoCellAnchor editAs="oneCell">
    <xdr:from>
      <xdr:col>5</xdr:col>
      <xdr:colOff>558800</xdr:colOff>
      <xdr:row>8</xdr:row>
      <xdr:rowOff>0</xdr:rowOff>
    </xdr:from>
    <xdr:to>
      <xdr:col>6</xdr:col>
      <xdr:colOff>12700</xdr:colOff>
      <xdr:row>8</xdr:row>
      <xdr:rowOff>114300</xdr:rowOff>
    </xdr:to>
    <xdr:sp macro="" textlink="">
      <xdr:nvSpPr>
        <xdr:cNvPr id="1151" name="CommandButton3" hidden="1">
          <a:extLst>
            <a:ext uri="{63B3BB69-23CF-44E3-9099-C40C66FF867C}">
              <a14:compatExt xmlns:a14="http://schemas.microsoft.com/office/drawing/2010/main" spid="_x0000_s1151"/>
            </a:ext>
            <a:ext uri="{FF2B5EF4-FFF2-40B4-BE49-F238E27FC236}">
              <a16:creationId xmlns:a16="http://schemas.microsoft.com/office/drawing/2014/main" id="{00000000-0008-0000-0600-00007F040000}"/>
            </a:ext>
          </a:extLst>
        </xdr:cNvPr>
        <xdr:cNvSpPr/>
      </xdr:nvSpPr>
      <xdr:spPr>
        <a:xfrm>
          <a:off x="0" y="0"/>
          <a:ext cx="0" cy="0"/>
        </a:xfrm>
        <a:prstGeom prst="rect">
          <a:avLst/>
        </a:prstGeom>
      </xdr:spPr>
    </xdr:sp>
    <xdr:clientData/>
  </xdr:twoCellAnchor>
  <xdr:twoCellAnchor editAs="oneCell">
    <xdr:from>
      <xdr:col>5</xdr:col>
      <xdr:colOff>558800</xdr:colOff>
      <xdr:row>11</xdr:row>
      <xdr:rowOff>0</xdr:rowOff>
    </xdr:from>
    <xdr:to>
      <xdr:col>6</xdr:col>
      <xdr:colOff>0</xdr:colOff>
      <xdr:row>11</xdr:row>
      <xdr:rowOff>114300</xdr:rowOff>
    </xdr:to>
    <xdr:sp macro="" textlink="">
      <xdr:nvSpPr>
        <xdr:cNvPr id="1152" name="CommandButton4" hidden="1">
          <a:extLst>
            <a:ext uri="{63B3BB69-23CF-44E3-9099-C40C66FF867C}">
              <a14:compatExt xmlns:a14="http://schemas.microsoft.com/office/drawing/2010/main" spid="_x0000_s1152"/>
            </a:ext>
            <a:ext uri="{FF2B5EF4-FFF2-40B4-BE49-F238E27FC236}">
              <a16:creationId xmlns:a16="http://schemas.microsoft.com/office/drawing/2014/main" id="{00000000-0008-0000-0600-000080040000}"/>
            </a:ext>
          </a:extLst>
        </xdr:cNvPr>
        <xdr:cNvSpPr/>
      </xdr:nvSpPr>
      <xdr:spPr>
        <a:xfrm>
          <a:off x="0" y="0"/>
          <a:ext cx="0" cy="0"/>
        </a:xfrm>
        <a:prstGeom prst="rect">
          <a:avLst/>
        </a:prstGeom>
      </xdr:spPr>
    </xdr:sp>
    <xdr:clientData/>
  </xdr:twoCellAnchor>
  <xdr:twoCellAnchor editAs="oneCell">
    <xdr:from>
      <xdr:col>6</xdr:col>
      <xdr:colOff>2971800</xdr:colOff>
      <xdr:row>1</xdr:row>
      <xdr:rowOff>203200</xdr:rowOff>
    </xdr:from>
    <xdr:to>
      <xdr:col>36</xdr:col>
      <xdr:colOff>25400</xdr:colOff>
      <xdr:row>2</xdr:row>
      <xdr:rowOff>101600</xdr:rowOff>
    </xdr:to>
    <xdr:pic>
      <xdr:nvPicPr>
        <xdr:cNvPr id="2" name="CommandButton1">
          <a:extLst>
            <a:ext uri="{FF2B5EF4-FFF2-40B4-BE49-F238E27FC236}">
              <a16:creationId xmlns:a16="http://schemas.microsoft.com/office/drawing/2014/main" id="{00000000-0008-0000-06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423900" y="749300"/>
          <a:ext cx="533400" cy="101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5</xdr:col>
      <xdr:colOff>558800</xdr:colOff>
      <xdr:row>1</xdr:row>
      <xdr:rowOff>203200</xdr:rowOff>
    </xdr:from>
    <xdr:to>
      <xdr:col>6</xdr:col>
      <xdr:colOff>12700</xdr:colOff>
      <xdr:row>2</xdr:row>
      <xdr:rowOff>101600</xdr:rowOff>
    </xdr:to>
    <xdr:pic>
      <xdr:nvPicPr>
        <xdr:cNvPr id="3" name="CommandButton2">
          <a:extLst>
            <a:ext uri="{FF2B5EF4-FFF2-40B4-BE49-F238E27FC236}">
              <a16:creationId xmlns:a16="http://schemas.microsoft.com/office/drawing/2014/main" id="{00000000-0008-0000-06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274300" y="749300"/>
          <a:ext cx="190500" cy="101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5</xdr:col>
      <xdr:colOff>558800</xdr:colOff>
      <xdr:row>8</xdr:row>
      <xdr:rowOff>0</xdr:rowOff>
    </xdr:from>
    <xdr:to>
      <xdr:col>6</xdr:col>
      <xdr:colOff>12700</xdr:colOff>
      <xdr:row>8</xdr:row>
      <xdr:rowOff>114300</xdr:rowOff>
    </xdr:to>
    <xdr:pic>
      <xdr:nvPicPr>
        <xdr:cNvPr id="4" name="CommandButton3">
          <a:extLst>
            <a:ext uri="{FF2B5EF4-FFF2-40B4-BE49-F238E27FC236}">
              <a16:creationId xmlns:a16="http://schemas.microsoft.com/office/drawing/2014/main" id="{00000000-0008-0000-0600-000004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274300" y="1778000"/>
          <a:ext cx="1905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5</xdr:col>
      <xdr:colOff>558800</xdr:colOff>
      <xdr:row>11</xdr:row>
      <xdr:rowOff>0</xdr:rowOff>
    </xdr:from>
    <xdr:to>
      <xdr:col>6</xdr:col>
      <xdr:colOff>0</xdr:colOff>
      <xdr:row>11</xdr:row>
      <xdr:rowOff>114300</xdr:rowOff>
    </xdr:to>
    <xdr:pic>
      <xdr:nvPicPr>
        <xdr:cNvPr id="5" name="CommandButton4">
          <a:extLst>
            <a:ext uri="{FF2B5EF4-FFF2-40B4-BE49-F238E27FC236}">
              <a16:creationId xmlns:a16="http://schemas.microsoft.com/office/drawing/2014/main" id="{00000000-0008-0000-0600-000005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274300" y="2298700"/>
          <a:ext cx="177800" cy="1143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carlos/Local%20Settings/Temporary%20Internet%20Files/OLKC/Auditorias%20de%20perdas%20-%20perdas%20aparent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lha de rosto"/>
      <sheetName val="Instruções"/>
      <sheetName val="Resultados - Indicadores "/>
      <sheetName val="Resultados - Balanço Hídrico "/>
      <sheetName val="(1) Dados do sistema"/>
      <sheetName val="(2) Água entrada no sistema"/>
      <sheetName val="(3) Consumo facturado"/>
      <sheetName val="(4) Consumo autor. não factur."/>
      <sheetName val="(5) Perdas aparentes"/>
      <sheetName val="(6) Perdas reais "/>
      <sheetName val="Opções de configuração"/>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8.xml"/><Relationship Id="rId3" Type="http://schemas.openxmlformats.org/officeDocument/2006/relationships/ctrlProp" Target="../ctrlProps/ctrlProp3.xml"/><Relationship Id="rId7" Type="http://schemas.openxmlformats.org/officeDocument/2006/relationships/ctrlProp" Target="../ctrlProps/ctrlProp7.xml"/><Relationship Id="rId2" Type="http://schemas.openxmlformats.org/officeDocument/2006/relationships/vmlDrawing" Target="../drawings/vmlDrawing3.vml"/><Relationship Id="rId1" Type="http://schemas.openxmlformats.org/officeDocument/2006/relationships/drawing" Target="../drawings/drawing12.xml"/><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11.xml.rels><?xml version="1.0" encoding="UTF-8" standalone="yes"?>
<Relationships xmlns="http://schemas.openxmlformats.org/package/2006/relationships"><Relationship Id="rId3" Type="http://schemas.openxmlformats.org/officeDocument/2006/relationships/ctrlProp" Target="../ctrlProps/ctrlProp9.xml"/><Relationship Id="rId2" Type="http://schemas.openxmlformats.org/officeDocument/2006/relationships/vmlDrawing" Target="../drawings/vmlDrawing4.vml"/><Relationship Id="rId1" Type="http://schemas.openxmlformats.org/officeDocument/2006/relationships/drawing" Target="../drawings/drawing13.xml"/><Relationship Id="rId5" Type="http://schemas.openxmlformats.org/officeDocument/2006/relationships/ctrlProp" Target="../ctrlProps/ctrlProp11.xml"/><Relationship Id="rId4" Type="http://schemas.openxmlformats.org/officeDocument/2006/relationships/ctrlProp" Target="../ctrlProps/ctrlProp10.xml"/></Relationships>
</file>

<file path=xl/worksheets/_rels/sheet12.xml.rels><?xml version="1.0" encoding="UTF-8" standalone="yes"?>
<Relationships xmlns="http://schemas.openxmlformats.org/package/2006/relationships"><Relationship Id="rId3" Type="http://schemas.openxmlformats.org/officeDocument/2006/relationships/ctrlProp" Target="../ctrlProps/ctrlProp12.xml"/><Relationship Id="rId2" Type="http://schemas.openxmlformats.org/officeDocument/2006/relationships/vmlDrawing" Target="../drawings/vmlDrawing5.vml"/><Relationship Id="rId1" Type="http://schemas.openxmlformats.org/officeDocument/2006/relationships/drawing" Target="../drawings/drawing14.xml"/><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8.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45"/>
  </sheetPr>
  <dimension ref="A1:AJ13"/>
  <sheetViews>
    <sheetView showGridLines="0" showRowColHeaders="0" zoomScale="125" zoomScaleNormal="125" zoomScalePageLayoutView="125" workbookViewId="0">
      <selection activeCell="O12" sqref="O12"/>
    </sheetView>
  </sheetViews>
  <sheetFormatPr defaultColWidth="8.85546875" defaultRowHeight="12.75" x14ac:dyDescent="0.2"/>
  <cols>
    <col min="12" max="12" width="15.7109375" style="265" hidden="1" customWidth="1"/>
    <col min="13" max="13" width="17.7109375" style="265" hidden="1" customWidth="1"/>
    <col min="26" max="26" width="9.140625" style="265" hidden="1" customWidth="1"/>
    <col min="27" max="29" width="28.28515625" style="265" hidden="1" customWidth="1"/>
    <col min="30" max="36" width="9.140625" style="265" hidden="1" customWidth="1"/>
  </cols>
  <sheetData>
    <row r="1" spans="1:36" ht="63" customHeight="1" x14ac:dyDescent="0.25">
      <c r="A1" s="746" t="str">
        <f>HLOOKUP(Z1,Traduções_Rosto,3,FALSE)</f>
        <v>Auditorias de perdas</v>
      </c>
      <c r="B1" s="746" t="e">
        <f>HLOOKUP(#REF!,Traduções_Rosto,ROW(),FALSE)</f>
        <v>#REF!</v>
      </c>
      <c r="C1" s="746" t="e">
        <f>HLOOKUP(#REF!,Traduções_Rosto,ROW(),FALSE)</f>
        <v>#REF!</v>
      </c>
      <c r="D1" s="746" t="e">
        <f>HLOOKUP(#REF!,Traduções_Rosto,ROW(),FALSE)</f>
        <v>#REF!</v>
      </c>
      <c r="E1" s="746" t="e">
        <f>HLOOKUP(#REF!,Traduções_Rosto,ROW(),FALSE)</f>
        <v>#REF!</v>
      </c>
      <c r="F1" s="746" t="e">
        <f>HLOOKUP(#REF!,Traduções_Rosto,ROW(),FALSE)</f>
        <v>#REF!</v>
      </c>
      <c r="G1" s="746" t="e">
        <f>HLOOKUP(#REF!,Traduções_Rosto,ROW(),FALSE)</f>
        <v>#REF!</v>
      </c>
      <c r="H1" s="746" t="e">
        <f>HLOOKUP(#REF!,Traduções_Rosto,ROW(),FALSE)</f>
        <v>#REF!</v>
      </c>
      <c r="I1" s="746" t="e">
        <f>HLOOKUP(#REF!,Traduções_Rosto,ROW(),FALSE)</f>
        <v>#REF!</v>
      </c>
      <c r="J1" s="13"/>
      <c r="K1" s="13"/>
      <c r="L1" s="562"/>
      <c r="M1" s="562"/>
      <c r="N1" s="563"/>
      <c r="O1" s="13"/>
      <c r="Z1" s="265" t="str">
        <f>'Output (1)'!H11</f>
        <v>Português</v>
      </c>
      <c r="AA1" s="661" t="s">
        <v>70</v>
      </c>
      <c r="AB1" s="661" t="s">
        <v>72</v>
      </c>
      <c r="AC1" s="661" t="s">
        <v>140</v>
      </c>
    </row>
    <row r="2" spans="1:36" ht="38.25" x14ac:dyDescent="0.25">
      <c r="A2" s="747" t="str">
        <f>HLOOKUP(Z1,Traduções_Rosto,ROW(),FALSE)</f>
        <v xml:space="preserve">Cálculo do balanço hídrico e dos indicadores de perdas de água </v>
      </c>
      <c r="B2" s="747" t="e">
        <f>HLOOKUP(#REF!,Traduções_Rosto,ROW(),FALSE)</f>
        <v>#REF!</v>
      </c>
      <c r="C2" s="747" t="e">
        <f>HLOOKUP(#REF!,Traduções_Rosto,ROW(),FALSE)</f>
        <v>#REF!</v>
      </c>
      <c r="D2" s="747" t="e">
        <f>HLOOKUP(#REF!,Traduções_Rosto,ROW(),FALSE)</f>
        <v>#REF!</v>
      </c>
      <c r="E2" s="747" t="e">
        <f>HLOOKUP(#REF!,Traduções_Rosto,ROW(),FALSE)</f>
        <v>#REF!</v>
      </c>
      <c r="F2" s="747" t="e">
        <f>HLOOKUP(#REF!,Traduções_Rosto,ROW(),FALSE)</f>
        <v>#REF!</v>
      </c>
      <c r="G2" s="747" t="e">
        <f>HLOOKUP(#REF!,Traduções_Rosto,ROW(),FALSE)</f>
        <v>#REF!</v>
      </c>
      <c r="H2" s="747" t="e">
        <f>HLOOKUP(#REF!,Traduções_Rosto,ROW(),FALSE)</f>
        <v>#REF!</v>
      </c>
      <c r="I2" s="747" t="e">
        <f>HLOOKUP(#REF!,Traduções_Rosto,ROW(),FALSE)</f>
        <v>#REF!</v>
      </c>
      <c r="J2" s="13"/>
      <c r="K2" s="13"/>
      <c r="L2" s="564"/>
      <c r="M2" s="565"/>
      <c r="N2" s="563"/>
      <c r="O2" s="13"/>
      <c r="AA2" s="662" t="s">
        <v>432</v>
      </c>
      <c r="AB2" s="662" t="s">
        <v>136</v>
      </c>
      <c r="AC2" s="728" t="s">
        <v>158</v>
      </c>
      <c r="AD2" s="663"/>
      <c r="AE2" s="663"/>
      <c r="AF2" s="663"/>
      <c r="AG2" s="663"/>
      <c r="AH2" s="663"/>
      <c r="AI2" s="663"/>
      <c r="AJ2" s="298"/>
    </row>
    <row r="3" spans="1:36" x14ac:dyDescent="0.2">
      <c r="A3" s="2"/>
      <c r="B3" s="2"/>
      <c r="C3" s="2"/>
      <c r="D3" s="2"/>
      <c r="E3" s="2"/>
      <c r="F3" s="2"/>
      <c r="G3" s="2"/>
      <c r="H3" s="2"/>
      <c r="I3" s="2"/>
      <c r="L3" s="566"/>
      <c r="M3" s="567"/>
      <c r="N3" s="23"/>
      <c r="AA3" s="265" t="s">
        <v>428</v>
      </c>
      <c r="AB3" s="265" t="s">
        <v>137</v>
      </c>
      <c r="AC3" s="344" t="s">
        <v>159</v>
      </c>
    </row>
    <row r="4" spans="1:36" s="16" customFormat="1" ht="15.75" x14ac:dyDescent="0.25">
      <c r="A4" s="748">
        <f>'Input (1)'!B4</f>
        <v>0</v>
      </c>
      <c r="B4" s="748"/>
      <c r="C4" s="748"/>
      <c r="D4" s="748"/>
      <c r="E4" s="748"/>
      <c r="F4" s="748"/>
      <c r="G4" s="748"/>
      <c r="H4" s="748"/>
      <c r="I4" s="748"/>
      <c r="J4" s="15"/>
      <c r="K4" s="15"/>
      <c r="L4" s="564"/>
      <c r="M4" s="567"/>
      <c r="N4" s="568"/>
      <c r="O4" s="15"/>
      <c r="Z4" s="664"/>
      <c r="AA4" s="664"/>
      <c r="AB4" s="664"/>
      <c r="AC4" s="344"/>
      <c r="AD4" s="664"/>
      <c r="AE4" s="664"/>
      <c r="AF4" s="664"/>
      <c r="AG4" s="664"/>
      <c r="AH4" s="664"/>
      <c r="AI4" s="664"/>
      <c r="AJ4" s="664"/>
    </row>
    <row r="5" spans="1:36" s="16" customFormat="1" ht="15.75" x14ac:dyDescent="0.25">
      <c r="A5" s="748">
        <f>'Input (1)'!B5</f>
        <v>0</v>
      </c>
      <c r="B5" s="748"/>
      <c r="C5" s="748"/>
      <c r="D5" s="748"/>
      <c r="E5" s="748"/>
      <c r="F5" s="748"/>
      <c r="G5" s="748"/>
      <c r="H5" s="748"/>
      <c r="I5" s="748"/>
      <c r="J5" s="15"/>
      <c r="K5" s="15"/>
      <c r="L5" s="569"/>
      <c r="M5" s="569"/>
      <c r="N5" s="568"/>
      <c r="O5" s="15"/>
      <c r="Z5" s="664"/>
      <c r="AA5" s="664"/>
      <c r="AB5" s="664"/>
      <c r="AC5" s="344"/>
      <c r="AD5" s="664"/>
      <c r="AE5" s="664"/>
      <c r="AF5" s="664"/>
      <c r="AG5" s="664"/>
      <c r="AH5" s="664"/>
      <c r="AI5" s="664"/>
      <c r="AJ5" s="664"/>
    </row>
    <row r="6" spans="1:36" ht="26.25" customHeight="1" x14ac:dyDescent="0.25">
      <c r="A6" s="745">
        <f>'Input (1)'!B8</f>
        <v>0</v>
      </c>
      <c r="B6" s="745"/>
      <c r="C6" s="745"/>
      <c r="D6" s="745"/>
      <c r="E6" s="745"/>
      <c r="F6" s="745"/>
      <c r="G6" s="745"/>
      <c r="H6" s="745"/>
      <c r="I6" s="745"/>
      <c r="J6" s="14"/>
      <c r="K6" s="14"/>
      <c r="L6" s="569"/>
      <c r="M6" s="569"/>
      <c r="N6" s="570"/>
      <c r="O6" s="14"/>
      <c r="AA6" s="296"/>
      <c r="AB6" s="296"/>
      <c r="AC6" s="344"/>
      <c r="AD6" s="296"/>
    </row>
    <row r="7" spans="1:36" x14ac:dyDescent="0.2">
      <c r="A7" s="2"/>
      <c r="B7" s="2"/>
      <c r="C7" s="2"/>
      <c r="D7" s="2"/>
      <c r="E7" s="2"/>
      <c r="F7" s="2"/>
      <c r="G7" s="2"/>
      <c r="H7" s="504"/>
      <c r="I7" s="504"/>
      <c r="L7" s="316"/>
      <c r="M7" s="316"/>
      <c r="N7" s="23"/>
      <c r="AA7" s="296"/>
      <c r="AB7" s="296"/>
      <c r="AC7" s="344"/>
      <c r="AD7" s="296"/>
    </row>
    <row r="8" spans="1:36" x14ac:dyDescent="0.2">
      <c r="A8" s="2"/>
      <c r="B8" s="2"/>
      <c r="C8" s="2"/>
      <c r="D8" s="221" t="str">
        <f>HLOOKUP(Z1,Traduções_Rosto,ROW(),FALSE)</f>
        <v>Período em análise:</v>
      </c>
      <c r="E8" s="222">
        <f>'Input (1)'!B13</f>
        <v>0</v>
      </c>
      <c r="F8" s="2"/>
      <c r="G8" s="2"/>
      <c r="H8" s="503"/>
      <c r="I8" s="503"/>
      <c r="L8" s="316"/>
      <c r="M8" s="316"/>
      <c r="N8" s="23"/>
      <c r="AA8" s="565" t="s">
        <v>529</v>
      </c>
      <c r="AB8" s="565" t="s">
        <v>138</v>
      </c>
      <c r="AC8" s="729" t="s">
        <v>139</v>
      </c>
      <c r="AD8" s="296"/>
    </row>
    <row r="9" spans="1:36" x14ac:dyDescent="0.2">
      <c r="A9" s="2"/>
      <c r="B9" s="2"/>
      <c r="C9" s="2"/>
      <c r="D9" s="2"/>
      <c r="E9" s="2"/>
      <c r="F9" s="2"/>
      <c r="G9" s="2"/>
      <c r="H9" s="520" t="s">
        <v>1048</v>
      </c>
      <c r="I9" s="2"/>
      <c r="AA9" s="296"/>
      <c r="AB9" s="296"/>
      <c r="AC9" s="344"/>
      <c r="AD9" s="296"/>
    </row>
    <row r="10" spans="1:36" ht="13.5" thickBot="1" x14ac:dyDescent="0.25">
      <c r="A10" s="181" t="s">
        <v>5</v>
      </c>
      <c r="B10" s="2"/>
      <c r="C10" s="2"/>
      <c r="D10" s="2"/>
      <c r="E10" s="2"/>
      <c r="F10" s="92"/>
      <c r="G10" s="2"/>
      <c r="H10" s="520" t="s">
        <v>79</v>
      </c>
      <c r="I10" s="2"/>
      <c r="AA10" s="296"/>
      <c r="AB10" s="296"/>
      <c r="AC10" s="344"/>
      <c r="AD10" s="296"/>
    </row>
    <row r="11" spans="1:36" ht="14.25" thickTop="1" thickBot="1" x14ac:dyDescent="0.25">
      <c r="A11" s="181" t="str">
        <f>HLOOKUP(H11,Traduções_Rosto,ROW(),FALSE)</f>
        <v>Versão: 2.04 (Outubro de 2006)</v>
      </c>
      <c r="B11" s="2"/>
      <c r="C11" s="2"/>
      <c r="D11" s="2"/>
      <c r="E11" s="2"/>
      <c r="F11" s="92"/>
      <c r="G11" s="2"/>
      <c r="H11" s="519" t="s">
        <v>70</v>
      </c>
      <c r="I11" s="2"/>
      <c r="AA11" s="665" t="s">
        <v>117</v>
      </c>
      <c r="AB11" s="665" t="s">
        <v>118</v>
      </c>
      <c r="AC11" s="730" t="s">
        <v>119</v>
      </c>
      <c r="AD11" s="296"/>
    </row>
    <row r="12" spans="1:36" ht="56.25" customHeight="1" thickTop="1" x14ac:dyDescent="0.2">
      <c r="A12" s="2"/>
      <c r="B12" s="2"/>
      <c r="C12" s="2"/>
      <c r="D12" s="2"/>
      <c r="E12" s="2"/>
      <c r="F12" s="2"/>
      <c r="G12" s="2"/>
      <c r="H12" s="2"/>
      <c r="I12" s="2"/>
      <c r="AA12" s="296"/>
      <c r="AB12" s="296"/>
      <c r="AC12" s="296"/>
      <c r="AD12" s="296"/>
    </row>
    <row r="13" spans="1:36" x14ac:dyDescent="0.2">
      <c r="A13" s="17"/>
      <c r="B13" s="17"/>
      <c r="C13" s="17"/>
      <c r="D13" s="17"/>
    </row>
  </sheetData>
  <sheetProtection sheet="1" objects="1" scenarios="1"/>
  <mergeCells count="5">
    <mergeCell ref="A6:I6"/>
    <mergeCell ref="A1:I1"/>
    <mergeCell ref="A2:I2"/>
    <mergeCell ref="A4:I4"/>
    <mergeCell ref="A5:I5"/>
  </mergeCells>
  <phoneticPr fontId="8" type="noConversion"/>
  <dataValidations count="1">
    <dataValidation type="list" allowBlank="1" showInputMessage="1" showErrorMessage="1" sqref="H11" xr:uid="{00000000-0002-0000-0000-000000000000}">
      <formula1>$AA$1:$AC$1</formula1>
    </dataValidation>
  </dataValidations>
  <pageMargins left="0.75" right="0.75" top="1" bottom="1" header="0.5" footer="0.5"/>
  <pageSetup paperSize="9" orientation="portrait"/>
  <headerFooter alignWithMargins="0"/>
  <cellWatches>
    <cellWatch r="H11"/>
    <cellWatch r="I11"/>
  </cellWatche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44"/>
  </sheetPr>
  <dimension ref="A1:AJ34"/>
  <sheetViews>
    <sheetView showRowColHeaders="0" zoomScale="125" zoomScaleNormal="125" zoomScalePageLayoutView="125" workbookViewId="0">
      <selection activeCell="D14" sqref="D14"/>
    </sheetView>
  </sheetViews>
  <sheetFormatPr defaultColWidth="8.85546875" defaultRowHeight="12.75" x14ac:dyDescent="0.2"/>
  <cols>
    <col min="1" max="1" width="78.85546875" bestFit="1" customWidth="1"/>
    <col min="2" max="2" width="8.42578125" customWidth="1"/>
    <col min="3" max="3" width="4.7109375" customWidth="1"/>
    <col min="4" max="4" width="11.42578125" customWidth="1"/>
    <col min="5" max="5" width="11.140625" customWidth="1"/>
    <col min="6" max="6" width="9.42578125" style="265" hidden="1" customWidth="1"/>
    <col min="7" max="7" width="11.28515625" bestFit="1" customWidth="1"/>
    <col min="8" max="8" width="9.7109375" style="130" customWidth="1"/>
    <col min="9" max="9" width="36.28515625" customWidth="1"/>
    <col min="10" max="12" width="13.42578125" style="265" hidden="1" customWidth="1"/>
    <col min="13" max="13" width="12" style="265" hidden="1" customWidth="1"/>
    <col min="14" max="14" width="10.7109375" style="265" hidden="1" customWidth="1"/>
    <col min="15" max="15" width="21.42578125" style="265" hidden="1" customWidth="1"/>
    <col min="16" max="26" width="9.140625" style="265" hidden="1" customWidth="1"/>
    <col min="27" max="29" width="78.85546875" style="265" hidden="1" customWidth="1"/>
    <col min="30" max="36" width="9.140625" style="265" hidden="1" customWidth="1"/>
  </cols>
  <sheetData>
    <row r="1" spans="1:36" ht="41.25" customHeight="1" thickBot="1" x14ac:dyDescent="0.25">
      <c r="Z1" s="265" t="str">
        <f>'Output (1)'!H11</f>
        <v>Português</v>
      </c>
      <c r="AA1" s="661" t="str">
        <f>'Output (1)'!AA1</f>
        <v>Português</v>
      </c>
      <c r="AB1" s="661" t="str">
        <f>'Output (1)'!AB1</f>
        <v>English</v>
      </c>
      <c r="AC1" s="661" t="str">
        <f>'Output (1)'!AC1</f>
        <v>Español</v>
      </c>
    </row>
    <row r="2" spans="1:36" s="223" customFormat="1" ht="27" thickBot="1" x14ac:dyDescent="0.3">
      <c r="A2" s="614" t="str">
        <f>HLOOKUP('Output (1)'!$H$11,Traduções_5,ROW(),FALSE)</f>
        <v>Perdas aparentes</v>
      </c>
      <c r="B2" s="614"/>
      <c r="C2" s="614"/>
      <c r="E2" s="718" t="str">
        <f>HLOOKUP('Output (1)'!$H$11,Traduções_5,21,FALSE)</f>
        <v>Escolha unidades</v>
      </c>
      <c r="F2" s="596"/>
      <c r="G2" s="598" t="str">
        <f>HLOOKUP('Output (1)'!$H$11,Traduções_5,24,FALSE)</f>
        <v>Fiabilidade</v>
      </c>
      <c r="H2" s="599" t="str">
        <f>HLOOKUP('Output (1)'!$H$11,Traduções_5,25,FALSE)</f>
        <v>Exactidão</v>
      </c>
      <c r="I2" s="224" t="str">
        <f>HLOOKUP('Output (1)'!$H$11,Traduções_5,24,FALSE)</f>
        <v>Fiabilidade</v>
      </c>
      <c r="J2" s="266" t="s">
        <v>6</v>
      </c>
      <c r="K2" s="267" t="s">
        <v>560</v>
      </c>
      <c r="L2" s="615" t="s">
        <v>556</v>
      </c>
      <c r="M2" s="616" t="s">
        <v>555</v>
      </c>
      <c r="N2" s="617" t="s">
        <v>557</v>
      </c>
      <c r="O2" s="618" t="s">
        <v>558</v>
      </c>
      <c r="P2" s="596"/>
      <c r="Q2" s="596"/>
      <c r="R2" s="596"/>
      <c r="S2" s="596"/>
      <c r="T2" s="596"/>
      <c r="U2" s="596"/>
      <c r="V2" s="596"/>
      <c r="W2" s="596"/>
      <c r="X2" s="596"/>
      <c r="Y2" s="596"/>
      <c r="Z2" s="596"/>
      <c r="AA2" s="697" t="s">
        <v>494</v>
      </c>
      <c r="AB2" s="697" t="s">
        <v>978</v>
      </c>
      <c r="AC2" s="697" t="s">
        <v>232</v>
      </c>
      <c r="AD2" s="596"/>
      <c r="AE2" s="596"/>
      <c r="AF2" s="596"/>
      <c r="AG2" s="596"/>
      <c r="AH2" s="596"/>
      <c r="AI2" s="596"/>
      <c r="AJ2" s="596"/>
    </row>
    <row r="3" spans="1:36" ht="25.5" customHeight="1" thickBot="1" x14ac:dyDescent="0.25">
      <c r="A3" s="3" t="str">
        <f>HLOOKUP('Output (1)'!$H$11,Traduções_5,ROW(),FALSE)</f>
        <v>Uso não autorizado:</v>
      </c>
      <c r="B3" s="3"/>
      <c r="C3" s="3"/>
      <c r="D3" s="424">
        <f>SUM(F4:F7)</f>
        <v>0</v>
      </c>
      <c r="E3" s="556" t="str">
        <f>HLOOKUP('Output (1)'!$H$11,Traduções_5,22,FALSE)</f>
        <v>m3/ano</v>
      </c>
      <c r="F3" s="383" t="str">
        <f>HLOOKUP('Output (1)'!$H$11,Traduções_5,21,FALSE)</f>
        <v>Escolha unidades</v>
      </c>
      <c r="G3" s="9"/>
      <c r="H3" s="510" t="str">
        <f>IF(D3&lt;&gt;0,CONCATENATE(J3*100,"-",K3*100," %")," ")</f>
        <v xml:space="preserve"> </v>
      </c>
      <c r="I3" s="775"/>
      <c r="J3" s="366" t="e">
        <f>IF('Configuration options'!$A$16=1,INT(L3/$D3*100)/100,IF('Configuration options'!$A$16=2,INT(N3/$D3*100)/100,"Erro"))</f>
        <v>#DIV/0!</v>
      </c>
      <c r="K3" s="321" t="e">
        <f>IF('Configuration options'!$A$16=1,INT(M3/$D3*100)/100,IF('Configuration options'!$A$16=2,INT(O3/$D3*100)/100,"Erro"))</f>
        <v>#DIV/0!</v>
      </c>
      <c r="L3" s="367">
        <f>SUM(L4:L7)</f>
        <v>0</v>
      </c>
      <c r="M3" s="321">
        <f>SUM(M4:M7)</f>
        <v>0</v>
      </c>
      <c r="N3" s="366">
        <f>SQRT(N4^2+N5^2+N6^2+N7^2)</f>
        <v>0</v>
      </c>
      <c r="O3" s="301">
        <f>SQRT(O4^2+O5^2+O6^2+O7^2)</f>
        <v>0</v>
      </c>
      <c r="AA3" s="265" t="s">
        <v>541</v>
      </c>
      <c r="AB3" s="265" t="s">
        <v>688</v>
      </c>
      <c r="AC3" s="265" t="s">
        <v>355</v>
      </c>
    </row>
    <row r="4" spans="1:36" ht="14.25" customHeight="1" thickBot="1" x14ac:dyDescent="0.25">
      <c r="A4" s="189" t="str">
        <f>HLOOKUP('Output (1)'!$H$11,Traduções_5,ROW(),FALSE)</f>
        <v xml:space="preserve">  Consumo relativo a utilização fraudulenta de marcos e bocas de incêndio e de rega</v>
      </c>
      <c r="B4" s="4"/>
      <c r="C4" s="4"/>
      <c r="D4" s="542">
        <v>0</v>
      </c>
      <c r="E4" s="544" t="s">
        <v>67</v>
      </c>
      <c r="F4" s="349">
        <f>IF(E4=$L$22,'Configuration options'!$K$6,IF(E4=$L$23,'Configuration options'!$K$7,IF(E4=$L$24,'Configuration options'!$K$8,IF(E4=$L$25,'Configuration options'!$K$9,IF(E4=$L$26,'Configuration options'!$K$10,IF(E4=$L$27,'Configuration options'!$K$11,0))))))*D4</f>
        <v>0</v>
      </c>
      <c r="G4" s="509" t="s">
        <v>424</v>
      </c>
      <c r="H4" s="509" t="s">
        <v>68</v>
      </c>
      <c r="I4" s="796"/>
      <c r="J4" s="396">
        <f>IF(H4=$K$22,'Configuration options'!$E$6,IF(H4=$K$23,'Configuration options'!$E$7/100,IF(H4=$K$24,'Configuration options'!$E$8/100,IF(H4=$K$25,'Configuration options'!$E$9/100,IF(H4=$K$26,'Configuration options'!$E$10/100,"erro")))))</f>
        <v>1.01</v>
      </c>
      <c r="K4" s="354">
        <f>IF(H4=$K$22,'Configuration options'!$G$6,IF(H4=$K$23,'Configuration options'!$G$7,IF(H4=$K$24,'Configuration options'!$G$8,IF(H4=$K$25,'Configuration options'!$G$9,IF(H4=$K$26,'Configuration options'!$G$10,"erro")))))</f>
        <v>3</v>
      </c>
      <c r="L4" s="355">
        <f>J4*F4</f>
        <v>0</v>
      </c>
      <c r="M4" s="356">
        <f>K4*F4</f>
        <v>0</v>
      </c>
      <c r="N4" s="319">
        <f>J4*F4</f>
        <v>0</v>
      </c>
      <c r="O4" s="308">
        <f>K4*F4</f>
        <v>0</v>
      </c>
      <c r="AA4" s="265" t="s">
        <v>36</v>
      </c>
      <c r="AB4" s="265" t="s">
        <v>444</v>
      </c>
      <c r="AC4" s="265" t="s">
        <v>356</v>
      </c>
    </row>
    <row r="5" spans="1:36" ht="15.75" customHeight="1" thickBot="1" x14ac:dyDescent="0.25">
      <c r="A5" s="4" t="str">
        <f>HLOOKUP('Output (1)'!$H$11,Traduções_5,ROW(),FALSE)</f>
        <v xml:space="preserve">  Consumo relativo a ligações ilícitas</v>
      </c>
      <c r="B5" s="4"/>
      <c r="C5" s="4"/>
      <c r="D5" s="538">
        <v>0</v>
      </c>
      <c r="E5" s="544" t="s">
        <v>67</v>
      </c>
      <c r="F5" s="349">
        <f>IF(E5=$L$22,'Configuration options'!$K$6,IF(E5=$L$23,'Configuration options'!$K$7,IF(E5=$L$24,'Configuration options'!$K$8,IF(E5=$L$25,'Configuration options'!$K$9,IF(E5=$L$26,'Configuration options'!$K$10,IF(E5=$L$27,'Configuration options'!$K$11,0))))))*D5</f>
        <v>0</v>
      </c>
      <c r="G5" s="509" t="s">
        <v>424</v>
      </c>
      <c r="H5" s="509" t="s">
        <v>68</v>
      </c>
      <c r="I5" s="796"/>
      <c r="J5" s="390">
        <f>IF(H5=$K$22,'Configuration options'!$E$6,IF(H5=$K$23,'Configuration options'!$E$7/100,IF(H5=$K$24,'Configuration options'!$E$8/100,IF(H5=$K$25,'Configuration options'!$E$9/100,IF(H5=$K$26,'Configuration options'!$E$10/100,"erro")))))</f>
        <v>1.01</v>
      </c>
      <c r="K5" s="358">
        <f>IF(H5=$K$22,'Configuration options'!$G$6,IF(H5=$K$23,'Configuration options'!$G$7,IF(H5=$K$24,'Configuration options'!$G$8,IF(H5=$K$25,'Configuration options'!$G$9,IF(H5=$K$26,'Configuration options'!$G$10,"erro")))))</f>
        <v>3</v>
      </c>
      <c r="L5" s="327">
        <f>J5*F5</f>
        <v>0</v>
      </c>
      <c r="M5" s="328">
        <f>K5*F5</f>
        <v>0</v>
      </c>
      <c r="N5" s="319">
        <f>J5*F5</f>
        <v>0</v>
      </c>
      <c r="O5" s="308">
        <f>K5*F5</f>
        <v>0</v>
      </c>
      <c r="AA5" s="265" t="s">
        <v>542</v>
      </c>
      <c r="AB5" s="265" t="s">
        <v>445</v>
      </c>
      <c r="AC5" s="265" t="s">
        <v>357</v>
      </c>
    </row>
    <row r="6" spans="1:36" ht="14.25" customHeight="1" thickBot="1" x14ac:dyDescent="0.25">
      <c r="A6" s="801"/>
      <c r="B6" s="802"/>
      <c r="C6" s="803"/>
      <c r="D6" s="538"/>
      <c r="E6" s="544"/>
      <c r="F6" s="349">
        <f>IF(E6=$L$22,'Configuration options'!$K$6,IF(E6=$L$23,'Configuration options'!$K$7,IF(E6=$L$24,'Configuration options'!$K$8,IF(E6=$L$25,'Configuration options'!$K$9,IF(E6=$L$26,'Configuration options'!$K$10,IF(E6=$L$27,'Configuration options'!$K$11,0))))))*D6</f>
        <v>0</v>
      </c>
      <c r="G6" s="509" t="s">
        <v>424</v>
      </c>
      <c r="H6" s="509" t="s">
        <v>68</v>
      </c>
      <c r="I6" s="796"/>
      <c r="J6" s="390">
        <f>IF(H6=$K$22,'Configuration options'!$E$6,IF(H6=$K$23,'Configuration options'!$E$7/100,IF(H6=$K$24,'Configuration options'!$E$8/100,IF(H6=$K$25,'Configuration options'!$E$9/100,IF(H6=$K$26,'Configuration options'!$E$10/100,"erro")))))</f>
        <v>1.01</v>
      </c>
      <c r="K6" s="358">
        <f>IF(H6=$K$22,'Configuration options'!$G$6,IF(H6=$K$23,'Configuration options'!$G$7,IF(H6=$K$24,'Configuration options'!$G$8,IF(H6=$K$25,'Configuration options'!$G$9,IF(H6=$K$26,'Configuration options'!$G$10,"erro")))))</f>
        <v>3</v>
      </c>
      <c r="L6" s="327">
        <f>J6*F6</f>
        <v>0</v>
      </c>
      <c r="M6" s="328">
        <f>K6*F6</f>
        <v>0</v>
      </c>
      <c r="N6" s="319">
        <f>J6*F6</f>
        <v>0</v>
      </c>
      <c r="O6" s="308">
        <f>K6*F6</f>
        <v>0</v>
      </c>
    </row>
    <row r="7" spans="1:36" ht="14.25" customHeight="1" thickBot="1" x14ac:dyDescent="0.25">
      <c r="A7" s="801"/>
      <c r="B7" s="802"/>
      <c r="C7" s="803"/>
      <c r="D7" s="538"/>
      <c r="E7" s="544"/>
      <c r="F7" s="349">
        <f>IF(E7=$L$22,'Configuration options'!$K$6,IF(E7=$L$23,'Configuration options'!$K$7,IF(E7=$L$24,'Configuration options'!$K$8,IF(E7=$L$25,'Configuration options'!$K$9,IF(E7=$L$26,'Configuration options'!$K$10,IF(E7=$L$27,'Configuration options'!$K$11,0))))))*D7</f>
        <v>0</v>
      </c>
      <c r="G7" s="509" t="s">
        <v>424</v>
      </c>
      <c r="H7" s="509" t="s">
        <v>68</v>
      </c>
      <c r="I7" s="797"/>
      <c r="J7" s="487">
        <f>IF(H7=$K$22,'Configuration options'!$E$6,IF(H7=$K$23,'Configuration options'!$E$7/100,IF(H7=$K$24,'Configuration options'!$E$8/100,IF(H7=$K$25,'Configuration options'!$E$9/100,IF(H7=$K$26,'Configuration options'!$E$10/100,"erro")))))</f>
        <v>1.01</v>
      </c>
      <c r="K7" s="368">
        <f>IF(H7=$K$22,'Configuration options'!$G$6,IF(H7=$K$23,'Configuration options'!$G$7,IF(H7=$K$24,'Configuration options'!$G$8,IF(H7=$K$25,'Configuration options'!$G$9,IF(H7=$K$26,'Configuration options'!$G$10,"erro")))))</f>
        <v>3</v>
      </c>
      <c r="L7" s="369">
        <f>J7*F7</f>
        <v>0</v>
      </c>
      <c r="M7" s="370">
        <f>K7*F7</f>
        <v>0</v>
      </c>
      <c r="N7" s="322">
        <f>J7*F7</f>
        <v>0</v>
      </c>
      <c r="O7" s="309">
        <f>K7*F7</f>
        <v>0</v>
      </c>
    </row>
    <row r="8" spans="1:36" ht="15.75" customHeight="1" x14ac:dyDescent="0.2">
      <c r="A8" s="35" t="str">
        <f>HLOOKUP('Output (1)'!$H$11,Traduções_5,ROW(),FALSE)</f>
        <v>Estimativa dos erros sistemáticos da água entrada no sistema</v>
      </c>
      <c r="B8" s="35"/>
      <c r="C8" s="35"/>
      <c r="D8" s="424">
        <f>D9+D10</f>
        <v>0</v>
      </c>
      <c r="E8" s="551" t="str">
        <f>E3</f>
        <v>m3/ano</v>
      </c>
      <c r="F8" s="365"/>
      <c r="G8" s="511"/>
      <c r="H8" s="512" t="str">
        <f>IF(D8&lt;&gt;0,CONCATENATE(J8*100,"-",K8*100," %")," ")</f>
        <v xml:space="preserve"> </v>
      </c>
      <c r="I8" s="775"/>
      <c r="J8" s="366" t="e">
        <f>IF('Configuration options'!$A$16=1,INT(L8/ABS($D8)*100)/100,IF('Configuration options'!$A$16=2,INT(N8/ABS($D8)*100)/100,"Erro"))</f>
        <v>#DIV/0!</v>
      </c>
      <c r="K8" s="321" t="e">
        <f>IF('Configuration options'!$A$16=1,INT(M8/ABS($D8)*100)/100,IF('Configuration options'!$A$16=2,INT(O8/ABS($D8)*100)/100,"Erro"))</f>
        <v>#DIV/0!</v>
      </c>
      <c r="L8" s="367">
        <f>SUM(L9:L10)</f>
        <v>0</v>
      </c>
      <c r="M8" s="321">
        <f>SUM(M9:M10)</f>
        <v>0</v>
      </c>
      <c r="N8" s="366">
        <f>SQRT(N9^2+N10^2)</f>
        <v>0</v>
      </c>
      <c r="O8" s="301">
        <f>SQRT(O9^2+O10^2)</f>
        <v>0</v>
      </c>
      <c r="AA8" s="265" t="s">
        <v>45</v>
      </c>
      <c r="AB8" s="265" t="s">
        <v>125</v>
      </c>
      <c r="AC8" s="265" t="s">
        <v>358</v>
      </c>
    </row>
    <row r="9" spans="1:36" ht="15" customHeight="1" x14ac:dyDescent="0.2">
      <c r="A9" s="4" t="str">
        <f>HLOOKUP('Output (1)'!$H$11,Traduções_5,ROW(),FALSE)</f>
        <v xml:space="preserve">  Água captada (m3)</v>
      </c>
      <c r="B9" s="183">
        <v>0</v>
      </c>
      <c r="C9" s="37" t="s">
        <v>543</v>
      </c>
      <c r="D9" s="423">
        <f>B9/100*'Input (2)'!D5</f>
        <v>0</v>
      </c>
      <c r="E9" s="39" t="str">
        <f>E3</f>
        <v>m3/ano</v>
      </c>
      <c r="F9" s="298"/>
      <c r="G9" s="509" t="s">
        <v>426</v>
      </c>
      <c r="H9" s="509" t="s">
        <v>58</v>
      </c>
      <c r="I9" s="796"/>
      <c r="J9" s="390">
        <f>IF(H9=$K$22,'Configuration options'!$E$6,IF(H9=$K$23,'Configuration options'!$E$7/100,IF(H9=$K$24,'Configuration options'!$E$8/100,IF(H9=$K$25,'Configuration options'!$E$9/100,IF(H9=$K$26,'Configuration options'!$E$10/100,"erro")))))</f>
        <v>0</v>
      </c>
      <c r="K9" s="358">
        <f>IF(H9=$K$22,'Configuration options'!$G$6,IF(H9=$K$23,'Configuration options'!$G$7,IF(H9=$K$24,'Configuration options'!$G$8,IF(H9=$K$25,'Configuration options'!$G$9,IF(H9=$K$26,'Configuration options'!$G$10,"erro")))))</f>
        <v>0.05</v>
      </c>
      <c r="L9" s="355">
        <f>J9*ABS(D9)</f>
        <v>0</v>
      </c>
      <c r="M9" s="356">
        <f>K9*ABS(D9)</f>
        <v>0</v>
      </c>
      <c r="N9" s="319">
        <f>J9*D9</f>
        <v>0</v>
      </c>
      <c r="O9" s="308">
        <f>K9*D9</f>
        <v>0</v>
      </c>
      <c r="AA9" s="265" t="s">
        <v>684</v>
      </c>
      <c r="AB9" s="265" t="s">
        <v>152</v>
      </c>
      <c r="AC9" s="265" t="s">
        <v>359</v>
      </c>
    </row>
    <row r="10" spans="1:36" ht="15.75" customHeight="1" x14ac:dyDescent="0.2">
      <c r="A10" s="4" t="str">
        <f>HLOOKUP('Output (1)'!$H$11,Traduções_5,ROW(),FALSE)</f>
        <v xml:space="preserve">  Água importada (tratada ou não tratada) facturada por terceiros (m3)</v>
      </c>
      <c r="B10" s="183">
        <v>0</v>
      </c>
      <c r="C10" s="37" t="s">
        <v>543</v>
      </c>
      <c r="D10" s="423">
        <f>B10/100*'Input (2)'!D6</f>
        <v>0</v>
      </c>
      <c r="E10" s="39" t="str">
        <f>E3</f>
        <v>m3/ano</v>
      </c>
      <c r="F10" s="298"/>
      <c r="G10" s="509" t="s">
        <v>425</v>
      </c>
      <c r="H10" s="735" t="s">
        <v>116</v>
      </c>
      <c r="I10" s="797"/>
      <c r="J10" s="390">
        <f>IF(H10=$K$22,'Configuration options'!$E$6,IF(H10=$K$23,'Configuration options'!$E$7/100,IF(H10=$K$24,'Configuration options'!$E$8/100,IF(H10=$K$25,'Configuration options'!$E$9/100,IF(H10=$K$26,'Configuration options'!$E$10/100,"erro")))))</f>
        <v>0.51</v>
      </c>
      <c r="K10" s="358">
        <f>IF(H10=$K$22,'Configuration options'!$G$6,IF(H10=$K$23,'Configuration options'!$G$7,IF(H10=$K$24,'Configuration options'!$G$8,IF(H10=$K$25,'Configuration options'!$G$9,IF(H10=$K$26,'Configuration options'!$G$10,"erro")))))</f>
        <v>1</v>
      </c>
      <c r="L10" s="327">
        <f>J10*ABS(D10)</f>
        <v>0</v>
      </c>
      <c r="M10" s="328">
        <f>K10*ABS(D10)</f>
        <v>0</v>
      </c>
      <c r="N10" s="319">
        <f>J10*D10</f>
        <v>0</v>
      </c>
      <c r="O10" s="308">
        <f>K10*D10</f>
        <v>0</v>
      </c>
      <c r="AA10" s="265" t="s">
        <v>685</v>
      </c>
      <c r="AB10" s="265" t="s">
        <v>441</v>
      </c>
      <c r="AC10" s="265" t="s">
        <v>360</v>
      </c>
    </row>
    <row r="11" spans="1:36" ht="15.75" customHeight="1" thickBot="1" x14ac:dyDescent="0.25">
      <c r="A11" s="4" t="str">
        <f>HLOOKUP('Output (1)'!$H$11,Traduções_5,ROW(),FALSE)</f>
        <v xml:space="preserve">  Água importada (tratada ou não tratada) não facturada por terceiros (m3)</v>
      </c>
      <c r="B11" s="183">
        <v>0</v>
      </c>
      <c r="C11" s="37" t="s">
        <v>543</v>
      </c>
      <c r="D11" s="423">
        <f>B11/100*'Input (2)'!D9</f>
        <v>0</v>
      </c>
      <c r="E11" s="39" t="str">
        <f>E3</f>
        <v>m3/ano</v>
      </c>
      <c r="F11" s="298"/>
      <c r="G11" s="509" t="s">
        <v>426</v>
      </c>
      <c r="H11" s="509" t="s">
        <v>58</v>
      </c>
      <c r="I11" s="233"/>
      <c r="J11" s="487">
        <f>IF(H11=$K$22,'Configuration options'!$E$6,IF(H11=$K$23,'Configuration options'!$E$7/100,IF(H11=$K$24,'Configuration options'!$E$8/100,IF(H11=$K$25,'Configuration options'!$E$9/100,IF(H11=$K$26,'Configuration options'!$E$10/100,"erro")))))</f>
        <v>0</v>
      </c>
      <c r="K11" s="368">
        <f>IF(H11=$K$22,'Configuration options'!$G$6,IF(H11=$K$23,'Configuration options'!$G$7,IF(H11=$K$24,'Configuration options'!$G$8,IF(H11=$K$25,'Configuration options'!$G$9,IF(H11=$K$26,'Configuration options'!$G$10,"erro")))))</f>
        <v>0.05</v>
      </c>
      <c r="L11" s="369">
        <f>J11*ABS(D11)</f>
        <v>0</v>
      </c>
      <c r="M11" s="370">
        <f>K11*ABS(D11)</f>
        <v>0</v>
      </c>
      <c r="N11" s="322">
        <f>J11*D11</f>
        <v>0</v>
      </c>
      <c r="O11" s="309">
        <f>K11*D11</f>
        <v>0</v>
      </c>
      <c r="AA11" s="265" t="s">
        <v>686</v>
      </c>
      <c r="AB11" s="265" t="s">
        <v>442</v>
      </c>
      <c r="AC11" s="265" t="s">
        <v>361</v>
      </c>
    </row>
    <row r="12" spans="1:36" s="17" customFormat="1" ht="15.75" customHeight="1" thickBot="1" x14ac:dyDescent="0.25">
      <c r="A12" s="235"/>
      <c r="B12" s="185"/>
      <c r="C12" s="235"/>
      <c r="D12" s="429"/>
      <c r="E12" s="236"/>
      <c r="F12" s="298"/>
      <c r="G12" s="193"/>
      <c r="H12" s="193"/>
      <c r="I12" s="237"/>
      <c r="J12" s="278"/>
      <c r="K12" s="391"/>
      <c r="L12" s="392"/>
      <c r="M12" s="391"/>
      <c r="N12" s="278"/>
      <c r="O12" s="393"/>
      <c r="P12" s="298"/>
      <c r="Q12" s="298"/>
      <c r="R12" s="298"/>
      <c r="S12" s="298"/>
      <c r="T12" s="298"/>
      <c r="U12" s="298"/>
      <c r="V12" s="298"/>
      <c r="W12" s="298"/>
      <c r="X12" s="298"/>
      <c r="Y12" s="298"/>
      <c r="Z12" s="298"/>
      <c r="AA12" s="298"/>
      <c r="AB12" s="298"/>
      <c r="AC12" s="298"/>
      <c r="AD12" s="298"/>
      <c r="AE12" s="298"/>
      <c r="AF12" s="298"/>
      <c r="AG12" s="298"/>
      <c r="AH12" s="298"/>
      <c r="AI12" s="298"/>
      <c r="AJ12" s="298"/>
    </row>
    <row r="13" spans="1:36" ht="15.75" customHeight="1" x14ac:dyDescent="0.2">
      <c r="A13" s="35" t="str">
        <f>HLOOKUP('Output (1)'!$H$11,Traduções_5,ROW(),FALSE)</f>
        <v>Estimativa dos erros sistemáticos do consumo autorizado</v>
      </c>
      <c r="B13" s="35"/>
      <c r="C13" s="35"/>
      <c r="D13" s="424">
        <f>D14+D15</f>
        <v>0</v>
      </c>
      <c r="E13" s="191" t="str">
        <f>E3</f>
        <v>m3/ano</v>
      </c>
      <c r="F13" s="365"/>
      <c r="G13" s="721"/>
      <c r="H13" s="720" t="str">
        <f>IF(D13&lt;&gt;0,CONCATENATE(J13*100,"-",K13*100," %")," ")</f>
        <v xml:space="preserve"> </v>
      </c>
      <c r="I13" s="775"/>
      <c r="J13" s="366" t="e">
        <f>IF('Configuration options'!$A$16=1,INT(L13/ABS($D13)*100)/100,IF('Configuration options'!$A$16=2,INT(N13/ABS($D13)*100)/100,"Erro"))</f>
        <v>#DIV/0!</v>
      </c>
      <c r="K13" s="321" t="e">
        <f>IF('Configuration options'!$A$16=1,INT(M13/ABS($D13)*100)/100,IF('Configuration options'!$A$16=2,INT(O13/ABS($D13)*100)/100,"Erro"))</f>
        <v>#DIV/0!</v>
      </c>
      <c r="L13" s="367">
        <f>SUM(L14:L15)</f>
        <v>0</v>
      </c>
      <c r="M13" s="321">
        <f>SUM(M14:M15)</f>
        <v>0</v>
      </c>
      <c r="N13" s="366">
        <f>SQRT(N14^2+N15^2)</f>
        <v>0</v>
      </c>
      <c r="O13" s="301">
        <f>SQRT(O14^2+O15^2)</f>
        <v>0</v>
      </c>
      <c r="AA13" s="265" t="s">
        <v>44</v>
      </c>
      <c r="AB13" s="265" t="s">
        <v>124</v>
      </c>
      <c r="AC13" s="265" t="s">
        <v>362</v>
      </c>
    </row>
    <row r="14" spans="1:36" ht="15" customHeight="1" x14ac:dyDescent="0.2">
      <c r="A14" s="190" t="str">
        <f>HLOOKUP('Output (1)'!$H$11,Traduções_5,ROW(),FALSE)</f>
        <v xml:space="preserve">  Estimativa do erro sistemático da micro-medição (erro do contador, da leitura e do registo)</v>
      </c>
      <c r="B14" s="183">
        <v>0</v>
      </c>
      <c r="C14" s="37" t="s">
        <v>543</v>
      </c>
      <c r="D14" s="423">
        <f>B14/100*('Input (3)'!B17+'Input (4)'!B14)</f>
        <v>0</v>
      </c>
      <c r="E14" s="39" t="str">
        <f>E3</f>
        <v>m3/ano</v>
      </c>
      <c r="F14" s="298"/>
      <c r="G14" s="509" t="s">
        <v>425</v>
      </c>
      <c r="H14" s="509" t="s">
        <v>116</v>
      </c>
      <c r="I14" s="796"/>
      <c r="J14" s="390">
        <f>IF(H14=$K$22,'Configuration options'!$E$6,IF(H14=$K$23,'Configuration options'!$E$7/100,IF(H14=$K$24,'Configuration options'!$E$8/100,IF(H14=$K$25,'Configuration options'!$E$9/100,IF(H14=$K$26,'Configuration options'!$E$10/100,"erro")))))</f>
        <v>0.51</v>
      </c>
      <c r="K14" s="358">
        <f>IF(H14=$K$22,'Configuration options'!$G$6,IF(H14=$K$23,'Configuration options'!$G$7,IF(H14=$K$24,'Configuration options'!$G$8,IF(H14=$K$25,'Configuration options'!$G$9,IF(H14=$K$26,'Configuration options'!$G$10,"erro")))))</f>
        <v>1</v>
      </c>
      <c r="L14" s="355">
        <f>J14*ABS(D14)</f>
        <v>0</v>
      </c>
      <c r="M14" s="356">
        <f>K14*ABS(D14)</f>
        <v>0</v>
      </c>
      <c r="N14" s="319">
        <f>J14*D14</f>
        <v>0</v>
      </c>
      <c r="O14" s="308">
        <f>K14*D14</f>
        <v>0</v>
      </c>
      <c r="AA14" s="265" t="s">
        <v>46</v>
      </c>
      <c r="AB14" s="265" t="s">
        <v>443</v>
      </c>
      <c r="AC14" s="265" t="s">
        <v>363</v>
      </c>
    </row>
    <row r="15" spans="1:36" ht="15.75" customHeight="1" thickBot="1" x14ac:dyDescent="0.25">
      <c r="A15" s="37" t="str">
        <f>HLOOKUP('Output (1)'!$H$11,Traduções_5,ROW(),FALSE)</f>
        <v xml:space="preserve">  Estimativa do erro sistemático da água autorizada não medida</v>
      </c>
      <c r="B15" s="183">
        <v>0</v>
      </c>
      <c r="C15" s="37" t="s">
        <v>543</v>
      </c>
      <c r="D15" s="423">
        <f>B15/100*('Input (3)'!B29+'Input (4)'!B41)</f>
        <v>0</v>
      </c>
      <c r="E15" s="39" t="str">
        <f>E3</f>
        <v>m3/ano</v>
      </c>
      <c r="F15" s="298"/>
      <c r="G15" s="509" t="s">
        <v>426</v>
      </c>
      <c r="H15" s="509" t="s">
        <v>58</v>
      </c>
      <c r="I15" s="797"/>
      <c r="J15" s="487">
        <f>IF(H15=$K$22,'Configuration options'!$E$6,IF(H15=$K$23,'Configuration options'!$E$7/100,IF(H15=$K$24,'Configuration options'!$E$8/100,IF(H15=$K$25,'Configuration options'!$E$9/100,IF(H15=$K$26,'Configuration options'!$E$10/100,"erro")))))</f>
        <v>0</v>
      </c>
      <c r="K15" s="368">
        <f>IF(H15=$K$22,'Configuration options'!$G$6,IF(H15=$K$23,'Configuration options'!$G$7,IF(H15=$K$24,'Configuration options'!$G$8,IF(H15=$K$25,'Configuration options'!$G$9,IF(H15=$K$26,'Configuration options'!$G$10,"erro")))))</f>
        <v>0.05</v>
      </c>
      <c r="L15" s="369">
        <f>J15*ABS(D15)</f>
        <v>0</v>
      </c>
      <c r="M15" s="370">
        <f>K15*ABS(D15)</f>
        <v>0</v>
      </c>
      <c r="N15" s="322">
        <f>J15*D15</f>
        <v>0</v>
      </c>
      <c r="O15" s="309">
        <f>K15*D15</f>
        <v>0</v>
      </c>
      <c r="AA15" s="265" t="s">
        <v>47</v>
      </c>
      <c r="AB15" s="265" t="s">
        <v>126</v>
      </c>
      <c r="AC15" s="265" t="s">
        <v>364</v>
      </c>
    </row>
    <row r="16" spans="1:36" ht="13.5" thickBot="1" x14ac:dyDescent="0.25">
      <c r="D16" s="419"/>
      <c r="E16" s="17"/>
      <c r="F16" s="298"/>
      <c r="G16" s="17"/>
      <c r="I16" s="230"/>
      <c r="J16" s="278"/>
      <c r="K16" s="278"/>
      <c r="L16" s="278"/>
      <c r="M16" s="278"/>
      <c r="N16" s="278"/>
      <c r="O16" s="278"/>
    </row>
    <row r="17" spans="1:36" ht="13.5" thickBot="1" x14ac:dyDescent="0.25">
      <c r="A17" s="35" t="str">
        <f>HLOOKUP('Output (1)'!$H$11,Traduções_5,ROW(),FALSE)</f>
        <v>Balanço dos erros sistemáticos da água entrada e do consumo autorizado</v>
      </c>
      <c r="B17" s="35"/>
      <c r="C17" s="35"/>
      <c r="D17" s="422">
        <f>-D8+D13</f>
        <v>0</v>
      </c>
      <c r="E17" s="38" t="str">
        <f>HLOOKUP('Output (1)'!$H$11,Traduções_5,22,FALSE)</f>
        <v>m3/ano</v>
      </c>
      <c r="F17" s="298"/>
      <c r="G17" s="17"/>
      <c r="H17" s="719" t="str">
        <f>IF(D17&lt;&gt;0,CONCATENATE(J17*100,"-",K17*100," %")," ")</f>
        <v xml:space="preserve"> </v>
      </c>
      <c r="I17" s="230"/>
      <c r="J17" s="312" t="e">
        <f>IF('Configuration options'!$A$16=1,INT(L17/ABS($D17)*100)/100,IF('Configuration options'!$A$16=2,INT(N17/ABS($D17)*100)/100,"Erro"))</f>
        <v>#DIV/0!</v>
      </c>
      <c r="K17" s="312" t="e">
        <f>IF('Configuration options'!$A$16=1,INT(M17/ABS($D17)*100)/100,IF('Configuration options'!$A$16=2,INT(O17/ABS($D17)*100)/100,"Erro"))</f>
        <v>#DIV/0!</v>
      </c>
      <c r="L17" s="382">
        <f>L8+L13</f>
        <v>0</v>
      </c>
      <c r="M17" s="382">
        <f>M8+M13</f>
        <v>0</v>
      </c>
      <c r="N17" s="312">
        <f>SQRT(N8^2+N13^2)</f>
        <v>0</v>
      </c>
      <c r="O17" s="360">
        <f>SQRT(O8^2+O13^2)</f>
        <v>0</v>
      </c>
      <c r="AA17" s="265" t="s">
        <v>1056</v>
      </c>
      <c r="AB17" s="265" t="s">
        <v>1057</v>
      </c>
      <c r="AC17" s="265" t="s">
        <v>365</v>
      </c>
    </row>
    <row r="18" spans="1:36" ht="13.5" thickBot="1" x14ac:dyDescent="0.25">
      <c r="D18" s="419"/>
      <c r="E18" s="17"/>
      <c r="F18" s="298"/>
      <c r="G18" s="17"/>
      <c r="I18" s="230"/>
      <c r="J18" s="278"/>
      <c r="K18" s="278"/>
      <c r="L18" s="278"/>
      <c r="M18" s="278"/>
      <c r="N18" s="278"/>
      <c r="O18" s="278"/>
    </row>
    <row r="19" spans="1:36" ht="13.5" thickBot="1" x14ac:dyDescent="0.25">
      <c r="A19" s="6" t="str">
        <f>HLOOKUP('Output (1)'!$H$11,Traduções_5,ROW(),FALSE)</f>
        <v>PERDAS APARENTES (m3/ano)</v>
      </c>
      <c r="B19" s="6"/>
      <c r="C19" s="6"/>
      <c r="D19" s="422">
        <f>D3-D8+D13</f>
        <v>0</v>
      </c>
      <c r="E19" s="38" t="str">
        <f>E3</f>
        <v>m3/ano</v>
      </c>
      <c r="F19" s="298"/>
      <c r="G19" s="46"/>
      <c r="H19" s="220" t="str">
        <f>IF(D19&lt;&gt;0,CONCATENATE(J19*100,"-",K19*100," %")," ")</f>
        <v xml:space="preserve"> </v>
      </c>
      <c r="I19" s="231"/>
      <c r="J19" s="312" t="e">
        <f>IF('Configuration options'!$A$16=1,INT(L19/ABS($D19)*100)/100,IF('Configuration options'!$A$16=2,INT(N19/ABS($D19)*100)/100,"Erro"))</f>
        <v>#DIV/0!</v>
      </c>
      <c r="K19" s="312" t="e">
        <f>IF('Configuration options'!$A$16=1,INT(M19/ABS($D19)*100)/100,IF('Configuration options'!$A$16=2,INT(O19/ABS($D19)*100)/100,"Erro"))</f>
        <v>#DIV/0!</v>
      </c>
      <c r="L19" s="382">
        <f>L3+L8+L13</f>
        <v>0</v>
      </c>
      <c r="M19" s="382">
        <f>M3+M8+M13</f>
        <v>0</v>
      </c>
      <c r="N19" s="312">
        <f>SQRT(N3^2+N8^2+N13^2)</f>
        <v>0</v>
      </c>
      <c r="O19" s="360">
        <f>SQRT(O3^2+O8^2+O13^2)</f>
        <v>0</v>
      </c>
      <c r="AA19" s="265" t="s">
        <v>687</v>
      </c>
      <c r="AB19" s="265" t="s">
        <v>151</v>
      </c>
      <c r="AC19" s="265" t="s">
        <v>366</v>
      </c>
    </row>
    <row r="20" spans="1:36" x14ac:dyDescent="0.2">
      <c r="E20" s="17"/>
      <c r="F20" s="298"/>
      <c r="G20" s="17"/>
      <c r="M20" s="298"/>
      <c r="N20" s="298"/>
      <c r="O20" s="298"/>
    </row>
    <row r="21" spans="1:36" x14ac:dyDescent="0.2">
      <c r="D21" s="22"/>
      <c r="H21" s="132"/>
      <c r="I21" s="46"/>
      <c r="J21" s="394"/>
      <c r="K21" s="394"/>
      <c r="L21" s="394"/>
      <c r="M21" s="394"/>
      <c r="N21" s="394"/>
      <c r="O21" s="394"/>
      <c r="Z21" s="265" t="s">
        <v>689</v>
      </c>
      <c r="AA21" s="265" t="s">
        <v>87</v>
      </c>
      <c r="AB21" s="265" t="s">
        <v>388</v>
      </c>
      <c r="AC21" s="265" t="s">
        <v>282</v>
      </c>
    </row>
    <row r="22" spans="1:36" ht="15" customHeight="1" x14ac:dyDescent="0.2">
      <c r="A22" s="182"/>
      <c r="B22" s="22"/>
      <c r="C22" s="22"/>
      <c r="F22" s="389"/>
      <c r="J22" s="265" t="str">
        <f>'Configuration options'!A6</f>
        <v>***</v>
      </c>
      <c r="K22" s="265" t="str">
        <f>'Configuration options'!D6</f>
        <v>0-5%</v>
      </c>
      <c r="L22" s="265" t="str">
        <f>'Configuration options'!J6</f>
        <v>l/s</v>
      </c>
      <c r="M22" s="576"/>
      <c r="N22" s="611"/>
      <c r="O22" s="298"/>
      <c r="Z22" s="265" t="s">
        <v>675</v>
      </c>
      <c r="AA22" s="265" t="s">
        <v>67</v>
      </c>
      <c r="AB22" s="265" t="s">
        <v>405</v>
      </c>
      <c r="AC22" s="596" t="s">
        <v>790</v>
      </c>
    </row>
    <row r="23" spans="1:36" ht="15" customHeight="1" x14ac:dyDescent="0.2">
      <c r="J23" s="265" t="str">
        <f>'Configuration options'!A7</f>
        <v>**</v>
      </c>
      <c r="K23" s="265" t="str">
        <f>'Configuration options'!D7</f>
        <v>6-20%</v>
      </c>
      <c r="L23" s="265" t="str">
        <f>'Configuration options'!J7</f>
        <v>m3/h</v>
      </c>
      <c r="M23" s="576"/>
      <c r="N23" s="586"/>
      <c r="O23" s="298"/>
      <c r="Z23" s="265" t="s">
        <v>676</v>
      </c>
      <c r="AA23" s="265" t="s">
        <v>672</v>
      </c>
      <c r="AB23" s="596" t="s">
        <v>150</v>
      </c>
      <c r="AC23" s="596" t="s">
        <v>348</v>
      </c>
    </row>
    <row r="24" spans="1:36" x14ac:dyDescent="0.2">
      <c r="J24" s="265" t="str">
        <f>'Configuration options'!A8</f>
        <v>*</v>
      </c>
      <c r="K24" s="265" t="str">
        <f>'Configuration options'!D8</f>
        <v>21-50%</v>
      </c>
      <c r="L24" s="265" t="str">
        <f>'Configuration options'!J8</f>
        <v>l/dia</v>
      </c>
      <c r="M24" s="577"/>
      <c r="N24" s="296"/>
      <c r="O24" s="298"/>
      <c r="Z24" s="265" t="s">
        <v>690</v>
      </c>
      <c r="AA24" s="265" t="s">
        <v>422</v>
      </c>
      <c r="AB24" s="265" t="s">
        <v>893</v>
      </c>
      <c r="AC24" s="265" t="s">
        <v>776</v>
      </c>
    </row>
    <row r="25" spans="1:36" x14ac:dyDescent="0.2">
      <c r="K25" s="265" t="str">
        <f>'Configuration options'!D9</f>
        <v>51-100%</v>
      </c>
      <c r="L25" s="265" t="str">
        <f>'Configuration options'!J9</f>
        <v>m3/dia</v>
      </c>
      <c r="M25" s="298"/>
      <c r="N25" s="298"/>
      <c r="O25" s="298"/>
      <c r="Z25" s="265" t="s">
        <v>691</v>
      </c>
      <c r="AA25" s="265" t="s">
        <v>423</v>
      </c>
      <c r="AB25" s="265" t="s">
        <v>894</v>
      </c>
      <c r="AC25" s="265" t="s">
        <v>729</v>
      </c>
    </row>
    <row r="26" spans="1:36" x14ac:dyDescent="0.2">
      <c r="K26" s="265" t="str">
        <f>'Configuration options'!D10</f>
        <v>101-300%</v>
      </c>
      <c r="L26" s="265" t="str">
        <f>'Configuration options'!J10</f>
        <v>m3/mês</v>
      </c>
      <c r="M26" s="298"/>
      <c r="N26" s="298"/>
      <c r="O26" s="298"/>
      <c r="Z26" s="265" t="s">
        <v>692</v>
      </c>
      <c r="AA26" s="265" t="s">
        <v>35</v>
      </c>
      <c r="AB26" s="265" t="s">
        <v>394</v>
      </c>
      <c r="AC26" s="265" t="s">
        <v>789</v>
      </c>
    </row>
    <row r="27" spans="1:36" x14ac:dyDescent="0.2">
      <c r="L27" s="265" t="str">
        <f>'Configuration options'!J11</f>
        <v>m3/ano</v>
      </c>
      <c r="M27" s="298"/>
      <c r="N27" s="298"/>
      <c r="O27" s="298"/>
    </row>
    <row r="29" spans="1:36" x14ac:dyDescent="0.2">
      <c r="E29" s="265"/>
    </row>
    <row r="30" spans="1:36" x14ac:dyDescent="0.2">
      <c r="Z30" s="632" t="s">
        <v>901</v>
      </c>
      <c r="AA30" s="576" t="s">
        <v>912</v>
      </c>
      <c r="AB30" s="631" t="s">
        <v>913</v>
      </c>
      <c r="AC30" s="631" t="s">
        <v>251</v>
      </c>
    </row>
    <row r="31" spans="1:36" s="639" customFormat="1" x14ac:dyDescent="0.2">
      <c r="F31" s="640"/>
      <c r="J31" s="640"/>
      <c r="K31" s="640"/>
      <c r="L31" s="640"/>
      <c r="M31" s="640"/>
      <c r="N31" s="640"/>
      <c r="O31" s="640"/>
      <c r="P31" s="640"/>
      <c r="Q31" s="640"/>
      <c r="R31" s="640"/>
      <c r="S31" s="640"/>
      <c r="T31" s="640"/>
      <c r="U31" s="640"/>
      <c r="V31" s="640"/>
      <c r="W31" s="640"/>
      <c r="X31" s="640"/>
      <c r="Y31" s="640"/>
      <c r="Z31" s="651" t="s">
        <v>942</v>
      </c>
      <c r="AA31" s="655" t="s">
        <v>924</v>
      </c>
      <c r="AB31" s="655" t="s">
        <v>121</v>
      </c>
      <c r="AC31" s="656" t="s">
        <v>367</v>
      </c>
      <c r="AD31" s="640"/>
      <c r="AE31" s="640"/>
      <c r="AF31" s="640"/>
      <c r="AG31" s="640"/>
      <c r="AH31" s="640"/>
      <c r="AI31" s="640"/>
      <c r="AJ31" s="640"/>
    </row>
    <row r="32" spans="1:36" s="639" customFormat="1" x14ac:dyDescent="0.2">
      <c r="F32" s="640"/>
      <c r="J32" s="640"/>
      <c r="K32" s="640"/>
      <c r="L32" s="640"/>
      <c r="M32" s="640"/>
      <c r="N32" s="640"/>
      <c r="O32" s="640"/>
      <c r="P32" s="640"/>
      <c r="Q32" s="640"/>
      <c r="R32" s="640"/>
      <c r="S32" s="640"/>
      <c r="T32" s="640"/>
      <c r="U32" s="640"/>
      <c r="V32" s="640"/>
      <c r="W32" s="640"/>
      <c r="X32" s="640"/>
      <c r="Y32" s="640"/>
      <c r="Z32" s="651" t="s">
        <v>943</v>
      </c>
      <c r="AA32" s="655" t="s">
        <v>945</v>
      </c>
      <c r="AB32" s="655" t="s">
        <v>122</v>
      </c>
      <c r="AC32" s="655" t="s">
        <v>368</v>
      </c>
      <c r="AD32" s="640"/>
      <c r="AE32" s="640"/>
      <c r="AF32" s="640"/>
      <c r="AG32" s="640"/>
      <c r="AH32" s="640"/>
      <c r="AI32" s="640"/>
      <c r="AJ32" s="640"/>
    </row>
    <row r="33" spans="6:36" s="639" customFormat="1" x14ac:dyDescent="0.2">
      <c r="F33" s="640"/>
      <c r="J33" s="640"/>
      <c r="K33" s="640"/>
      <c r="L33" s="640"/>
      <c r="M33" s="640"/>
      <c r="N33" s="640"/>
      <c r="O33" s="640"/>
      <c r="P33" s="640"/>
      <c r="Q33" s="640"/>
      <c r="R33" s="640"/>
      <c r="S33" s="640"/>
      <c r="T33" s="640"/>
      <c r="U33" s="640"/>
      <c r="V33" s="640"/>
      <c r="W33" s="640"/>
      <c r="X33" s="640"/>
      <c r="Y33" s="640"/>
      <c r="Z33" s="651" t="s">
        <v>944</v>
      </c>
      <c r="AA33" s="655" t="s">
        <v>946</v>
      </c>
      <c r="AB33" s="655" t="s">
        <v>123</v>
      </c>
      <c r="AC33" s="655" t="s">
        <v>846</v>
      </c>
      <c r="AD33" s="640"/>
      <c r="AE33" s="640"/>
      <c r="AF33" s="640"/>
      <c r="AG33" s="640"/>
      <c r="AH33" s="640"/>
      <c r="AI33" s="640"/>
      <c r="AJ33" s="640"/>
    </row>
    <row r="34" spans="6:36" s="639" customFormat="1" x14ac:dyDescent="0.2">
      <c r="F34" s="640"/>
      <c r="J34" s="640"/>
      <c r="K34" s="640"/>
      <c r="L34" s="640"/>
      <c r="M34" s="640"/>
      <c r="N34" s="640"/>
      <c r="O34" s="640"/>
      <c r="P34" s="640"/>
      <c r="Q34" s="640"/>
      <c r="R34" s="640"/>
      <c r="S34" s="640"/>
      <c r="T34" s="640"/>
      <c r="U34" s="640"/>
      <c r="V34" s="640"/>
      <c r="W34" s="640"/>
      <c r="X34" s="640"/>
      <c r="Y34" s="640"/>
      <c r="Z34" s="651" t="s">
        <v>692</v>
      </c>
      <c r="AA34" s="656" t="s">
        <v>895</v>
      </c>
      <c r="AB34" s="633" t="s">
        <v>914</v>
      </c>
      <c r="AC34" s="633" t="s">
        <v>354</v>
      </c>
      <c r="AD34" s="640"/>
      <c r="AE34" s="640"/>
      <c r="AF34" s="640"/>
      <c r="AG34" s="640"/>
      <c r="AH34" s="640"/>
      <c r="AI34" s="640"/>
      <c r="AJ34" s="640"/>
    </row>
  </sheetData>
  <sheetProtection sheet="1" objects="1" scenarios="1"/>
  <mergeCells count="5">
    <mergeCell ref="A6:C6"/>
    <mergeCell ref="A7:C7"/>
    <mergeCell ref="I3:I7"/>
    <mergeCell ref="I13:I15"/>
    <mergeCell ref="I8:I10"/>
  </mergeCells>
  <phoneticPr fontId="8" type="noConversion"/>
  <dataValidations count="3">
    <dataValidation type="list" allowBlank="1" showInputMessage="1" showErrorMessage="1" sqref="H4:H7 H9:H11 H14:H15" xr:uid="{00000000-0002-0000-0900-000000000000}">
      <formula1>$K$22:$K$26</formula1>
    </dataValidation>
    <dataValidation type="list" allowBlank="1" showInputMessage="1" showErrorMessage="1" sqref="G4:G7 G9:G11 G14:G15" xr:uid="{00000000-0002-0000-0900-000001000000}">
      <formula1>$J$22:$J$24</formula1>
    </dataValidation>
    <dataValidation type="list" allowBlank="1" showInputMessage="1" showErrorMessage="1" sqref="E4:E7" xr:uid="{00000000-0002-0000-0900-000002000000}">
      <formula1>$L$21:$L$27</formula1>
    </dataValidation>
  </dataValidations>
  <pageMargins left="0.75" right="0.75" top="1" bottom="1" header="0.5" footer="0.5"/>
  <pageSetup paperSize="9" orientation="portrait"/>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8198" r:id="rId3" name="Drop Down 6">
              <controlPr defaultSize="0" autoLine="0" autoPict="0">
                <anchor moveWithCells="1" sizeWithCells="1">
                  <from>
                    <xdr:col>4</xdr:col>
                    <xdr:colOff>0</xdr:colOff>
                    <xdr:row>29</xdr:row>
                    <xdr:rowOff>0</xdr:rowOff>
                  </from>
                  <to>
                    <xdr:col>6</xdr:col>
                    <xdr:colOff>0</xdr:colOff>
                    <xdr:row>30</xdr:row>
                    <xdr:rowOff>85725</xdr:rowOff>
                  </to>
                </anchor>
              </controlPr>
            </control>
          </mc:Choice>
        </mc:AlternateContent>
        <mc:AlternateContent xmlns:mc="http://schemas.openxmlformats.org/markup-compatibility/2006">
          <mc:Choice Requires="x14">
            <control shapeId="8199" r:id="rId4" name="Drop Down 7">
              <controlPr defaultSize="0" autoLine="0" autoPict="0">
                <anchor moveWithCells="1" sizeWithCells="1">
                  <from>
                    <xdr:col>4</xdr:col>
                    <xdr:colOff>0</xdr:colOff>
                    <xdr:row>29</xdr:row>
                    <xdr:rowOff>0</xdr:rowOff>
                  </from>
                  <to>
                    <xdr:col>6</xdr:col>
                    <xdr:colOff>0</xdr:colOff>
                    <xdr:row>30</xdr:row>
                    <xdr:rowOff>85725</xdr:rowOff>
                  </to>
                </anchor>
              </controlPr>
            </control>
          </mc:Choice>
        </mc:AlternateContent>
        <mc:AlternateContent xmlns:mc="http://schemas.openxmlformats.org/markup-compatibility/2006">
          <mc:Choice Requires="x14">
            <control shapeId="8201" r:id="rId5" name="Drop Down 9">
              <controlPr defaultSize="0" autoLine="0" autoPict="0">
                <anchor moveWithCells="1" sizeWithCells="1">
                  <from>
                    <xdr:col>4</xdr:col>
                    <xdr:colOff>0</xdr:colOff>
                    <xdr:row>29</xdr:row>
                    <xdr:rowOff>0</xdr:rowOff>
                  </from>
                  <to>
                    <xdr:col>6</xdr:col>
                    <xdr:colOff>0</xdr:colOff>
                    <xdr:row>30</xdr:row>
                    <xdr:rowOff>85725</xdr:rowOff>
                  </to>
                </anchor>
              </controlPr>
            </control>
          </mc:Choice>
        </mc:AlternateContent>
        <mc:AlternateContent xmlns:mc="http://schemas.openxmlformats.org/markup-compatibility/2006">
          <mc:Choice Requires="x14">
            <control shapeId="8202" r:id="rId6" name="Drop Down 10">
              <controlPr defaultSize="0" autoLine="0" autoPict="0">
                <anchor moveWithCells="1" sizeWithCells="1">
                  <from>
                    <xdr:col>4</xdr:col>
                    <xdr:colOff>0</xdr:colOff>
                    <xdr:row>29</xdr:row>
                    <xdr:rowOff>0</xdr:rowOff>
                  </from>
                  <to>
                    <xdr:col>6</xdr:col>
                    <xdr:colOff>0</xdr:colOff>
                    <xdr:row>30</xdr:row>
                    <xdr:rowOff>85725</xdr:rowOff>
                  </to>
                </anchor>
              </controlPr>
            </control>
          </mc:Choice>
        </mc:AlternateContent>
        <mc:AlternateContent xmlns:mc="http://schemas.openxmlformats.org/markup-compatibility/2006">
          <mc:Choice Requires="x14">
            <control shapeId="8213" r:id="rId7" name="Drop Down 21">
              <controlPr defaultSize="0" autoLine="0" autoPict="0">
                <anchor moveWithCells="1" sizeWithCells="1">
                  <from>
                    <xdr:col>4</xdr:col>
                    <xdr:colOff>0</xdr:colOff>
                    <xdr:row>29</xdr:row>
                    <xdr:rowOff>0</xdr:rowOff>
                  </from>
                  <to>
                    <xdr:col>6</xdr:col>
                    <xdr:colOff>0</xdr:colOff>
                    <xdr:row>30</xdr:row>
                    <xdr:rowOff>85725</xdr:rowOff>
                  </to>
                </anchor>
              </controlPr>
            </control>
          </mc:Choice>
        </mc:AlternateContent>
        <mc:AlternateContent xmlns:mc="http://schemas.openxmlformats.org/markup-compatibility/2006">
          <mc:Choice Requires="x14">
            <control shapeId="8214" r:id="rId8" name="Drop Down 22">
              <controlPr defaultSize="0" autoLine="0" autoPict="0">
                <anchor moveWithCells="1" sizeWithCells="1">
                  <from>
                    <xdr:col>4</xdr:col>
                    <xdr:colOff>0</xdr:colOff>
                    <xdr:row>29</xdr:row>
                    <xdr:rowOff>0</xdr:rowOff>
                  </from>
                  <to>
                    <xdr:col>6</xdr:col>
                    <xdr:colOff>0</xdr:colOff>
                    <xdr:row>30</xdr:row>
                    <xdr:rowOff>85725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44"/>
  </sheetPr>
  <dimension ref="A1:AJ28"/>
  <sheetViews>
    <sheetView showRowColHeaders="0" zoomScale="85" zoomScaleNormal="85" zoomScalePageLayoutView="125" workbookViewId="0">
      <selection activeCell="AM16" sqref="AM16"/>
    </sheetView>
  </sheetViews>
  <sheetFormatPr defaultColWidth="8.85546875" defaultRowHeight="12.75" x14ac:dyDescent="0.2"/>
  <cols>
    <col min="1" max="1" width="74.7109375" customWidth="1"/>
    <col min="2" max="2" width="11.42578125" customWidth="1"/>
    <col min="3" max="3" width="11.140625" customWidth="1"/>
    <col min="4" max="4" width="9.42578125" style="265" hidden="1" customWidth="1"/>
    <col min="5" max="5" width="11.140625" customWidth="1"/>
    <col min="6" max="6" width="10" style="130" bestFit="1" customWidth="1"/>
    <col min="7" max="7" width="36.42578125" customWidth="1"/>
    <col min="8" max="9" width="9.140625" style="265" hidden="1" customWidth="1"/>
    <col min="10" max="10" width="12.7109375" style="265" hidden="1" customWidth="1"/>
    <col min="11" max="11" width="13.42578125" style="265" hidden="1" customWidth="1"/>
    <col min="12" max="12" width="12.42578125" style="265" hidden="1" customWidth="1"/>
    <col min="13" max="13" width="13.42578125" style="265" hidden="1" customWidth="1"/>
    <col min="14" max="26" width="9.140625" style="265" hidden="1" customWidth="1"/>
    <col min="27" max="29" width="72.28515625" style="265" hidden="1" customWidth="1"/>
    <col min="30" max="36" width="9.140625" style="265" hidden="1" customWidth="1"/>
  </cols>
  <sheetData>
    <row r="1" spans="1:36" ht="45" customHeight="1" x14ac:dyDescent="0.2">
      <c r="Z1" s="265" t="str">
        <f>'Output (1)'!H11</f>
        <v>Português</v>
      </c>
      <c r="AA1" s="661" t="str">
        <f>'Output (1)'!AA1</f>
        <v>Português</v>
      </c>
      <c r="AB1" s="661" t="str">
        <f>'Output (1)'!AB1</f>
        <v>English</v>
      </c>
      <c r="AC1" s="661" t="str">
        <f>'Output (1)'!AC1</f>
        <v>Español</v>
      </c>
    </row>
    <row r="2" spans="1:36" ht="15.75" x14ac:dyDescent="0.25">
      <c r="A2" s="7" t="str">
        <f>HLOOKUP('Output (1)'!$H$11,Traduções_6,ROW(),FALSE)</f>
        <v>CÁLCULO DAS PERDAS REAIS</v>
      </c>
      <c r="AA2" s="676" t="s">
        <v>540</v>
      </c>
      <c r="AB2" s="676" t="s">
        <v>1038</v>
      </c>
      <c r="AC2" s="676" t="s">
        <v>847</v>
      </c>
    </row>
    <row r="3" spans="1:36" s="223" customFormat="1" ht="84.75" customHeight="1" thickBot="1" x14ac:dyDescent="0.25">
      <c r="A3" s="619" t="str">
        <f>HLOOKUP('Output (1)'!$H$11,Traduções_6,ROW(),FALSE)</f>
        <v>As perdas reais constituem o fecho do ciclo de cálculo do balanço hídrico. Por um lado, são calculadas como a diferença entre as perdas totais e as perdas aparentes. Por outro, podem ser também avaliadas do modo apresentado nesta folha de cálculo. Da comparação entre os dois valores se concluirá sobre a necessidade de melhorar a qualidade de alguns dos dados ou de alterar estimativas de modo a que o resultado global seja coerente e mais próximo da realidade.</v>
      </c>
      <c r="B3" s="30"/>
      <c r="D3" s="620"/>
      <c r="E3" s="621"/>
      <c r="F3" s="622"/>
      <c r="H3" s="596"/>
      <c r="I3" s="596"/>
      <c r="J3" s="596"/>
      <c r="K3" s="596"/>
      <c r="L3" s="596"/>
      <c r="M3" s="596"/>
      <c r="N3" s="596"/>
      <c r="O3" s="596"/>
      <c r="P3" s="596"/>
      <c r="Q3" s="596"/>
      <c r="R3" s="596"/>
      <c r="S3" s="596"/>
      <c r="T3" s="596"/>
      <c r="U3" s="596"/>
      <c r="V3" s="596"/>
      <c r="W3" s="596"/>
      <c r="X3" s="596"/>
      <c r="Y3" s="596"/>
      <c r="Z3" s="596"/>
      <c r="AA3" s="677" t="s">
        <v>135</v>
      </c>
      <c r="AB3" s="677" t="s">
        <v>1039</v>
      </c>
      <c r="AC3" s="677" t="s">
        <v>848</v>
      </c>
      <c r="AD3" s="596"/>
      <c r="AE3" s="596"/>
      <c r="AF3" s="596"/>
      <c r="AG3" s="596"/>
      <c r="AH3" s="596"/>
      <c r="AI3" s="596"/>
      <c r="AJ3" s="596"/>
    </row>
    <row r="4" spans="1:36" ht="37.5" customHeight="1" thickBot="1" x14ac:dyDescent="0.25">
      <c r="A4" s="1"/>
      <c r="C4" s="558" t="str">
        <f>HLOOKUP('Output (1)'!$H$11,Traduções_6,13,FALSE)</f>
        <v>Escolha unidades</v>
      </c>
      <c r="D4" s="395" t="str">
        <f>HLOOKUP('Output (1)'!$H$11,Traduções_6,15,FALSE)</f>
        <v>Valor
(m3/ano)</v>
      </c>
      <c r="E4" s="105" t="str">
        <f>HLOOKUP('Output (1)'!$H$11,Traduções_6,16,FALSE)</f>
        <v>Fiabilidade</v>
      </c>
      <c r="F4" s="508" t="str">
        <f>HLOOKUP('Output (1)'!$H$11,Traduções_6,17,FALSE)</f>
        <v>Exactidão</v>
      </c>
      <c r="G4" s="106" t="str">
        <f>HLOOKUP('Output (1)'!$H$11,Traduções_6,18,FALSE)</f>
        <v>Observações</v>
      </c>
      <c r="H4" s="266" t="s">
        <v>6</v>
      </c>
      <c r="I4" s="267" t="s">
        <v>560</v>
      </c>
      <c r="J4" s="268" t="s">
        <v>556</v>
      </c>
      <c r="K4" s="269" t="s">
        <v>555</v>
      </c>
      <c r="L4" s="270" t="s">
        <v>557</v>
      </c>
      <c r="M4" s="271" t="s">
        <v>558</v>
      </c>
      <c r="AA4" s="350"/>
      <c r="AB4" s="350"/>
      <c r="AC4" s="350"/>
    </row>
    <row r="5" spans="1:36" ht="14.25" customHeight="1" thickBot="1" x14ac:dyDescent="0.25">
      <c r="A5" s="4" t="str">
        <f>HLOOKUP('Output (1)'!$H$11,Traduções_6,ROW(),FALSE)</f>
        <v>Fugas nas condutas de adução e/ou distribuição</v>
      </c>
      <c r="B5" s="538"/>
      <c r="C5" s="544" t="s">
        <v>67</v>
      </c>
      <c r="D5" s="349">
        <f>IF(C5=$L$20,'Configuration options'!$K$6,IF(C5=$L$21,'Configuration options'!$K$7,IF(C5=$L$22,'Configuration options'!$K$8,IF(C5=$L$23,'Configuration options'!$K$9,IF(C5=$L$24,'Configuration options'!$K$10,IF(C5=$L$25,'Configuration options'!$K$11,0))))))*B5</f>
        <v>0</v>
      </c>
      <c r="E5" s="509" t="s">
        <v>424</v>
      </c>
      <c r="F5" s="509" t="s">
        <v>116</v>
      </c>
      <c r="G5" s="804" t="s">
        <v>1067</v>
      </c>
      <c r="H5" s="490">
        <f>IF(F5=$K$20,'Configuration options'!$E$6,IF(F5=$K$21,'Configuration options'!$E$7/100,IF(F5=$K$22,'Configuration options'!$E$8/100,IF(F5=$K$23,'Configuration options'!$E$9/100,IF(F5=$K$24,'Configuration options'!$E$10/100,"erro")))))</f>
        <v>0.51</v>
      </c>
      <c r="I5" s="491">
        <f>IF(F5=$K$20,'Configuration options'!$G$6,IF(F5=$K$21,'Configuration options'!$G$7,IF(F5=$K$22,'Configuration options'!$G$8,IF(F5=$K$23,'Configuration options'!$G$9,IF(F5=$K$24,'Configuration options'!$G$10,"erro")))))</f>
        <v>1</v>
      </c>
      <c r="J5" s="355">
        <f>H5*D5</f>
        <v>0</v>
      </c>
      <c r="K5" s="356">
        <f>I5*D5</f>
        <v>0</v>
      </c>
      <c r="L5" s="355">
        <f>H5*D5</f>
        <v>0</v>
      </c>
      <c r="M5" s="356">
        <f>I5*D5</f>
        <v>0</v>
      </c>
      <c r="AA5" s="678" t="s">
        <v>497</v>
      </c>
      <c r="AB5" s="678" t="s">
        <v>968</v>
      </c>
      <c r="AC5" s="678" t="s">
        <v>849</v>
      </c>
    </row>
    <row r="6" spans="1:36" ht="14.25" customHeight="1" thickBot="1" x14ac:dyDescent="0.25">
      <c r="A6" s="4" t="str">
        <f>HLOOKUP('Output (1)'!$H$11,Traduções_6,ROW(),FALSE)</f>
        <v>Fugas e extravasamentos nos reservatórios de adução e/ou distribuição</v>
      </c>
      <c r="B6" s="542"/>
      <c r="C6" s="544"/>
      <c r="D6" s="349">
        <f>IF(C6=$L$20,'Configuration options'!$K$6,IF(C6=$L$21,'Configuration options'!$K$7,IF(C6=$L$22,'Configuration options'!$K$8,IF(C6=$L$23,'Configuration options'!$K$9,IF(C6=$L$24,'Configuration options'!$K$10,IF(C6=$L$25,'Configuration options'!$K$11,0))))))*B6</f>
        <v>0</v>
      </c>
      <c r="E6" s="509" t="s">
        <v>424</v>
      </c>
      <c r="F6" s="509" t="s">
        <v>116</v>
      </c>
      <c r="G6" s="796"/>
      <c r="H6" s="390">
        <f>IF(F6=$K$20,'Configuration options'!$E$6,IF(F6=$K$21,'Configuration options'!$E$7/100,IF(F6=$K$22,'Configuration options'!$E$8/100,IF(F6=$K$23,'Configuration options'!$E$9/100,IF(F6=$K$24,'Configuration options'!$E$10/100,"erro")))))</f>
        <v>0.51</v>
      </c>
      <c r="I6" s="358">
        <f>IF(F6=$K$20,'Configuration options'!$G$6,IF(F6=$K$21,'Configuration options'!$G$7,IF(F6=$K$22,'Configuration options'!$G$8,IF(F6=$K$23,'Configuration options'!$G$9,IF(F6=$K$24,'Configuration options'!$G$10,"erro")))))</f>
        <v>1</v>
      </c>
      <c r="J6" s="327">
        <f>H6*D6</f>
        <v>0</v>
      </c>
      <c r="K6" s="328">
        <f>I6*D6</f>
        <v>0</v>
      </c>
      <c r="L6" s="327">
        <f>H6*D6</f>
        <v>0</v>
      </c>
      <c r="M6" s="328">
        <f>I6*D6</f>
        <v>0</v>
      </c>
      <c r="AA6" s="678" t="s">
        <v>498</v>
      </c>
      <c r="AB6" s="678" t="s">
        <v>969</v>
      </c>
      <c r="AC6" s="678" t="s">
        <v>850</v>
      </c>
    </row>
    <row r="7" spans="1:36" ht="15" customHeight="1" thickBot="1" x14ac:dyDescent="0.25">
      <c r="A7" s="4" t="str">
        <f>HLOOKUP('Output (1)'!$H$11,Traduções_6,ROW(),FALSE)</f>
        <v>Fugas nos ramais (a montante do ponto de medição)</v>
      </c>
      <c r="B7" s="538"/>
      <c r="C7" s="544" t="s">
        <v>67</v>
      </c>
      <c r="D7" s="349">
        <f>IF(C7=$L$20,'Configuration options'!$K$6,IF(C7=$L$21,'Configuration options'!$K$7,IF(C7=$L$22,'Configuration options'!$K$8,IF(C7=$L$23,'Configuration options'!$K$9,IF(C7=$L$24,'Configuration options'!$K$10,IF(C7=$L$25,'Configuration options'!$K$11,0))))))*B7</f>
        <v>0</v>
      </c>
      <c r="E7" s="509" t="s">
        <v>424</v>
      </c>
      <c r="F7" s="509" t="s">
        <v>116</v>
      </c>
      <c r="G7" s="797"/>
      <c r="H7" s="397">
        <f>IF(F7=$K$20,'Configuration options'!$E$6,IF(F7=$K$21,'Configuration options'!$E$7/100,IF(F7=$K$22,'Configuration options'!$E$8/100,IF(F7=$K$23,'Configuration options'!$E$9/100,IF(F7=$K$24,'Configuration options'!$E$10/100,"erro")))))</f>
        <v>0.51</v>
      </c>
      <c r="I7" s="359">
        <f>IF(F7=$K$20,'Configuration options'!$G$6,IF(F7=$K$21,'Configuration options'!$G$7,IF(F7=$K$22,'Configuration options'!$G$8,IF(F7=$K$23,'Configuration options'!$G$9,IF(F7=$K$24,'Configuration options'!$G$10,"erro")))))</f>
        <v>1</v>
      </c>
      <c r="J7" s="329">
        <f>H7*D7</f>
        <v>0</v>
      </c>
      <c r="K7" s="330">
        <f>I7*D7</f>
        <v>0</v>
      </c>
      <c r="L7" s="329">
        <f>H7*D7</f>
        <v>0</v>
      </c>
      <c r="M7" s="330">
        <f>I7*D7</f>
        <v>0</v>
      </c>
      <c r="AA7" s="678" t="s">
        <v>499</v>
      </c>
      <c r="AB7" s="678" t="s">
        <v>970</v>
      </c>
      <c r="AC7" s="678" t="s">
        <v>236</v>
      </c>
    </row>
    <row r="8" spans="1:36" ht="15" customHeight="1" thickBot="1" x14ac:dyDescent="0.25">
      <c r="B8" s="419"/>
      <c r="G8" s="223"/>
      <c r="H8" s="278"/>
      <c r="I8" s="278"/>
      <c r="J8" s="278"/>
      <c r="K8" s="278"/>
      <c r="L8" s="278"/>
      <c r="M8" s="278"/>
      <c r="AA8" s="298"/>
      <c r="AB8" s="298"/>
      <c r="AC8" s="298"/>
    </row>
    <row r="9" spans="1:36" ht="15" customHeight="1" thickBot="1" x14ac:dyDescent="0.25">
      <c r="A9" s="5" t="str">
        <f>HLOOKUP('Output (1)'!$H$11,Traduções_6,ROW(),FALSE)</f>
        <v>Perdas reais</v>
      </c>
      <c r="B9" s="430">
        <f>SUM(D5:D10)</f>
        <v>0</v>
      </c>
      <c r="C9" s="38" t="str">
        <f>HLOOKUP('Output (1)'!$H$11,Traduções_6,14,FALSE)</f>
        <v>m3/ano</v>
      </c>
      <c r="D9" s="350"/>
      <c r="E9" s="122"/>
      <c r="F9" s="220" t="str">
        <f>IF(B9&gt;0,CONCATENATE(H9*100,"-",I9*100," %")," ")</f>
        <v xml:space="preserve"> </v>
      </c>
      <c r="G9" s="231"/>
      <c r="H9" s="312" t="e">
        <f>IF('Configuration options'!$A$16=1,INT(J9/$B9*100)/100,IF('Configuration options'!$A$16=2,INT(L9/$B9*100)/100,"Erro"))</f>
        <v>#DIV/0!</v>
      </c>
      <c r="I9" s="289" t="e">
        <f>IF('Configuration options'!$A$16=1,INT(K9/$B9*100)/100,IF('Configuration options'!$A$16=2,INT(M9/$B9*100)/100,"Erro"))</f>
        <v>#DIV/0!</v>
      </c>
      <c r="J9" s="312">
        <f>SUM(J5:J7)</f>
        <v>0</v>
      </c>
      <c r="K9" s="312">
        <f>SUM(K5:K7)</f>
        <v>0</v>
      </c>
      <c r="L9" s="312">
        <f>SQRT(L5^2+L6^2+L7^2)</f>
        <v>0</v>
      </c>
      <c r="M9" s="360">
        <f>SQRT(M5^2+M6^2+M7^2)</f>
        <v>0</v>
      </c>
      <c r="AA9" s="679" t="s">
        <v>492</v>
      </c>
      <c r="AB9" s="679" t="s">
        <v>1037</v>
      </c>
      <c r="AC9" s="679" t="s">
        <v>768</v>
      </c>
    </row>
    <row r="10" spans="1:36" x14ac:dyDescent="0.2">
      <c r="C10" s="17"/>
      <c r="D10" s="298"/>
      <c r="E10" s="17"/>
    </row>
    <row r="11" spans="1:36" ht="15" customHeight="1" x14ac:dyDescent="0.2">
      <c r="E11" s="17"/>
    </row>
    <row r="12" spans="1:36" ht="15" customHeight="1" x14ac:dyDescent="0.2">
      <c r="B12" s="22"/>
    </row>
    <row r="13" spans="1:36" ht="15" customHeight="1" x14ac:dyDescent="0.2">
      <c r="A13" s="22"/>
      <c r="Z13" s="265" t="s">
        <v>647</v>
      </c>
      <c r="AA13" s="265" t="s">
        <v>87</v>
      </c>
      <c r="AB13" s="265" t="s">
        <v>388</v>
      </c>
      <c r="AC13" s="265" t="s">
        <v>282</v>
      </c>
    </row>
    <row r="14" spans="1:36" ht="15" customHeight="1" x14ac:dyDescent="0.2">
      <c r="Z14" s="265" t="s">
        <v>693</v>
      </c>
      <c r="AA14" s="265" t="s">
        <v>67</v>
      </c>
      <c r="AB14" s="265" t="s">
        <v>405</v>
      </c>
      <c r="AC14" s="596" t="s">
        <v>790</v>
      </c>
    </row>
    <row r="15" spans="1:36" ht="25.5" x14ac:dyDescent="0.2">
      <c r="Z15" s="265" t="s">
        <v>649</v>
      </c>
      <c r="AA15" s="265" t="s">
        <v>672</v>
      </c>
      <c r="AB15" s="596" t="s">
        <v>696</v>
      </c>
      <c r="AC15" s="596" t="s">
        <v>348</v>
      </c>
    </row>
    <row r="16" spans="1:36" x14ac:dyDescent="0.2">
      <c r="Z16" s="265" t="s">
        <v>650</v>
      </c>
      <c r="AA16" s="265" t="s">
        <v>422</v>
      </c>
      <c r="AB16" s="265" t="s">
        <v>893</v>
      </c>
      <c r="AC16" s="265" t="s">
        <v>776</v>
      </c>
    </row>
    <row r="17" spans="3:29" x14ac:dyDescent="0.2">
      <c r="Z17" s="265" t="s">
        <v>651</v>
      </c>
      <c r="AA17" s="265" t="s">
        <v>423</v>
      </c>
      <c r="AB17" s="265" t="s">
        <v>894</v>
      </c>
      <c r="AC17" s="265" t="s">
        <v>729</v>
      </c>
    </row>
    <row r="18" spans="3:29" x14ac:dyDescent="0.2">
      <c r="Z18" s="265" t="s">
        <v>652</v>
      </c>
      <c r="AA18" s="265" t="s">
        <v>35</v>
      </c>
      <c r="AB18" s="265" t="s">
        <v>394</v>
      </c>
      <c r="AC18" s="265" t="s">
        <v>789</v>
      </c>
    </row>
    <row r="20" spans="3:29" x14ac:dyDescent="0.2">
      <c r="E20" s="130"/>
      <c r="F20"/>
      <c r="G20" s="265"/>
      <c r="J20" s="498" t="str">
        <f>'Configuration options'!A6</f>
        <v>***</v>
      </c>
      <c r="K20" s="498" t="str">
        <f>'Configuration options'!D6</f>
        <v>0-5%</v>
      </c>
      <c r="L20" s="498" t="str">
        <f>'Configuration options'!J6</f>
        <v>l/s</v>
      </c>
    </row>
    <row r="21" spans="3:29" x14ac:dyDescent="0.2">
      <c r="C21" s="298"/>
      <c r="E21" s="130"/>
      <c r="F21"/>
      <c r="G21" s="265"/>
      <c r="J21" s="498" t="str">
        <f>'Configuration options'!A7</f>
        <v>**</v>
      </c>
      <c r="K21" s="498" t="str">
        <f>'Configuration options'!D7</f>
        <v>6-20%</v>
      </c>
      <c r="L21" s="498" t="str">
        <f>'Configuration options'!J7</f>
        <v>m3/h</v>
      </c>
    </row>
    <row r="22" spans="3:29" x14ac:dyDescent="0.2">
      <c r="J22" s="498" t="str">
        <f>'Configuration options'!A8</f>
        <v>*</v>
      </c>
      <c r="K22" s="498" t="str">
        <f>'Configuration options'!D8</f>
        <v>21-50%</v>
      </c>
      <c r="L22" s="498" t="str">
        <f>'Configuration options'!J8</f>
        <v>l/dia</v>
      </c>
    </row>
    <row r="23" spans="3:29" x14ac:dyDescent="0.2">
      <c r="J23" s="498"/>
      <c r="K23" s="498" t="str">
        <f>'Configuration options'!D9</f>
        <v>51-100%</v>
      </c>
      <c r="L23" s="498" t="str">
        <f>'Configuration options'!J9</f>
        <v>m3/dia</v>
      </c>
    </row>
    <row r="24" spans="3:29" x14ac:dyDescent="0.2">
      <c r="J24" s="498"/>
      <c r="K24" s="498" t="str">
        <f>'Configuration options'!D10</f>
        <v>101-300%</v>
      </c>
      <c r="L24" s="498" t="str">
        <f>'Configuration options'!J10</f>
        <v>m3/mês</v>
      </c>
    </row>
    <row r="25" spans="3:29" x14ac:dyDescent="0.2">
      <c r="J25" s="498"/>
      <c r="K25" s="498"/>
      <c r="L25" s="498" t="str">
        <f>'Configuration options'!J11</f>
        <v>m3/ano</v>
      </c>
    </row>
    <row r="27" spans="3:29" x14ac:dyDescent="0.2">
      <c r="Z27" s="632" t="s">
        <v>901</v>
      </c>
      <c r="AA27" s="576" t="s">
        <v>912</v>
      </c>
      <c r="AB27" s="631" t="s">
        <v>913</v>
      </c>
      <c r="AC27" s="631" t="s">
        <v>251</v>
      </c>
    </row>
    <row r="28" spans="3:29" x14ac:dyDescent="0.2">
      <c r="Z28" s="653" t="s">
        <v>652</v>
      </c>
      <c r="AA28" s="656" t="s">
        <v>895</v>
      </c>
      <c r="AB28" s="656" t="s">
        <v>1046</v>
      </c>
      <c r="AC28" s="633" t="s">
        <v>354</v>
      </c>
    </row>
  </sheetData>
  <sheetProtection sheet="1" objects="1" scenarios="1"/>
  <mergeCells count="1">
    <mergeCell ref="G5:G7"/>
  </mergeCells>
  <phoneticPr fontId="8" type="noConversion"/>
  <dataValidations count="3">
    <dataValidation type="list" allowBlank="1" showInputMessage="1" showErrorMessage="1" sqref="E5:E7" xr:uid="{00000000-0002-0000-0A00-000000000000}">
      <formula1>$J$20:$J$22</formula1>
    </dataValidation>
    <dataValidation type="list" allowBlank="1" showInputMessage="1" showErrorMessage="1" sqref="F5:F7" xr:uid="{00000000-0002-0000-0A00-000001000000}">
      <formula1>$K$20:$K$24</formula1>
    </dataValidation>
    <dataValidation type="list" allowBlank="1" showInputMessage="1" showErrorMessage="1" sqref="C5:C7" xr:uid="{00000000-0002-0000-0A00-000002000000}">
      <formula1>$L$19:$L$25</formula1>
    </dataValidation>
  </dataValidations>
  <pageMargins left="0.75" right="0.75" top="1" bottom="1" header="0.5" footer="0.5"/>
  <pageSetup paperSize="9" orientation="portrait"/>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7171" r:id="rId3" name="Drop Down 3">
              <controlPr defaultSize="0" autoLine="0" autoPict="0">
                <anchor moveWithCells="1" sizeWithCells="1">
                  <from>
                    <xdr:col>2</xdr:col>
                    <xdr:colOff>0</xdr:colOff>
                    <xdr:row>20</xdr:row>
                    <xdr:rowOff>0</xdr:rowOff>
                  </from>
                  <to>
                    <xdr:col>2</xdr:col>
                    <xdr:colOff>0</xdr:colOff>
                    <xdr:row>20</xdr:row>
                    <xdr:rowOff>0</xdr:rowOff>
                  </to>
                </anchor>
              </controlPr>
            </control>
          </mc:Choice>
        </mc:AlternateContent>
        <mc:AlternateContent xmlns:mc="http://schemas.openxmlformats.org/markup-compatibility/2006">
          <mc:Choice Requires="x14">
            <control shapeId="7174" r:id="rId4" name="Drop Down 6">
              <controlPr defaultSize="0" autoLine="0" autoPict="0">
                <anchor moveWithCells="1" sizeWithCells="1">
                  <from>
                    <xdr:col>2</xdr:col>
                    <xdr:colOff>0</xdr:colOff>
                    <xdr:row>20</xdr:row>
                    <xdr:rowOff>0</xdr:rowOff>
                  </from>
                  <to>
                    <xdr:col>2</xdr:col>
                    <xdr:colOff>0</xdr:colOff>
                    <xdr:row>20</xdr:row>
                    <xdr:rowOff>0</xdr:rowOff>
                  </to>
                </anchor>
              </controlPr>
            </control>
          </mc:Choice>
        </mc:AlternateContent>
        <mc:AlternateContent xmlns:mc="http://schemas.openxmlformats.org/markup-compatibility/2006">
          <mc:Choice Requires="x14">
            <control shapeId="7176" r:id="rId5" name="Drop Down 8">
              <controlPr defaultSize="0" autoLine="0" autoPict="0">
                <anchor moveWithCells="1" sizeWithCells="1">
                  <from>
                    <xdr:col>2</xdr:col>
                    <xdr:colOff>0</xdr:colOff>
                    <xdr:row>20</xdr:row>
                    <xdr:rowOff>0</xdr:rowOff>
                  </from>
                  <to>
                    <xdr:col>2</xdr:col>
                    <xdr:colOff>0</xdr:colOff>
                    <xdr:row>20</xdr:row>
                    <xdr:rowOff>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22"/>
  </sheetPr>
  <dimension ref="A1:AJ31"/>
  <sheetViews>
    <sheetView showGridLines="0" showRowColHeaders="0" topLeftCell="A7" workbookViewId="0">
      <selection activeCell="B20" sqref="B20"/>
    </sheetView>
  </sheetViews>
  <sheetFormatPr defaultColWidth="8.85546875" defaultRowHeight="12.75" x14ac:dyDescent="0.2"/>
  <cols>
    <col min="1" max="1" width="13.42578125" bestFit="1" customWidth="1"/>
    <col min="2" max="2" width="81" customWidth="1"/>
    <col min="3" max="3" width="2.42578125" style="17" customWidth="1"/>
    <col min="4" max="4" width="8.42578125" style="265" hidden="1" customWidth="1"/>
    <col min="5" max="5" width="3.28515625" customWidth="1"/>
    <col min="6" max="6" width="1.140625" customWidth="1"/>
    <col min="7" max="7" width="5.140625" customWidth="1"/>
    <col min="8" max="8" width="19.42578125" customWidth="1"/>
    <col min="9" max="9" width="10.28515625" customWidth="1"/>
    <col min="10" max="10" width="15.140625" customWidth="1"/>
    <col min="11" max="11" width="14.140625" customWidth="1"/>
    <col min="12" max="12" width="50" customWidth="1"/>
    <col min="13" max="13" width="9.85546875" hidden="1" customWidth="1"/>
    <col min="14" max="14" width="12.7109375" hidden="1" customWidth="1"/>
    <col min="15" max="15" width="13.28515625" hidden="1" customWidth="1"/>
    <col min="16" max="16" width="11" hidden="1" customWidth="1"/>
    <col min="17" max="26" width="9.140625" hidden="1" customWidth="1"/>
    <col min="27" max="27" width="86.28515625" hidden="1" customWidth="1"/>
    <col min="28" max="28" width="89.42578125" hidden="1" customWidth="1"/>
    <col min="29" max="29" width="66.28515625" hidden="1" customWidth="1"/>
    <col min="30" max="36" width="9.140625" hidden="1" customWidth="1"/>
  </cols>
  <sheetData>
    <row r="1" spans="1:34" ht="45" customHeight="1" x14ac:dyDescent="0.2">
      <c r="Z1" t="str">
        <f>'Output (1)'!H11</f>
        <v>Português</v>
      </c>
      <c r="AA1" s="661" t="str">
        <f>'Output (1)'!AA1</f>
        <v>Português</v>
      </c>
      <c r="AB1" s="661" t="str">
        <f>'Output (1)'!AB1</f>
        <v>English</v>
      </c>
      <c r="AC1" s="661" t="str">
        <f>'Output (1)'!AC1</f>
        <v>Español</v>
      </c>
      <c r="AD1" s="265"/>
      <c r="AE1" s="265"/>
      <c r="AF1" s="265"/>
      <c r="AG1" s="265"/>
      <c r="AH1" s="265"/>
    </row>
    <row r="2" spans="1:34" ht="20.25" x14ac:dyDescent="0.3">
      <c r="A2" s="24" t="str">
        <f>HLOOKUP('Output (1)'!$H$11,Traduções_Opçõesdeconfiguração,ROW(),FALSE)</f>
        <v>OPÇÕES DE CONFIGURAÇÃO</v>
      </c>
      <c r="AA2" s="623" t="s">
        <v>446</v>
      </c>
      <c r="AB2" s="623" t="s">
        <v>421</v>
      </c>
      <c r="AC2" s="623" t="s">
        <v>855</v>
      </c>
    </row>
    <row r="3" spans="1:34" x14ac:dyDescent="0.2">
      <c r="Z3" t="s">
        <v>695</v>
      </c>
      <c r="AA3" t="s">
        <v>694</v>
      </c>
      <c r="AB3" t="s">
        <v>404</v>
      </c>
      <c r="AC3" t="s">
        <v>856</v>
      </c>
    </row>
    <row r="4" spans="1:34" ht="26.25" customHeight="1" thickBot="1" x14ac:dyDescent="0.3">
      <c r="A4" s="808" t="str">
        <f>HLOOKUP('Output (1)'!$H$11,Traduções_Opçõesdeconfiguração,ROW(),FALSE)</f>
        <v>Classes de fiabilidade e de exactidão</v>
      </c>
      <c r="B4" s="808" t="str">
        <f>HLOOKUP('Output (1)'!$H$11,Traduções_Opçõesdeconfiguração,ROW(),FALSE)</f>
        <v>Classes de fiabilidade e de exactidão</v>
      </c>
      <c r="C4" s="808" t="str">
        <f>HLOOKUP('Output (1)'!$H$11,Traduções_Opçõesdeconfiguração,ROW(),FALSE)</f>
        <v>Classes de fiabilidade e de exactidão</v>
      </c>
      <c r="D4" s="808" t="str">
        <f>HLOOKUP('Output (1)'!$H$11,Traduções_Opçõesdeconfiguração,ROW(),FALSE)</f>
        <v>Classes de fiabilidade e de exactidão</v>
      </c>
      <c r="E4" s="808" t="str">
        <f>HLOOKUP('Output (1)'!$H$11,Traduções_Opçõesdeconfiguração,ROW(),FALSE)</f>
        <v>Classes de fiabilidade e de exactidão</v>
      </c>
      <c r="F4" s="808" t="str">
        <f>HLOOKUP('Output (1)'!$H$11,Traduções_Opçõesdeconfiguração,ROW(),FALSE)</f>
        <v>Classes de fiabilidade e de exactidão</v>
      </c>
      <c r="G4" s="808" t="str">
        <f>HLOOKUP('Output (1)'!$H$11,Traduções_Opçõesdeconfiguração,ROW(),FALSE)</f>
        <v>Classes de fiabilidade e de exactidão</v>
      </c>
      <c r="H4" s="808" t="str">
        <f>HLOOKUP('Output (1)'!$H$11,Traduções_Opçõesdeconfiguração,ROW(),FALSE)</f>
        <v>Classes de fiabilidade e de exactidão</v>
      </c>
      <c r="J4" s="809" t="str">
        <f>HLOOKUP('Output (1)'!$H$11,Traduções_Opçõesdeconfiguração,3,FALSE)</f>
        <v>Conversão de unidades de caudal para m3/ano</v>
      </c>
      <c r="K4" s="809"/>
      <c r="AA4" t="s">
        <v>455</v>
      </c>
      <c r="AB4" t="s">
        <v>397</v>
      </c>
      <c r="AC4" t="s">
        <v>857</v>
      </c>
    </row>
    <row r="5" spans="1:34" s="27" customFormat="1" ht="25.5" customHeight="1" x14ac:dyDescent="0.2">
      <c r="A5" s="805" t="str">
        <f>HLOOKUP('Output (1)'!$H$11,Traduções_Opçõesdeconfiguração,ROW(),FALSE)</f>
        <v>Classes de fiabildade</v>
      </c>
      <c r="B5" s="806" t="str">
        <f>HLOOKUP('Output (1)'!$H$11,Traduções_Opçõesdeconfiguração,ROW(),FALSE)</f>
        <v>Classes de fiabildade</v>
      </c>
      <c r="C5" s="31"/>
      <c r="D5" s="398"/>
      <c r="E5" s="805" t="str">
        <f>HLOOKUP('Output (1)'!$H$11,Traduções_Opçõesdeconfiguração,9,FALSE)</f>
        <v>Classes de exactidão</v>
      </c>
      <c r="F5" s="814" t="str">
        <f>HLOOKUP('Output (1)'!$H$11,Traduções_Opçõesdeconfiguração,ROW(),FALSE)</f>
        <v>Classes de fiabildade</v>
      </c>
      <c r="G5" s="814" t="str">
        <f>HLOOKUP('Output (1)'!$H$11,Traduções_Opçõesdeconfiguração,ROW(),FALSE)</f>
        <v>Classes de fiabildade</v>
      </c>
      <c r="H5" s="806" t="str">
        <f>HLOOKUP('Output (1)'!$H$11,Traduções_Opçõesdeconfiguração,ROW(),FALSE)</f>
        <v>Classes de fiabildade</v>
      </c>
      <c r="J5" s="32" t="str">
        <f>HLOOKUP('Output (1)'!$H$11,Traduções_Opçõesdeconfiguração,10,FALSE)</f>
        <v>Unidade</v>
      </c>
      <c r="K5" s="33" t="str">
        <f>HLOOKUP('Output (1)'!$H$11,Traduções_Opçõesdeconfiguração,11,FALSE)</f>
        <v>Factor de conversão</v>
      </c>
      <c r="M5" s="502" t="str">
        <f>'Output (1)'!AA1</f>
        <v>Português</v>
      </c>
      <c r="N5" s="502" t="str">
        <f>'Output (1)'!AB1</f>
        <v>English</v>
      </c>
      <c r="O5" s="527" t="str">
        <f>'Output (1)'!AC1</f>
        <v>Español</v>
      </c>
      <c r="P5" s="505" t="str">
        <f>'Output (1)'!H11</f>
        <v>Português</v>
      </c>
      <c r="AA5" s="27" t="s">
        <v>427</v>
      </c>
      <c r="AB5" s="27" t="s">
        <v>398</v>
      </c>
      <c r="AC5" s="27" t="s">
        <v>858</v>
      </c>
    </row>
    <row r="6" spans="1:34" s="27" customFormat="1" ht="39" customHeight="1" x14ac:dyDescent="0.2">
      <c r="A6" s="254" t="s">
        <v>426</v>
      </c>
      <c r="B6" s="255" t="str">
        <f>HLOOKUP('Output (1)'!$H$11,Traduções_Opçõesdeconfiguração,ROW(),FALSE)</f>
        <v>Dados baseados em medições exaustivas, registos fidedignos, procedimentos, investigações ou análises adequadamente documentadas e reconhecidas como o melhor método de cálculo.</v>
      </c>
      <c r="C6" s="26"/>
      <c r="D6" s="399" t="str">
        <f>CONCATENATE(E6,"-",G6*100,"%")</f>
        <v>0-5%</v>
      </c>
      <c r="E6" s="241">
        <v>0</v>
      </c>
      <c r="F6" s="245" t="s">
        <v>50</v>
      </c>
      <c r="G6" s="244">
        <v>0.05</v>
      </c>
      <c r="H6" s="242" t="str">
        <f>HLOOKUP('Output (1)'!$H$11,Traduções_Opçõesdeconfiguração,17,FALSE)</f>
        <v>Melhor ou igual a ± 5%</v>
      </c>
      <c r="J6" s="259" t="str">
        <f t="shared" ref="J6:J11" si="0">P6</f>
        <v>l/s</v>
      </c>
      <c r="K6" s="260">
        <f>3600*24*365/1000</f>
        <v>31536</v>
      </c>
      <c r="M6" s="500" t="s">
        <v>449</v>
      </c>
      <c r="N6" s="500" t="s">
        <v>73</v>
      </c>
      <c r="O6" s="500" t="s">
        <v>449</v>
      </c>
      <c r="P6" s="506" t="str">
        <f t="shared" ref="P6:P11" si="1">IF($M$5=$P$5,M6,IF($N$5=$P$5,N6,IF($O$5=$P$5,O6)))</f>
        <v>l/s</v>
      </c>
      <c r="AA6" s="624" t="s">
        <v>459</v>
      </c>
      <c r="AB6" s="624" t="s">
        <v>273</v>
      </c>
      <c r="AC6" s="624" t="s">
        <v>859</v>
      </c>
    </row>
    <row r="7" spans="1:34" s="27" customFormat="1" ht="39" customHeight="1" x14ac:dyDescent="0.2">
      <c r="A7" s="254" t="s">
        <v>425</v>
      </c>
      <c r="B7" s="256" t="str">
        <f>HLOOKUP('Output (1)'!$H$11,Traduções_Opçõesdeconfiguração,ROW(),FALSE)</f>
        <v>Dados baseados em estimativas ou extrapolações a partir de uma amostra limitada, mas com algumas falhas não significativas nos dados, tais como parte da documentação estar em falta, os cálculos serem antigos, ou ter-se confiado em registos não confirmados, ou ainda terem-se incluído alguns dados por extrapolação.</v>
      </c>
      <c r="C7" s="26"/>
      <c r="D7" s="399" t="str">
        <f>CONCATENATE(E7,"-",G7*100,"%")</f>
        <v>6-20%</v>
      </c>
      <c r="E7" s="241">
        <f>(G6+0.01)*100</f>
        <v>6.0000000000000009</v>
      </c>
      <c r="F7" s="245" t="s">
        <v>50</v>
      </c>
      <c r="G7" s="249">
        <v>0.2</v>
      </c>
      <c r="H7" s="243" t="str">
        <f>HLOOKUP('Output (1)'!$H$11,Traduções_Opçõesdeconfiguração,18,FALSE)</f>
        <v>Pior do que ± 5%, mas melhor que ou igual a ± 20%</v>
      </c>
      <c r="J7" s="259" t="str">
        <f t="shared" si="0"/>
        <v>m3/h</v>
      </c>
      <c r="K7" s="260">
        <f>24*365</f>
        <v>8760</v>
      </c>
      <c r="M7" s="500" t="s">
        <v>451</v>
      </c>
      <c r="N7" s="500" t="s">
        <v>74</v>
      </c>
      <c r="O7" s="500" t="s">
        <v>451</v>
      </c>
      <c r="P7" s="506" t="str">
        <f t="shared" si="1"/>
        <v>m3/h</v>
      </c>
      <c r="AA7" s="624" t="s">
        <v>34</v>
      </c>
      <c r="AB7" s="624" t="s">
        <v>274</v>
      </c>
      <c r="AC7" s="624" t="s">
        <v>860</v>
      </c>
    </row>
    <row r="8" spans="1:34" s="27" customFormat="1" ht="39" customHeight="1" thickBot="1" x14ac:dyDescent="0.25">
      <c r="A8" s="257" t="s">
        <v>424</v>
      </c>
      <c r="B8" s="258" t="str">
        <f>HLOOKUP('Output (1)'!$H$11,Traduções_Opçõesdeconfiguração,ROW(),FALSE)</f>
        <v>Dados baseados em estimativas ou extrapolações a partir de uma amostra limitada.</v>
      </c>
      <c r="C8" s="28"/>
      <c r="D8" s="399" t="str">
        <f>CONCATENATE(E8,"-",G8*100,"%")</f>
        <v>21-50%</v>
      </c>
      <c r="E8" s="241">
        <f>(G7+0.01)*100</f>
        <v>21.000000000000004</v>
      </c>
      <c r="F8" s="245" t="s">
        <v>50</v>
      </c>
      <c r="G8" s="250">
        <v>0.5</v>
      </c>
      <c r="H8" s="243" t="str">
        <f>HLOOKUP('Output (1)'!$H$11,Traduções_Opçõesdeconfiguração,19,FALSE)</f>
        <v>Pior do que ± 20%, mas melhor que ou igual a ± 50%</v>
      </c>
      <c r="J8" s="259" t="str">
        <f t="shared" si="0"/>
        <v>l/dia</v>
      </c>
      <c r="K8" s="260">
        <f>365/1000</f>
        <v>0.36499999999999999</v>
      </c>
      <c r="M8" s="500" t="s">
        <v>470</v>
      </c>
      <c r="N8" s="500" t="s">
        <v>75</v>
      </c>
      <c r="O8" s="500" t="s">
        <v>643</v>
      </c>
      <c r="P8" s="506" t="str">
        <f t="shared" si="1"/>
        <v>l/dia</v>
      </c>
      <c r="AA8" s="625" t="s">
        <v>458</v>
      </c>
      <c r="AB8" s="624" t="s">
        <v>275</v>
      </c>
      <c r="AC8" s="624" t="s">
        <v>861</v>
      </c>
    </row>
    <row r="9" spans="1:34" s="27" customFormat="1" ht="39" customHeight="1" x14ac:dyDescent="0.2">
      <c r="A9" s="29"/>
      <c r="B9" s="29"/>
      <c r="C9" s="29"/>
      <c r="D9" s="399" t="str">
        <f>CONCATENATE(E9,"-",G9*100,"%")</f>
        <v>51-100%</v>
      </c>
      <c r="E9" s="241">
        <f>(G8+0.01)*100</f>
        <v>51</v>
      </c>
      <c r="F9" s="245" t="s">
        <v>50</v>
      </c>
      <c r="G9" s="244">
        <v>1</v>
      </c>
      <c r="H9" s="243" t="str">
        <f>HLOOKUP('Output (1)'!$H$11,Traduções_Opçõesdeconfiguração,20,FALSE)</f>
        <v>Pior do que ± 50%, mas melhor que ou igual a ± 100%</v>
      </c>
      <c r="J9" s="259" t="str">
        <f t="shared" si="0"/>
        <v>m3/dia</v>
      </c>
      <c r="K9" s="260">
        <f>365</f>
        <v>365</v>
      </c>
      <c r="M9" s="500" t="s">
        <v>452</v>
      </c>
      <c r="N9" s="500" t="s">
        <v>76</v>
      </c>
      <c r="O9" s="500" t="s">
        <v>644</v>
      </c>
      <c r="P9" s="506" t="str">
        <f t="shared" si="1"/>
        <v>m3/dia</v>
      </c>
      <c r="Z9" s="606" t="s">
        <v>410</v>
      </c>
      <c r="AA9" s="27" t="s">
        <v>460</v>
      </c>
      <c r="AB9" s="27" t="s">
        <v>399</v>
      </c>
      <c r="AC9" s="27" t="s">
        <v>862</v>
      </c>
    </row>
    <row r="10" spans="1:34" s="27" customFormat="1" ht="39" customHeight="1" thickBot="1" x14ac:dyDescent="0.25">
      <c r="A10" s="29"/>
      <c r="B10" s="29"/>
      <c r="C10" s="29"/>
      <c r="D10" s="399" t="str">
        <f>CONCATENATE(E10,"-",G10*100,"%")</f>
        <v>101-300%</v>
      </c>
      <c r="E10" s="246">
        <f>(G9+0.01)*100</f>
        <v>101</v>
      </c>
      <c r="F10" s="247" t="s">
        <v>50</v>
      </c>
      <c r="G10" s="251">
        <v>3</v>
      </c>
      <c r="H10" s="252" t="str">
        <f>HLOOKUP('Output (1)'!$H$11,Traduções_Opçõesdeconfiguração,21,FALSE)</f>
        <v>Pior do que ± 100%, mas melhor que ou igual a ± 300%</v>
      </c>
      <c r="J10" s="259" t="str">
        <f t="shared" si="0"/>
        <v>m3/mês</v>
      </c>
      <c r="K10" s="260">
        <f>12</f>
        <v>12</v>
      </c>
      <c r="M10" s="500" t="s">
        <v>453</v>
      </c>
      <c r="N10" s="500" t="s">
        <v>77</v>
      </c>
      <c r="O10" s="500" t="s">
        <v>645</v>
      </c>
      <c r="P10" s="506" t="str">
        <f t="shared" si="1"/>
        <v>m3/mês</v>
      </c>
      <c r="Z10" s="27" t="s">
        <v>411</v>
      </c>
      <c r="AA10" s="27" t="s">
        <v>447</v>
      </c>
      <c r="AB10" s="27" t="s">
        <v>419</v>
      </c>
      <c r="AC10" s="27" t="s">
        <v>863</v>
      </c>
    </row>
    <row r="11" spans="1:34" s="27" customFormat="1" ht="39" customHeight="1" thickBot="1" x14ac:dyDescent="0.25">
      <c r="A11" s="29"/>
      <c r="B11" s="29"/>
      <c r="C11" s="29"/>
      <c r="D11" s="400"/>
      <c r="E11" s="40"/>
      <c r="F11" s="40"/>
      <c r="G11" s="40"/>
      <c r="H11" s="253"/>
      <c r="J11" s="261" t="str">
        <f t="shared" si="0"/>
        <v>m3/ano</v>
      </c>
      <c r="K11" s="262">
        <v>1</v>
      </c>
      <c r="M11" s="501" t="s">
        <v>454</v>
      </c>
      <c r="N11" s="501" t="s">
        <v>78</v>
      </c>
      <c r="O11" s="501" t="s">
        <v>213</v>
      </c>
      <c r="P11" s="507" t="str">
        <f t="shared" si="1"/>
        <v>m3/ano</v>
      </c>
      <c r="Z11" s="27" t="s">
        <v>412</v>
      </c>
      <c r="AA11" s="27" t="s">
        <v>448</v>
      </c>
      <c r="AB11" s="27" t="s">
        <v>420</v>
      </c>
      <c r="AC11" s="27" t="s">
        <v>864</v>
      </c>
    </row>
    <row r="12" spans="1:34" ht="16.5" customHeight="1" x14ac:dyDescent="0.2">
      <c r="A12" s="810" t="str">
        <f>HLOOKUP('Output (1)'!$H$11,Traduções_Opçõesdeconfiguração,ROW(),FALSE)</f>
        <v>Opções de cálculo da banda de exactidão dos resultados</v>
      </c>
      <c r="B12" s="810" t="str">
        <f>HLOOKUP('Output (1)'!$H$11,Traduções_Opçõesdeconfiguração,ROW(),FALSE)</f>
        <v>Opções de cálculo da banda de exactidão dos resultados</v>
      </c>
      <c r="E12" s="1" t="str">
        <f>HLOOKUP('Output (1)'!$H$11,Traduções_Opçõesdeconfiguração,23,FALSE)</f>
        <v>Observações</v>
      </c>
      <c r="F12" s="1"/>
      <c r="G12" s="1"/>
      <c r="AA12" t="s">
        <v>176</v>
      </c>
      <c r="AB12" t="s">
        <v>1047</v>
      </c>
      <c r="AC12" s="27" t="s">
        <v>865</v>
      </c>
    </row>
    <row r="13" spans="1:34" ht="176.25" customHeight="1" x14ac:dyDescent="0.2">
      <c r="A13" s="807" t="str">
        <f>HLOOKUP('Output (1)'!$H$11,Traduções_Opçõesdeconfiguração,ROW(),FALSE)</f>
        <v xml:space="preserve">A execução de operações aritmétmicas entre números com determinados níveis de incerteza provoca a propagação dessas incertezas para os resultados. No cálculo do balanço hídrico, as incertezas inerentes a cada componente podem ser muito diferenciadas entre si, já que algumas parcelas decorrem de medições muito fiáveis, enquanto outras (por exemplo os consumos ilícitos) são, pela sua natureza, muito pouco fiáveis.
Esta aplicação permite calcular a banda de exactidão (expressa em termos de incerteza) de cada componente do balanço hídrico e dos indicadores de desempenho das perdas em função das bandas de exactidão dos dados de entrada.Tradicionalmente, de acordo com a teoria de erros, falava-se de propagação de erros e adoptava-se um ponto de vista pessimista para a sua avaliação.Por exemplo, no caso de somas e subtracções, o cálculo do erro absoluto do resultado era feito pela soma do módulo dos erros absolutos das parcelas. 
Hoje em dia, de acordo com o GUM (Guide to the expression of Uncertainty in Measurement, International Organization for Standardization, Geneva, 1993), deixou de se adoptar a teoria de erros, substituindo-a pela análise de incerteza. Se se admitir que a incerteza segue uma distribuição normal, a incerteza de somas e subtracções (para usar o mesmo exemplo) pode ser calculada pela raiz quadrada da soma dos quadrados das incertezas-padrão das parcelas. 
Esta aplicação permite, fundamentalmente para afins didácticos, calcular a exactidão dos indicadores com base na abordagem clássica da teoria de erros ou com base na propagação de incerteza, feita de acordo com o GUM. O utilizador deve escolher a opção preferida, embora se recomende a escolha da segunda. </v>
      </c>
      <c r="B13" s="807" t="str">
        <f>HLOOKUP('Output (1)'!$H$11,Traduções_Opçõesdeconfiguração,ROW(),FALSE)</f>
        <v xml:space="preserve">A execução de operações aritmétmicas entre números com determinados níveis de incerteza provoca a propagação dessas incertezas para os resultados. No cálculo do balanço hídrico, as incertezas inerentes a cada componente podem ser muito diferenciadas entre si, já que algumas parcelas decorrem de medições muito fiáveis, enquanto outras (por exemplo os consumos ilícitos) são, pela sua natureza, muito pouco fiáveis.
Esta aplicação permite calcular a banda de exactidão (expressa em termos de incerteza) de cada componente do balanço hídrico e dos indicadores de desempenho das perdas em função das bandas de exactidão dos dados de entrada.Tradicionalmente, de acordo com a teoria de erros, falava-se de propagação de erros e adoptava-se um ponto de vista pessimista para a sua avaliação.Por exemplo, no caso de somas e subtracções, o cálculo do erro absoluto do resultado era feito pela soma do módulo dos erros absolutos das parcelas. 
Hoje em dia, de acordo com o GUM (Guide to the expression of Uncertainty in Measurement, International Organization for Standardization, Geneva, 1993), deixou de se adoptar a teoria de erros, substituindo-a pela análise de incerteza. Se se admitir que a incerteza segue uma distribuição normal, a incerteza de somas e subtracções (para usar o mesmo exemplo) pode ser calculada pela raiz quadrada da soma dos quadrados das incertezas-padrão das parcelas. 
Esta aplicação permite, fundamentalmente para afins didácticos, calcular a exactidão dos indicadores com base na abordagem clássica da teoria de erros ou com base na propagação de incerteza, feita de acordo com o GUM. O utilizador deve escolher a opção preferida, embora se recomende a escolha da segunda. </v>
      </c>
      <c r="C13" s="248"/>
      <c r="D13" s="811"/>
      <c r="E13" s="812"/>
      <c r="F13" s="812"/>
      <c r="G13" s="812"/>
      <c r="H13" s="812"/>
      <c r="I13" s="812"/>
      <c r="J13" s="812"/>
      <c r="K13" s="813"/>
      <c r="AA13" s="627" t="s">
        <v>872</v>
      </c>
      <c r="AB13" s="627" t="s">
        <v>276</v>
      </c>
      <c r="AC13" s="627" t="s">
        <v>866</v>
      </c>
    </row>
    <row r="14" spans="1:34" x14ac:dyDescent="0.2">
      <c r="L14" s="23"/>
    </row>
    <row r="15" spans="1:34" s="642" customFormat="1" x14ac:dyDescent="0.2">
      <c r="A15" s="722"/>
      <c r="B15" s="660" t="str">
        <f>HLOOKUP('Output (1)'!$H$11,Traduções_Opçõesdeconfiguração,ROW(),FALSE)</f>
        <v>Opção escolhida:</v>
      </c>
      <c r="C15" s="660"/>
      <c r="D15" s="643"/>
      <c r="AA15" s="642" t="s">
        <v>450</v>
      </c>
      <c r="AB15" s="642" t="s">
        <v>400</v>
      </c>
      <c r="AC15" s="642" t="s">
        <v>867</v>
      </c>
    </row>
    <row r="16" spans="1:34" x14ac:dyDescent="0.2">
      <c r="A16" s="192">
        <v>2</v>
      </c>
      <c r="B16" s="723" t="str">
        <f>HLOOKUP('Output (1)'!$H$11,Traduções_Opçõesdeconfiguração,30,FALSE)</f>
        <v>Propagação de erros baseada na teoria de erros clássica</v>
      </c>
      <c r="C16" s="25"/>
    </row>
    <row r="17" spans="1:29" x14ac:dyDescent="0.2">
      <c r="A17" s="2"/>
      <c r="B17" s="192"/>
      <c r="Z17" t="s">
        <v>413</v>
      </c>
      <c r="AA17" s="626" t="str">
        <f>CONCATENATE("Melhor ou igual a ± ",$G$6*100,"%")</f>
        <v>Melhor ou igual a ± 5%</v>
      </c>
      <c r="AB17" s="626" t="str">
        <f>CONCATENATE("Better or equal ± ",$G$6*100,"%")</f>
        <v>Better or equal ± 5%</v>
      </c>
      <c r="AC17" s="626"/>
    </row>
    <row r="18" spans="1:29" x14ac:dyDescent="0.2">
      <c r="A18" s="192"/>
      <c r="B18" s="723" t="str">
        <f>HLOOKUP('Output (1)'!$H$11,Traduções_Opçõesdeconfiguração,31,FALSE)</f>
        <v>Propagação de incerteza baseada no ISO - GUM</v>
      </c>
      <c r="Z18" t="s">
        <v>414</v>
      </c>
      <c r="AA18" t="str">
        <f>CONCATENATE("Pior do que ± ",$G$6*100,"%, mas melhor que ou igual a ± ",$G$7*100,"%")</f>
        <v>Pior do que ± 5%, mas melhor que ou igual a ± 20%</v>
      </c>
      <c r="AB18" t="str">
        <f>CONCATENATE("Worse than ± ",$G$6*100,"%, but better or equal ± ",$G$7*100,"%")</f>
        <v>Worse than ± 5%, but better or equal ± 20%</v>
      </c>
    </row>
    <row r="19" spans="1:29" x14ac:dyDescent="0.2">
      <c r="A19" s="2"/>
      <c r="B19" s="2"/>
      <c r="Z19" t="s">
        <v>415</v>
      </c>
      <c r="AA19" t="str">
        <f>CONCATENATE("Pior do que ± ",$G$7*100,"%, mas melhor que ou igual a ± ",$G$8*100,"%")</f>
        <v>Pior do que ± 20%, mas melhor que ou igual a ± 50%</v>
      </c>
      <c r="AB19" t="str">
        <f>CONCATENATE("Whorse than ± ",$G$7*100,"%, but better or equal ± ",$G$8*100,"%")</f>
        <v>Whorse than ± 20%, but better or equal ± 50%</v>
      </c>
    </row>
    <row r="20" spans="1:29" x14ac:dyDescent="0.2">
      <c r="Z20" t="s">
        <v>416</v>
      </c>
      <c r="AA20" t="str">
        <f>CONCATENATE("Pior do que ± ",$G$8*100,"%, mas melhor que ou igual a ± ",$G$9*100,"%")</f>
        <v>Pior do que ± 50%, mas melhor que ou igual a ± 100%</v>
      </c>
      <c r="AB20" t="str">
        <f>CONCATENATE("Whorse than ± ",$G$8*100,"%, but better or equal ± ",$G$9*100,"%")</f>
        <v>Whorse than ± 50%, but better or equal ± 100%</v>
      </c>
    </row>
    <row r="21" spans="1:29" x14ac:dyDescent="0.2">
      <c r="Z21" t="s">
        <v>417</v>
      </c>
      <c r="AA21" t="str">
        <f>CONCATENATE("Pior do que ± ",$G$9*100,"%, mas melhor que ou igual a ± ",$G$10*100,"%")</f>
        <v>Pior do que ± 100%, mas melhor que ou igual a ± 300%</v>
      </c>
      <c r="AB21" t="str">
        <f>CONCATENATE("Whorse than ± ",$G$9*100,"%, but better or equal ± ",$G$10*100,"%")</f>
        <v>Whorse than ± 100%, but better or equal ± 300%</v>
      </c>
    </row>
    <row r="23" spans="1:29" x14ac:dyDescent="0.2">
      <c r="Z23" t="s">
        <v>418</v>
      </c>
      <c r="AA23" t="s">
        <v>35</v>
      </c>
      <c r="AB23" t="s">
        <v>394</v>
      </c>
      <c r="AC23" t="s">
        <v>789</v>
      </c>
    </row>
    <row r="24" spans="1:29" s="639" customFormat="1" x14ac:dyDescent="0.2">
      <c r="C24" s="646"/>
      <c r="D24" s="640"/>
      <c r="Z24" s="632" t="s">
        <v>901</v>
      </c>
      <c r="AA24" s="576" t="s">
        <v>912</v>
      </c>
      <c r="AB24" s="631" t="s">
        <v>913</v>
      </c>
      <c r="AC24" s="631" t="s">
        <v>251</v>
      </c>
    </row>
    <row r="25" spans="1:29" ht="33.75" x14ac:dyDescent="0.2">
      <c r="Z25" s="657" t="s">
        <v>947</v>
      </c>
      <c r="AA25" s="658" t="s">
        <v>948</v>
      </c>
      <c r="AB25" s="658" t="s">
        <v>401</v>
      </c>
      <c r="AC25" s="658" t="s">
        <v>868</v>
      </c>
    </row>
    <row r="26" spans="1:29" s="639" customFormat="1" x14ac:dyDescent="0.2">
      <c r="C26" s="646"/>
      <c r="D26" s="640"/>
      <c r="Z26" s="623" t="s">
        <v>418</v>
      </c>
      <c r="AA26" s="656" t="s">
        <v>895</v>
      </c>
      <c r="AB26" s="656" t="s">
        <v>402</v>
      </c>
      <c r="AC26" s="633" t="s">
        <v>869</v>
      </c>
    </row>
    <row r="27" spans="1:29" ht="22.5" x14ac:dyDescent="0.2">
      <c r="Z27" s="657" t="s">
        <v>411</v>
      </c>
      <c r="AA27" s="658" t="s">
        <v>949</v>
      </c>
      <c r="AB27" s="658" t="s">
        <v>403</v>
      </c>
      <c r="AC27" s="658" t="s">
        <v>870</v>
      </c>
    </row>
    <row r="28" spans="1:29" ht="22.5" x14ac:dyDescent="0.2">
      <c r="Z28" s="710" t="s">
        <v>429</v>
      </c>
      <c r="AA28" s="709" t="s">
        <v>431</v>
      </c>
      <c r="AB28" s="709" t="s">
        <v>430</v>
      </c>
      <c r="AC28" s="709" t="s">
        <v>871</v>
      </c>
    </row>
    <row r="30" spans="1:29" x14ac:dyDescent="0.2">
      <c r="Z30" t="s">
        <v>952</v>
      </c>
      <c r="AA30" t="s">
        <v>953</v>
      </c>
      <c r="AB30" t="s">
        <v>954</v>
      </c>
      <c r="AC30" t="s">
        <v>851</v>
      </c>
    </row>
    <row r="31" spans="1:29" x14ac:dyDescent="0.2">
      <c r="Z31" t="s">
        <v>956</v>
      </c>
      <c r="AA31" t="s">
        <v>955</v>
      </c>
      <c r="AB31" t="s">
        <v>957</v>
      </c>
      <c r="AC31" t="s">
        <v>852</v>
      </c>
    </row>
  </sheetData>
  <sheetProtection sheet="1" objects="1" scenarios="1"/>
  <mergeCells count="7">
    <mergeCell ref="A5:B5"/>
    <mergeCell ref="A13:B13"/>
    <mergeCell ref="A4:H4"/>
    <mergeCell ref="J4:K4"/>
    <mergeCell ref="A12:B12"/>
    <mergeCell ref="D13:K13"/>
    <mergeCell ref="E5:H5"/>
  </mergeCells>
  <phoneticPr fontId="8" type="noConversion"/>
  <pageMargins left="0.75" right="0.75" top="1" bottom="1" header="0.5" footer="0.5"/>
  <pageSetup orientation="portrait" horizontalDpi="300" verticalDpi="300"/>
  <headerFooter alignWithMargins="0"/>
  <ignoredErrors>
    <ignoredError sqref="B6:B8 B16 B18" unlockedFormula="1"/>
  </ignoredErrors>
  <drawing r:id="rId1"/>
  <legacyDrawing r:id="rId2"/>
  <mc:AlternateContent xmlns:mc="http://schemas.openxmlformats.org/markup-compatibility/2006">
    <mc:Choice Requires="x14">
      <controls>
        <mc:AlternateContent xmlns:mc="http://schemas.openxmlformats.org/markup-compatibility/2006">
          <mc:Choice Requires="x14">
            <control shapeId="4097" r:id="rId3" name="Option Button 1">
              <controlPr locked="0" defaultSize="0" autoFill="0" autoLine="0" autoPict="0">
                <anchor moveWithCells="1">
                  <from>
                    <xdr:col>0</xdr:col>
                    <xdr:colOff>561975</xdr:colOff>
                    <xdr:row>15</xdr:row>
                    <xdr:rowOff>0</xdr:rowOff>
                  </from>
                  <to>
                    <xdr:col>1</xdr:col>
                    <xdr:colOff>9525</xdr:colOff>
                    <xdr:row>16</xdr:row>
                    <xdr:rowOff>66675</xdr:rowOff>
                  </to>
                </anchor>
              </controlPr>
            </control>
          </mc:Choice>
        </mc:AlternateContent>
        <mc:AlternateContent xmlns:mc="http://schemas.openxmlformats.org/markup-compatibility/2006">
          <mc:Choice Requires="x14">
            <control shapeId="4098" r:id="rId4" name="Option Button 2">
              <controlPr defaultSize="0" autoFill="0" autoLine="0" autoPict="0">
                <anchor moveWithCells="1">
                  <from>
                    <xdr:col>0</xdr:col>
                    <xdr:colOff>561975</xdr:colOff>
                    <xdr:row>16</xdr:row>
                    <xdr:rowOff>104775</xdr:rowOff>
                  </from>
                  <to>
                    <xdr:col>0</xdr:col>
                    <xdr:colOff>866775</xdr:colOff>
                    <xdr:row>18</xdr:row>
                    <xdr:rowOff>66675</xdr:rowOff>
                  </to>
                </anchor>
              </controlPr>
            </control>
          </mc:Choice>
        </mc:AlternateContent>
        <mc:AlternateContent xmlns:mc="http://schemas.openxmlformats.org/markup-compatibility/2006">
          <mc:Choice Requires="x14">
            <control shapeId="4122" r:id="rId5" name="Option Button 26">
              <controlPr locked="0" defaultSize="0" autoFill="0" autoLine="0" autoPict="0">
                <anchor moveWithCells="1">
                  <from>
                    <xdr:col>12</xdr:col>
                    <xdr:colOff>0</xdr:colOff>
                    <xdr:row>15</xdr:row>
                    <xdr:rowOff>47625</xdr:rowOff>
                  </from>
                  <to>
                    <xdr:col>45</xdr:col>
                    <xdr:colOff>66675</xdr:colOff>
                    <xdr:row>16</xdr:row>
                    <xdr:rowOff>104775</xdr:rowOff>
                  </to>
                </anchor>
              </controlPr>
            </control>
          </mc:Choice>
        </mc:AlternateContent>
        <mc:AlternateContent xmlns:mc="http://schemas.openxmlformats.org/markup-compatibility/2006">
          <mc:Choice Requires="x14">
            <control shapeId="4123" r:id="rId6" name="Option Button 27">
              <controlPr defaultSize="0" autoFill="0" autoLine="0" autoPict="0">
                <anchor moveWithCells="1">
                  <from>
                    <xdr:col>12</xdr:col>
                    <xdr:colOff>0</xdr:colOff>
                    <xdr:row>16</xdr:row>
                    <xdr:rowOff>85725</xdr:rowOff>
                  </from>
                  <to>
                    <xdr:col>45</xdr:col>
                    <xdr:colOff>66675</xdr:colOff>
                    <xdr:row>17</xdr:row>
                    <xdr:rowOff>142875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3"/>
  </sheetPr>
  <dimension ref="A1:AJ67"/>
  <sheetViews>
    <sheetView showRowColHeaders="0" tabSelected="1" topLeftCell="A7" zoomScale="125" zoomScaleNormal="125" zoomScalePageLayoutView="125" workbookViewId="0">
      <selection activeCell="E16" sqref="E16"/>
    </sheetView>
  </sheetViews>
  <sheetFormatPr defaultColWidth="8.85546875" defaultRowHeight="12.75" x14ac:dyDescent="0.2"/>
  <cols>
    <col min="1" max="1" width="16" customWidth="1"/>
    <col min="2" max="2" width="72.42578125" customWidth="1"/>
    <col min="5" max="5" width="9.28515625" bestFit="1" customWidth="1"/>
    <col min="6" max="6" width="34" customWidth="1"/>
    <col min="26" max="26" width="9.140625" style="265" hidden="1" customWidth="1"/>
    <col min="27" max="27" width="85.7109375" style="265" hidden="1" customWidth="1"/>
    <col min="28" max="28" width="79.28515625" style="265" hidden="1" customWidth="1"/>
    <col min="29" max="29" width="75.42578125" style="265" hidden="1" customWidth="1"/>
    <col min="30" max="36" width="9.140625" style="265" hidden="1" customWidth="1"/>
  </cols>
  <sheetData>
    <row r="1" spans="1:29" ht="23.25" customHeight="1" x14ac:dyDescent="0.25">
      <c r="A1" s="750" t="str">
        <f>HLOOKUP('Output (1)'!$H$11,Traduções_Instruções,2,FALSE)</f>
        <v xml:space="preserve">          Instruções de uso:</v>
      </c>
      <c r="B1" s="750"/>
      <c r="C1" s="17"/>
      <c r="D1" s="17"/>
      <c r="E1" s="17"/>
      <c r="F1" s="17"/>
      <c r="Z1" s="265" t="str">
        <f>'Output (1)'!H11</f>
        <v>Português</v>
      </c>
      <c r="AA1" s="661" t="str">
        <f>'Output (1)'!AA1</f>
        <v>Português</v>
      </c>
      <c r="AB1" s="661" t="str">
        <f>'Output (1)'!AB1</f>
        <v>English</v>
      </c>
      <c r="AC1" s="661" t="str">
        <f>'Output (1)'!AC1</f>
        <v>Español</v>
      </c>
    </row>
    <row r="2" spans="1:29" ht="23.25" customHeight="1" x14ac:dyDescent="0.25">
      <c r="A2" s="59"/>
      <c r="B2" s="499"/>
      <c r="C2" s="17"/>
      <c r="D2" s="17"/>
      <c r="E2" s="17"/>
      <c r="F2" s="17"/>
      <c r="AA2" s="265" t="s">
        <v>892</v>
      </c>
      <c r="AB2" s="265" t="s">
        <v>803</v>
      </c>
      <c r="AC2" s="265" t="s">
        <v>160</v>
      </c>
    </row>
    <row r="3" spans="1:29" ht="90.75" customHeight="1" x14ac:dyDescent="0.2">
      <c r="A3" s="752" t="str">
        <f>HLOOKUP('Output (1)'!$H$11,Traduções_Instruções,ROW(),FALSE)</f>
        <v xml:space="preserve">         Esta aplicação constitui parte integrante do manual "Controlo de perdas de água em sistemas públicos de adução e distribuição", (IRAR, LNEC e INAG, 2005), foi desenvolvida pelo LNEC (Alegre, 2004) e destina-se ao cálculo do balanço hídrico e dos indicadores de perdas recomendados pela Associação Internacional da Água (IWA).  A sua utilização deve ser feita com base na consulta do referido manual, em particular do Capítulo 5. 
         Encontra-se disponível gratuitamente no sítio do Instituto Regulador de Águas e Resíduos (www.irar.pt) e no sítio do Laboratório Nacional de Engenharia Civil, Núcleo de Engenharia Sanitária (www.dha.lnec.pt/nes/portugues/actividade.html). 
         Recomenda-se a consulta periódica destes sítios para verificação de disponibilidade de novas versões.  </v>
      </c>
      <c r="B3" s="752"/>
      <c r="C3" s="30"/>
      <c r="D3" s="17"/>
      <c r="E3" s="17"/>
      <c r="F3" s="17"/>
      <c r="AA3" s="666" t="s">
        <v>181</v>
      </c>
      <c r="AB3" s="666" t="s">
        <v>808</v>
      </c>
      <c r="AC3" s="666" t="s">
        <v>161</v>
      </c>
    </row>
    <row r="4" spans="1:29" ht="21.75" customHeight="1" x14ac:dyDescent="0.2">
      <c r="A4" s="749" t="str">
        <f>HLOOKUP('Output (1)'!$H$11,Traduções_Instruções,ROW(),FALSE)</f>
        <v xml:space="preserve">         É indispensável ter a opção de macros activa (Tools&gt;macro&gt;security, seleccionar "medium" na janela "security level", fechar o MS Excel, tornar a abrir e escolher "Enable macros" na janela que aparece automaticamente). </v>
      </c>
      <c r="B4" s="749"/>
      <c r="AA4" s="666" t="s">
        <v>370</v>
      </c>
      <c r="AB4" s="666" t="s">
        <v>371</v>
      </c>
      <c r="AC4" s="666" t="s">
        <v>162</v>
      </c>
    </row>
    <row r="5" spans="1:29" ht="53.25" customHeight="1" x14ac:dyDescent="0.2">
      <c r="A5" s="752" t="str">
        <f>HLOOKUP('Output (1)'!$H$11,Traduções_Instruções,ROW(),FALSE)</f>
        <v xml:space="preserve">         Para usar esta aplicação deverá preencher os dados solicitados nas folhas numeradas de (1) a (6). As células a preencher pelo utilizador são as de cor branca. As células com conteúdo numérico coloridas são obtidas por cálculo feito pela própria aplicação. Os resultados são apresentados nas folhas "Output(2)", "Output(3)" e "Output(4)". Se pretender alterar opções de configuração, utilize a folha "Configuration options". </v>
      </c>
      <c r="B5" s="752"/>
      <c r="C5" s="30"/>
      <c r="D5" s="17"/>
      <c r="E5" s="17"/>
      <c r="F5" s="17"/>
      <c r="AA5" s="666" t="s">
        <v>814</v>
      </c>
      <c r="AB5" s="666" t="s">
        <v>813</v>
      </c>
      <c r="AC5" s="666" t="s">
        <v>618</v>
      </c>
    </row>
    <row r="6" spans="1:29" ht="10.5" customHeight="1" x14ac:dyDescent="0.2">
      <c r="A6" s="753" t="str">
        <f>HLOOKUP('Output (1)'!$H$11,Traduções_Instruções,ROW(),FALSE)</f>
        <v>Output(1)                     -   Folha de rosto</v>
      </c>
      <c r="B6" s="753"/>
      <c r="C6" s="30"/>
      <c r="D6" s="17"/>
      <c r="E6" s="17"/>
      <c r="F6" s="17"/>
      <c r="AA6" s="701" t="s">
        <v>844</v>
      </c>
      <c r="AB6" s="701" t="s">
        <v>809</v>
      </c>
      <c r="AC6" s="701" t="s">
        <v>619</v>
      </c>
    </row>
    <row r="7" spans="1:29" ht="10.5" customHeight="1" x14ac:dyDescent="0.2">
      <c r="A7" s="753" t="str">
        <f>HLOOKUP('Output (1)'!$H$11,Traduções_Instruções,ROW(),FALSE)</f>
        <v>Instruc.                        -   Instruções</v>
      </c>
      <c r="B7" s="753"/>
      <c r="C7" s="30"/>
      <c r="D7" s="17"/>
      <c r="E7" s="17"/>
      <c r="F7" s="17"/>
      <c r="AA7" s="702" t="s">
        <v>845</v>
      </c>
      <c r="AB7" s="702" t="s">
        <v>182</v>
      </c>
      <c r="AC7" s="702" t="s">
        <v>620</v>
      </c>
    </row>
    <row r="8" spans="1:29" ht="10.5" customHeight="1" x14ac:dyDescent="0.2">
      <c r="A8" s="753" t="str">
        <f>HLOOKUP('Output (1)'!$H$11,Traduções_Instruções,ROW(),FALSE)</f>
        <v>Output(2)                     -   Resultados síntese</v>
      </c>
      <c r="B8" s="753"/>
      <c r="C8" s="30"/>
      <c r="D8" s="17"/>
      <c r="E8" s="17"/>
      <c r="F8" s="17"/>
      <c r="AA8" s="702" t="s">
        <v>841</v>
      </c>
      <c r="AB8" s="702" t="s">
        <v>811</v>
      </c>
      <c r="AC8" s="702" t="s">
        <v>621</v>
      </c>
    </row>
    <row r="9" spans="1:29" ht="10.5" customHeight="1" x14ac:dyDescent="0.2">
      <c r="A9" s="753" t="str">
        <f>HLOOKUP('Output (1)'!$H$11,Traduções_Instruções,ROW(),FALSE)</f>
        <v>Output(3)                     -   Resultados indicadores</v>
      </c>
      <c r="B9" s="753"/>
      <c r="C9" s="30"/>
      <c r="D9" s="17"/>
      <c r="E9" s="17"/>
      <c r="F9" s="17"/>
      <c r="AA9" s="702" t="s">
        <v>842</v>
      </c>
      <c r="AB9" s="702" t="s">
        <v>810</v>
      </c>
      <c r="AC9" s="702" t="s">
        <v>622</v>
      </c>
    </row>
    <row r="10" spans="1:29" ht="10.5" customHeight="1" x14ac:dyDescent="0.2">
      <c r="A10" s="753" t="str">
        <f>HLOOKUP('Output (1)'!$H$11,Traduções_Instruções,ROW(),FALSE)</f>
        <v>Output(4)                     -   Resultados balanço hidríco</v>
      </c>
      <c r="B10" s="753"/>
      <c r="C10" s="30"/>
      <c r="D10" s="17"/>
      <c r="E10" s="17"/>
      <c r="F10" s="17"/>
      <c r="AA10" s="702" t="s">
        <v>843</v>
      </c>
      <c r="AB10" s="702" t="s">
        <v>812</v>
      </c>
      <c r="AC10" s="702" t="s">
        <v>623</v>
      </c>
    </row>
    <row r="11" spans="1:29" ht="10.5" customHeight="1" x14ac:dyDescent="0.2">
      <c r="A11" s="753" t="str">
        <f>HLOOKUP('Output (1)'!$H$11,Traduções_Instruções,ROW(),FALSE)</f>
        <v>Input(1)                       -   (1) Dados do sistema</v>
      </c>
      <c r="B11" s="753"/>
      <c r="C11" s="30"/>
      <c r="D11" s="17"/>
      <c r="E11" s="17"/>
      <c r="F11" s="17"/>
      <c r="AA11" s="702" t="s">
        <v>716</v>
      </c>
      <c r="AB11" s="702" t="s">
        <v>723</v>
      </c>
      <c r="AC11" s="702" t="s">
        <v>624</v>
      </c>
    </row>
    <row r="12" spans="1:29" ht="10.5" customHeight="1" x14ac:dyDescent="0.2">
      <c r="A12" s="753" t="str">
        <f>HLOOKUP('Output (1)'!$H$11,Traduções_Instruções,ROW(),FALSE)</f>
        <v>Input(2)                       -   (2) Água entrada no sistema</v>
      </c>
      <c r="B12" s="753"/>
      <c r="C12" s="30"/>
      <c r="D12" s="17"/>
      <c r="E12" s="17"/>
      <c r="F12" s="17"/>
      <c r="AA12" s="702" t="s">
        <v>717</v>
      </c>
      <c r="AB12" s="702" t="s">
        <v>724</v>
      </c>
      <c r="AC12" s="702" t="s">
        <v>625</v>
      </c>
    </row>
    <row r="13" spans="1:29" ht="10.5" customHeight="1" x14ac:dyDescent="0.2">
      <c r="A13" s="753" t="str">
        <f>HLOOKUP('Output (1)'!$H$11,Traduções_Instruções,ROW(),FALSE)</f>
        <v>Input(3)                       -   (3) Consumo facturado</v>
      </c>
      <c r="B13" s="753"/>
      <c r="C13" s="30"/>
      <c r="D13" s="17"/>
      <c r="E13" s="17"/>
      <c r="F13" s="17"/>
      <c r="AA13" s="702" t="s">
        <v>718</v>
      </c>
      <c r="AB13" s="702" t="s">
        <v>718</v>
      </c>
      <c r="AC13" s="702" t="s">
        <v>718</v>
      </c>
    </row>
    <row r="14" spans="1:29" ht="10.5" customHeight="1" x14ac:dyDescent="0.2">
      <c r="A14" s="753" t="str">
        <f>HLOOKUP('Output (1)'!$H$11,Traduções_Instruções,ROW(),FALSE)</f>
        <v>Input(4)                       -   (4) Consumo autorizado não facturado</v>
      </c>
      <c r="B14" s="753"/>
      <c r="C14" s="30"/>
      <c r="D14" s="17"/>
      <c r="E14" s="17"/>
      <c r="F14" s="17"/>
      <c r="AA14" s="702" t="s">
        <v>719</v>
      </c>
      <c r="AB14" s="702" t="s">
        <v>719</v>
      </c>
      <c r="AC14" s="702" t="s">
        <v>626</v>
      </c>
    </row>
    <row r="15" spans="1:29" ht="10.5" customHeight="1" x14ac:dyDescent="0.2">
      <c r="A15" s="753" t="str">
        <f>HLOOKUP('Output (1)'!$H$11,Traduções_Instruções,ROW(),FALSE)</f>
        <v>Input(5)                       -   (5) Perdas aparentes</v>
      </c>
      <c r="B15" s="753"/>
      <c r="C15" s="30"/>
      <c r="D15" s="17"/>
      <c r="E15" s="17"/>
      <c r="F15" s="17"/>
      <c r="AA15" s="702" t="s">
        <v>720</v>
      </c>
      <c r="AB15" s="702" t="s">
        <v>720</v>
      </c>
      <c r="AC15" s="702" t="s">
        <v>627</v>
      </c>
    </row>
    <row r="16" spans="1:29" ht="10.5" customHeight="1" x14ac:dyDescent="0.2">
      <c r="A16" s="753" t="str">
        <f>HLOOKUP('Output (1)'!$H$11,Traduções_Instruções,ROW(),FALSE)</f>
        <v>Input(6)                       -   (6) Perdas reais</v>
      </c>
      <c r="B16" s="753"/>
      <c r="C16" s="30"/>
      <c r="D16" s="17"/>
      <c r="E16" s="17"/>
      <c r="F16" s="17"/>
      <c r="AA16" s="702" t="s">
        <v>721</v>
      </c>
      <c r="AB16" s="702" t="s">
        <v>721</v>
      </c>
      <c r="AC16" s="702" t="s">
        <v>628</v>
      </c>
    </row>
    <row r="17" spans="1:29" ht="10.5" customHeight="1" x14ac:dyDescent="0.2">
      <c r="A17" s="753" t="str">
        <f>HLOOKUP('Output (1)'!$H$11,Traduções_Instruções,ROW(),FALSE)</f>
        <v>Configuration options   -   Opções de configuração</v>
      </c>
      <c r="B17" s="753"/>
      <c r="C17" s="30"/>
      <c r="D17" s="17"/>
      <c r="E17" s="17"/>
      <c r="F17" s="17"/>
      <c r="AA17" s="702" t="s">
        <v>722</v>
      </c>
      <c r="AB17" s="702" t="s">
        <v>725</v>
      </c>
      <c r="AC17" s="702" t="s">
        <v>629</v>
      </c>
    </row>
    <row r="18" spans="1:29" ht="111.75" customHeight="1" x14ac:dyDescent="0.2">
      <c r="A18" s="754" t="str">
        <f>HLOOKUP('Output (1)'!$H$11,Traduções_Instruções,ROW(),FALSE)</f>
        <v xml:space="preserve">Para a utilização desta aplicação é necessário atender aos conceitos de fiabilidade e de exactidão.
Fiabilidade (dos dados): é uma medida da credibilidade dos dados em função da forma como são obtidos e registados ver classes de fiabilidade na folha "Opções de configuração".
Exactidão (da medição) é a aproximação entre o resultado da medição e o valor (convencionalmente) verdadeiro da grandeza medida. Nesta aplicação devem ser especificados separadamente a incerteza decorrente de erros aleatórios (que podem ser positivos ou negativos com igual probabilidade de ocorrência) dos erros sistemáticos (tais como submedição ou sobremedição sistemática de alguns medidores de caudal. Na coluna "Exactidão" que aparece nas diversas folhas de introdução de dados devem ser incluídos exclusivamente os erros não sistemáticos. Os erros sistemáticos são contabilizados como perdas aparentes e devem ser especificados da folha correspondente ("Perdas aparentes").   </v>
      </c>
      <c r="B18" s="754"/>
      <c r="C18" s="30"/>
      <c r="D18" s="17"/>
      <c r="E18" s="17"/>
      <c r="F18" s="17"/>
      <c r="AA18" s="666" t="s">
        <v>175</v>
      </c>
      <c r="AB18" s="666" t="s">
        <v>163</v>
      </c>
      <c r="AC18" s="666" t="s">
        <v>630</v>
      </c>
    </row>
    <row r="19" spans="1:29" ht="5.25" customHeight="1" x14ac:dyDescent="0.2"/>
    <row r="20" spans="1:29" ht="46.5" customHeight="1" x14ac:dyDescent="0.2">
      <c r="A20" s="755" t="str">
        <f>HLOOKUP('Output (1)'!$H$11,Traduções_Instruções,ROW(),FALSE)</f>
        <v>IMPORTANTE:
Trata-se de uma aplicação para fins didácticos, ainda em fase de teste. O LNEC e IRAR não se responsabilizam pelas consequências de eventuais erros de cálculo que possam existir. Agradece-se que quaisquer deficiências detectadas sejam reportadas a halegre@lnec.pt.</v>
      </c>
      <c r="B20" s="755"/>
      <c r="AA20" s="666" t="s">
        <v>801</v>
      </c>
      <c r="AB20" s="666" t="s">
        <v>815</v>
      </c>
      <c r="AC20" s="666" t="s">
        <v>631</v>
      </c>
    </row>
    <row r="21" spans="1:29" ht="6" customHeight="1" x14ac:dyDescent="0.2">
      <c r="C21" s="17"/>
      <c r="D21" s="17"/>
      <c r="E21" s="17"/>
      <c r="F21" s="17"/>
      <c r="G21" s="17"/>
      <c r="H21" s="17"/>
      <c r="I21" s="17"/>
      <c r="J21" s="17"/>
      <c r="K21" s="17"/>
    </row>
    <row r="22" spans="1:29" ht="20.25" customHeight="1" x14ac:dyDescent="0.25">
      <c r="A22" s="59" t="str">
        <f>HLOOKUP('Output (1)'!$H$11,Traduções_Instruções,ROW(),FALSE)</f>
        <v>Balanço hídrico</v>
      </c>
      <c r="B22" s="60"/>
      <c r="C22" s="17"/>
      <c r="D22" s="17"/>
      <c r="E22" s="17"/>
      <c r="F22" s="17"/>
      <c r="G22" s="17"/>
      <c r="H22" s="17"/>
      <c r="I22" s="17"/>
      <c r="J22" s="17"/>
      <c r="K22" s="17"/>
      <c r="AA22" s="265" t="s">
        <v>527</v>
      </c>
      <c r="AB22" s="265" t="s">
        <v>816</v>
      </c>
      <c r="AC22" s="265" t="s">
        <v>632</v>
      </c>
    </row>
    <row r="23" spans="1:29" ht="26.25" customHeight="1" x14ac:dyDescent="0.2">
      <c r="A23" s="754" t="str">
        <f>HLOOKUP('Output (1)'!$H$11,Traduções_Instruções,ROW(),FALSE)</f>
        <v>O principal objectivo do balanço hídrico é o cálculo da água não facturada e das perdas de água (totais, aparentes e reais). Os passos para calcular a água não facturada e as perdas de água são os seguintes:</v>
      </c>
      <c r="B23" s="754" t="str">
        <f>HLOOKUP('Output (1)'!$H$11,Traduções_Instruções,ROW(),FALSE)</f>
        <v>O principal objectivo do balanço hídrico é o cálculo da água não facturada e das perdas de água (totais, aparentes e reais). Os passos para calcular a água não facturada e as perdas de água são os seguintes:</v>
      </c>
      <c r="C23" s="17"/>
      <c r="D23" s="17"/>
      <c r="E23" s="17"/>
      <c r="F23" s="17"/>
      <c r="G23" s="17"/>
      <c r="H23" s="17"/>
      <c r="I23" s="630"/>
      <c r="J23" s="17"/>
      <c r="K23" s="17"/>
      <c r="AA23" s="666" t="s">
        <v>878</v>
      </c>
      <c r="AB23" s="666" t="s">
        <v>256</v>
      </c>
      <c r="AC23" s="666" t="s">
        <v>633</v>
      </c>
    </row>
    <row r="24" spans="1:29" ht="8.25" customHeight="1" x14ac:dyDescent="0.2">
      <c r="A24" s="4"/>
      <c r="B24" s="2"/>
      <c r="C24" s="54"/>
      <c r="D24" s="17"/>
      <c r="E24" s="17"/>
      <c r="F24" s="17"/>
      <c r="G24" s="17"/>
      <c r="H24" s="17"/>
      <c r="I24" s="17"/>
      <c r="J24" s="17"/>
      <c r="K24" s="17"/>
    </row>
    <row r="25" spans="1:29" ht="22.5" x14ac:dyDescent="0.2">
      <c r="A25" s="56" t="str">
        <f>HLOOKUP('Output (1)'!$H$11,Traduções_Instruções,58,FALSE)</f>
        <v>Passo 0:</v>
      </c>
      <c r="B25" s="55" t="str">
        <f>HLOOKUP('Output (1)'!$H$11,Traduções_Instruções,ROW(),FALSE)</f>
        <v>Definição dos limites exactos do sistema (ou sector de rede) a auditar; definição das datas de referência (um ano).</v>
      </c>
      <c r="C25" s="751"/>
      <c r="D25" s="751"/>
      <c r="E25" s="751"/>
      <c r="F25" s="751"/>
      <c r="G25" s="751"/>
      <c r="H25" s="751"/>
      <c r="I25" s="751"/>
      <c r="J25" s="751"/>
      <c r="K25" s="751"/>
      <c r="AA25" s="666" t="s">
        <v>29</v>
      </c>
      <c r="AB25" s="666" t="s">
        <v>1053</v>
      </c>
      <c r="AC25" s="666" t="s">
        <v>634</v>
      </c>
    </row>
    <row r="26" spans="1:29" x14ac:dyDescent="0.2">
      <c r="A26" s="56" t="str">
        <f>HLOOKUP('Output (1)'!$H$11,Traduções_Instruções,59,FALSE)</f>
        <v>Passo 1:</v>
      </c>
      <c r="B26" s="58" t="str">
        <f>HLOOKUP('Output (1)'!$H$11,Traduções_Instruções,ROW(),FALSE)</f>
        <v xml:space="preserve">Determinação do volume de água entrada no sistema na folha Input (2). </v>
      </c>
      <c r="AA26" s="666" t="s">
        <v>877</v>
      </c>
      <c r="AB26" s="666" t="s">
        <v>1052</v>
      </c>
      <c r="AC26" s="666" t="s">
        <v>635</v>
      </c>
    </row>
    <row r="27" spans="1:29" ht="25.5" customHeight="1" x14ac:dyDescent="0.2">
      <c r="A27" s="56" t="str">
        <f>HLOOKUP('Output (1)'!$H$11,Traduções_Instruções,60,FALSE)</f>
        <v>Passo 2:</v>
      </c>
      <c r="B27" s="55" t="str">
        <f>HLOOKUP('Output (1)'!$H$11,Traduções_Instruções,ROW(),FALSE)</f>
        <v xml:space="preserve">Determinação do consumo facturado medido e do consumo facturado não medido na folha Input (3); com estes valores parciais a aplicação calcula a soma como consumo autorizado facturado e como água facturada. </v>
      </c>
      <c r="AA27" s="666" t="s">
        <v>873</v>
      </c>
      <c r="AB27" s="666" t="s">
        <v>1054</v>
      </c>
      <c r="AC27" s="666" t="s">
        <v>636</v>
      </c>
    </row>
    <row r="28" spans="1:29" ht="22.5" x14ac:dyDescent="0.2">
      <c r="A28" s="56" t="str">
        <f>HLOOKUP('Output (1)'!$H$11,Traduções_Instruções,61,FALSE)</f>
        <v>Passo 3:</v>
      </c>
      <c r="B28" s="58" t="str">
        <f>HLOOKUP('Output (1)'!$H$11,Traduções_Instruções,ROW(),FALSE)</f>
        <v>Cálculo (pela aplicação) do volume de água não facturada por subtracção entre a água entrada no sistema e a água facturada.</v>
      </c>
      <c r="AA28" s="666" t="s">
        <v>802</v>
      </c>
      <c r="AB28" s="666" t="s">
        <v>1055</v>
      </c>
      <c r="AC28" s="666" t="s">
        <v>637</v>
      </c>
    </row>
    <row r="29" spans="1:29" ht="22.5" x14ac:dyDescent="0.2">
      <c r="A29" s="56" t="str">
        <f>HLOOKUP('Output (1)'!$H$11,Traduções_Instruções,62,FALSE)</f>
        <v>Passo 4:</v>
      </c>
      <c r="B29" s="55" t="str">
        <f>HLOOKUP('Output (1)'!$H$11,Traduções_Instruções,ROW(),FALSE)</f>
        <v>Definição do consumo não facturado medido e o consumo não facturado não medido na folha Input (4); a aplicação calcula a soma como consumo autorizado não facturado.</v>
      </c>
      <c r="AA29" s="666" t="s">
        <v>874</v>
      </c>
      <c r="AB29" s="666" t="s">
        <v>1058</v>
      </c>
      <c r="AC29" s="666" t="s">
        <v>638</v>
      </c>
    </row>
    <row r="30" spans="1:29" ht="22.5" x14ac:dyDescent="0.2">
      <c r="A30" s="56" t="str">
        <f>HLOOKUP('Output (1)'!$H$11,Traduções_Instruções,63,FALSE)</f>
        <v>Passo 5:</v>
      </c>
      <c r="B30" s="58" t="str">
        <f>HLOOKUP('Output (1)'!$H$11,Traduções_Instruções,ROW(),FALSE)</f>
        <v>Soma (pela aplicação) dos volumes correspondentes ao consumo autorizado facturado e ao consumo autorizado não facturado; o resultado corresponde ao consumo autorizado.</v>
      </c>
      <c r="AA30" s="666" t="s">
        <v>838</v>
      </c>
      <c r="AB30" s="666" t="s">
        <v>1059</v>
      </c>
      <c r="AC30" s="666" t="s">
        <v>639</v>
      </c>
    </row>
    <row r="31" spans="1:29" ht="22.5" x14ac:dyDescent="0.2">
      <c r="A31" s="56" t="str">
        <f>HLOOKUP('Output (1)'!$H$11,Traduções_Instruções,64,FALSE)</f>
        <v>Passo 6:</v>
      </c>
      <c r="B31" s="55" t="str">
        <f>HLOOKUP('Output (1)'!$H$11,Traduções_Instruções,ROW(),FALSE)</f>
        <v>Cálculo (pela aplicação) das perdas de água como a diferença entre a água entrada no sistema e o consumo autorizado.</v>
      </c>
      <c r="AA31" s="666" t="s">
        <v>839</v>
      </c>
      <c r="AB31" s="666" t="s">
        <v>1060</v>
      </c>
      <c r="AC31" s="666" t="s">
        <v>640</v>
      </c>
    </row>
    <row r="32" spans="1:29" ht="33.75" x14ac:dyDescent="0.2">
      <c r="A32" s="56" t="str">
        <f>HLOOKUP('Output (1)'!$H$11,Traduções_Instruções,65,FALSE)</f>
        <v>Passo 7:</v>
      </c>
      <c r="B32" s="58" t="str">
        <f>HLOOKUP('Output (1)'!$H$11,Traduções_Instruções,ROW(),FALSE)</f>
        <v>Avaliação, usando os melhores métodos disponíveis, das parcelas do uso não autorizado e dos erros de medição na folha Input (5); soma e registo (pela aplicação) em perdas aparentes.</v>
      </c>
      <c r="AA32" s="666" t="s">
        <v>875</v>
      </c>
      <c r="AB32" s="666" t="s">
        <v>1061</v>
      </c>
      <c r="AC32" s="666" t="s">
        <v>641</v>
      </c>
    </row>
    <row r="33" spans="1:36" ht="15.75" customHeight="1" x14ac:dyDescent="0.2">
      <c r="A33" s="56" t="str">
        <f>HLOOKUP('Output (1)'!$H$11,Traduções_Instruções,66,FALSE)</f>
        <v>Passo 8:</v>
      </c>
      <c r="B33" s="55" t="str">
        <f>HLOOKUP('Output (1)'!$H$11,Traduções_Instruções,ROW(),FALSE)</f>
        <v>Cálculo (pela aplicação) das perdas reais subtraindo as perdas aparentes das perdas de água.</v>
      </c>
      <c r="AA33" s="666" t="s">
        <v>840</v>
      </c>
      <c r="AB33" s="666" t="s">
        <v>1062</v>
      </c>
      <c r="AC33" s="666" t="s">
        <v>642</v>
      </c>
    </row>
    <row r="34" spans="1:36" ht="56.25" x14ac:dyDescent="0.2">
      <c r="A34" s="57" t="str">
        <f>HLOOKUP('Output (1)'!$H$11,Traduções_Instruções,67,FALSE)</f>
        <v>Passo 9:</v>
      </c>
      <c r="B34" s="58" t="str">
        <f>HLOOKUP('Output (1)'!$H$11,Traduções_Instruções,ROW(),FALSE)</f>
        <v xml:space="preserve">Avaliação, na folha Input (6), das parcelas das perdas reais usando os melhores métodos disponíveis (análise de caudais nocturnos, dados de medição zonada, cálculos de frequência/caudal/duração das roturas, modelação de perdas baseada em dados locais sobre o nível-base de perdas, etc.); soma (pela aplicação) e comparação com o resultado das perdas reais calculado no Passo 8. </v>
      </c>
      <c r="AA34" s="666" t="s">
        <v>876</v>
      </c>
      <c r="AB34" s="666" t="s">
        <v>1063</v>
      </c>
      <c r="AC34" s="666" t="s">
        <v>183</v>
      </c>
    </row>
    <row r="35" spans="1:36" ht="9" customHeight="1" x14ac:dyDescent="0.2"/>
    <row r="36" spans="1:36" ht="15.75" x14ac:dyDescent="0.25">
      <c r="A36" s="59" t="str">
        <f>HLOOKUP('Output (1)'!$H$11,Traduções_Instruções,ROW(),FALSE)</f>
        <v>Indicadores de perdas de água</v>
      </c>
      <c r="B36" s="2"/>
      <c r="AA36" s="265" t="s">
        <v>526</v>
      </c>
      <c r="AB36" s="265" t="s">
        <v>1064</v>
      </c>
      <c r="AC36" s="265" t="s">
        <v>184</v>
      </c>
    </row>
    <row r="37" spans="1:36" s="17" customFormat="1" ht="23.25" customHeight="1" x14ac:dyDescent="0.2">
      <c r="A37" s="754" t="str">
        <f>HLOOKUP('Output (1)'!$H$11,Traduções_Instruções,ROW(),FALSE)</f>
        <v xml:space="preserve">Calculado o balanço hídrico, é possível calcular os principais indicadores de perdas. A International Water Association recomenda os seguintes: </v>
      </c>
      <c r="B37" s="754" t="str">
        <f>HLOOKUP('Output (1)'!$H$11,Traduções_Instruções,ROW(),FALSE)</f>
        <v xml:space="preserve">Calculado o balanço hídrico, é possível calcular os principais indicadores de perdas. A International Water Association recomenda os seguintes: </v>
      </c>
      <c r="Z37" s="298"/>
      <c r="AA37" s="667" t="s">
        <v>525</v>
      </c>
      <c r="AB37" s="667" t="s">
        <v>525</v>
      </c>
      <c r="AC37" s="667" t="s">
        <v>185</v>
      </c>
      <c r="AD37" s="298"/>
      <c r="AE37" s="298"/>
      <c r="AF37" s="298"/>
      <c r="AG37" s="298"/>
      <c r="AH37" s="298"/>
      <c r="AI37" s="298"/>
      <c r="AJ37" s="298"/>
    </row>
    <row r="38" spans="1:36" s="17" customFormat="1" ht="5.25" customHeight="1" x14ac:dyDescent="0.2">
      <c r="A38" s="2"/>
      <c r="B38" s="2"/>
      <c r="Z38" s="298"/>
      <c r="AA38" s="298"/>
      <c r="AB38" s="298"/>
      <c r="AC38" s="298"/>
      <c r="AD38" s="298"/>
      <c r="AE38" s="298"/>
      <c r="AF38" s="298"/>
      <c r="AG38" s="298"/>
      <c r="AH38" s="298"/>
      <c r="AI38" s="298"/>
      <c r="AJ38" s="298"/>
    </row>
    <row r="39" spans="1:36" s="17" customFormat="1" x14ac:dyDescent="0.2">
      <c r="A39" s="61" t="str">
        <f>HLOOKUP('Output (1)'!$H$11,Traduções_Instruções,ROW(),FALSE)</f>
        <v>Indicadores de recursos hídricos</v>
      </c>
      <c r="B39" s="62"/>
      <c r="Z39" s="298"/>
      <c r="AA39" s="298" t="s">
        <v>506</v>
      </c>
      <c r="AB39" s="298" t="s">
        <v>990</v>
      </c>
      <c r="AC39" s="298" t="s">
        <v>186</v>
      </c>
      <c r="AD39" s="298"/>
      <c r="AE39" s="298"/>
      <c r="AF39" s="298"/>
      <c r="AG39" s="298"/>
      <c r="AH39" s="298"/>
      <c r="AI39" s="298"/>
      <c r="AJ39" s="298"/>
    </row>
    <row r="40" spans="1:36" s="17" customFormat="1" x14ac:dyDescent="0.2">
      <c r="A40" s="62"/>
      <c r="B40" s="62" t="str">
        <f>HLOOKUP('Output (1)'!$H$11,Traduções_Instruções,ROW(),FALSE)</f>
        <v>Ineficiência na utilização dos recursos hídricos (%)</v>
      </c>
      <c r="Z40" s="298"/>
      <c r="AA40" s="667" t="s">
        <v>546</v>
      </c>
      <c r="AB40" s="667" t="s">
        <v>973</v>
      </c>
      <c r="AC40" s="667" t="s">
        <v>187</v>
      </c>
      <c r="AD40" s="298"/>
      <c r="AE40" s="298"/>
      <c r="AF40" s="298"/>
      <c r="AG40" s="298"/>
      <c r="AH40" s="298"/>
      <c r="AI40" s="298"/>
      <c r="AJ40" s="298"/>
    </row>
    <row r="41" spans="1:36" ht="15" customHeight="1" x14ac:dyDescent="0.2">
      <c r="A41" s="61" t="str">
        <f>HLOOKUP('Output (1)'!$H$11,Traduções_Instruções,ROW(),FALSE)</f>
        <v>Indicadores operacionais</v>
      </c>
      <c r="B41" s="62"/>
      <c r="AA41" s="298" t="s">
        <v>507</v>
      </c>
      <c r="AB41" s="298" t="s">
        <v>989</v>
      </c>
      <c r="AC41" s="298" t="s">
        <v>188</v>
      </c>
    </row>
    <row r="42" spans="1:36" ht="22.5" x14ac:dyDescent="0.2">
      <c r="A42" s="62"/>
      <c r="B42" s="93" t="str">
        <f>HLOOKUP('Output (1)'!$H$11,Traduções_Instruções,ROW(),FALSE)</f>
        <v>Perdas de água por comprimento de conduta (m3/km/dia) (válido para sistemas de produção e adução)</v>
      </c>
      <c r="AA42" s="666" t="s">
        <v>879</v>
      </c>
      <c r="AB42" s="666" t="s">
        <v>699</v>
      </c>
      <c r="AC42" s="666" t="s">
        <v>189</v>
      </c>
    </row>
    <row r="43" spans="1:36" x14ac:dyDescent="0.2">
      <c r="A43" s="62"/>
      <c r="B43" s="93" t="str">
        <f>HLOOKUP('Output (1)'!$H$11,Traduções_Instruções,ROW(),FALSE)</f>
        <v>Perdas de água por ramal (m3/ramal/ano)  (válido para sistemas de distribuição)</v>
      </c>
      <c r="AA43" s="666" t="s">
        <v>880</v>
      </c>
      <c r="AB43" s="666" t="s">
        <v>698</v>
      </c>
      <c r="AC43" s="666" t="s">
        <v>190</v>
      </c>
    </row>
    <row r="44" spans="1:36" ht="22.5" x14ac:dyDescent="0.2">
      <c r="A44" s="62"/>
      <c r="B44" s="628" t="str">
        <f>HLOOKUP('Output (1)'!$H$11,Traduções_Instruções,ROW(),FALSE)</f>
        <v>Perdas aparentes por volume de água entrada no sistema (%) (válido p/ sistemas de produção e adução)</v>
      </c>
      <c r="AA44" s="666" t="s">
        <v>551</v>
      </c>
      <c r="AB44" s="666" t="s">
        <v>703</v>
      </c>
      <c r="AC44" s="666" t="s">
        <v>191</v>
      </c>
    </row>
    <row r="45" spans="1:36" s="223" customFormat="1" x14ac:dyDescent="0.2">
      <c r="A45" s="629"/>
      <c r="B45" s="96" t="str">
        <f>HLOOKUP('Output (1)'!$H$11,Traduções_Instruções,ROW(),FALSE)</f>
        <v>Perdas aparentes por ramal (%) (válido para sistemas de distribuição ou completos)</v>
      </c>
      <c r="Z45" s="596"/>
      <c r="AA45" s="666" t="s">
        <v>530</v>
      </c>
      <c r="AB45" s="666" t="s">
        <v>702</v>
      </c>
      <c r="AC45" s="666" t="s">
        <v>192</v>
      </c>
      <c r="AD45" s="596"/>
      <c r="AE45" s="596"/>
      <c r="AF45" s="596"/>
      <c r="AG45" s="596"/>
      <c r="AH45" s="596"/>
      <c r="AI45" s="596"/>
      <c r="AJ45" s="596"/>
    </row>
    <row r="46" spans="1:36" ht="22.5" x14ac:dyDescent="0.2">
      <c r="A46" s="62"/>
      <c r="B46" s="96" t="str">
        <f>HLOOKUP('Output (1)'!$H$11,Traduções_Instruções,ROW(),FALSE)</f>
        <v>Perdas reais por comprimento de conduta (l/km /dia com sistema em pressão) (válido para sistemas de produção e adução)</v>
      </c>
      <c r="AA46" s="666" t="s">
        <v>544</v>
      </c>
      <c r="AB46" s="666" t="s">
        <v>704</v>
      </c>
      <c r="AC46" s="666" t="s">
        <v>193</v>
      </c>
    </row>
    <row r="47" spans="1:36" ht="22.5" x14ac:dyDescent="0.2">
      <c r="A47" s="62"/>
      <c r="B47" s="96" t="str">
        <f>HLOOKUP('Output (1)'!$H$11,Traduções_Instruções,ROW(),FALSE)</f>
        <v>Perdas reais por ramal (l/ramal/dia com sistema em pressão) (válido p/ sist. de distribuição ou completos)</v>
      </c>
      <c r="AA47" s="666" t="s">
        <v>554</v>
      </c>
      <c r="AB47" s="666" t="s">
        <v>705</v>
      </c>
      <c r="AC47" s="666" t="s">
        <v>194</v>
      </c>
    </row>
    <row r="48" spans="1:36" x14ac:dyDescent="0.2">
      <c r="A48" s="62"/>
      <c r="B48" s="93" t="str">
        <f>HLOOKUP('Output (1)'!$H$11,Traduções_Instruções,ROW(),FALSE)</f>
        <v xml:space="preserve">Índice infra-estrutural de fugas (-) </v>
      </c>
      <c r="AA48" s="666" t="s">
        <v>545</v>
      </c>
      <c r="AB48" s="666" t="s">
        <v>993</v>
      </c>
      <c r="AC48" s="666" t="s">
        <v>195</v>
      </c>
    </row>
    <row r="49" spans="1:29" ht="15" customHeight="1" x14ac:dyDescent="0.2">
      <c r="A49" s="61" t="str">
        <f>HLOOKUP('Output (1)'!$H$11,Traduções_Instruções,ROW(),FALSE)</f>
        <v>Indicadores financeiros</v>
      </c>
      <c r="B49" s="62"/>
      <c r="AA49" s="298" t="s">
        <v>508</v>
      </c>
      <c r="AB49" s="298" t="s">
        <v>697</v>
      </c>
      <c r="AC49" s="298" t="s">
        <v>196</v>
      </c>
    </row>
    <row r="50" spans="1:29" x14ac:dyDescent="0.2">
      <c r="A50" s="62"/>
      <c r="B50" s="93" t="str">
        <f>HLOOKUP('Output (1)'!$H$11,Traduções_Instruções,ROW(),FALSE)</f>
        <v xml:space="preserve">Água não facturada em termos de volume (%) </v>
      </c>
      <c r="AA50" s="666" t="s">
        <v>531</v>
      </c>
      <c r="AB50" s="666" t="s">
        <v>706</v>
      </c>
      <c r="AC50" s="666" t="s">
        <v>197</v>
      </c>
    </row>
    <row r="51" spans="1:29" x14ac:dyDescent="0.2">
      <c r="A51" s="62"/>
      <c r="B51" s="93" t="str">
        <f>HLOOKUP('Output (1)'!$H$11,Traduções_Instruções,ROW(),FALSE)</f>
        <v xml:space="preserve">Água não facturada em termos de custo (%) </v>
      </c>
      <c r="AA51" s="666" t="s">
        <v>532</v>
      </c>
      <c r="AB51" s="666" t="s">
        <v>976</v>
      </c>
      <c r="AC51" s="666" t="s">
        <v>198</v>
      </c>
    </row>
    <row r="52" spans="1:29" ht="8.25" customHeight="1" x14ac:dyDescent="0.2">
      <c r="A52" s="94"/>
      <c r="B52" s="95"/>
    </row>
    <row r="53" spans="1:29" ht="20.25" customHeight="1" x14ac:dyDescent="0.25">
      <c r="A53" s="59" t="str">
        <f>HLOOKUP('Output (1)'!$H$11,Traduções_Instruções,ROW(),FALSE)</f>
        <v>Indicador de água não medida</v>
      </c>
      <c r="B53" s="2"/>
      <c r="AA53" s="265" t="s">
        <v>30</v>
      </c>
      <c r="AB53" s="265" t="s">
        <v>1011</v>
      </c>
      <c r="AC53" s="265" t="s">
        <v>199</v>
      </c>
    </row>
    <row r="54" spans="1:29" ht="45" x14ac:dyDescent="0.2">
      <c r="A54" s="754" t="str">
        <f>HLOOKUP('Output (1)'!$H$11,Traduções_Instruções,ROW(),FALSE)</f>
        <v xml:space="preserve">Embora não sendo um indicador de perdas, o indicador de água não medida é fundamental no contexto do controlo de perdas nos sistemas para se ter uma noção da parcela de água entrada no sistema que é contabilizada como consumo medido, independentemente de ser ou não facturado. O grau de confiança dos valores do balanço hídrico dependem em grande medida deste factor.  </v>
      </c>
      <c r="B54" s="754" t="str">
        <f>HLOOKUP('Output (1)'!$H$11,Traduções_Instruções,ROW(),FALSE)</f>
        <v xml:space="preserve">Embora não sendo um indicador de perdas, o indicador de água não medida é fundamental no contexto do controlo de perdas nos sistemas para se ter uma noção da parcela de água entrada no sistema que é contabilizada como consumo medido, independentemente de ser ou não facturado. O grau de confiança dos valores do balanço hídrico dependem em grande medida deste factor.  </v>
      </c>
      <c r="AA54" s="666" t="s">
        <v>528</v>
      </c>
      <c r="AB54" s="666" t="s">
        <v>120</v>
      </c>
      <c r="AC54" s="666" t="s">
        <v>200</v>
      </c>
    </row>
    <row r="55" spans="1:29" x14ac:dyDescent="0.2">
      <c r="A55" s="61" t="str">
        <f>HLOOKUP('Output (1)'!$H$11,Traduções_Instruções,ROW(),FALSE)</f>
        <v>Indicador operacional</v>
      </c>
      <c r="B55" s="62"/>
      <c r="AA55" s="265" t="s">
        <v>515</v>
      </c>
      <c r="AB55" s="265" t="s">
        <v>1009</v>
      </c>
      <c r="AC55" s="265" t="s">
        <v>201</v>
      </c>
    </row>
    <row r="56" spans="1:29" x14ac:dyDescent="0.2">
      <c r="A56" s="2"/>
      <c r="B56" s="93" t="str">
        <f>HLOOKUP('Output (1)'!$H$11,Traduções_Instruções,ROW(),FALSE)</f>
        <v xml:space="preserve">Água não medida (%)  </v>
      </c>
      <c r="AA56" s="265" t="s">
        <v>533</v>
      </c>
      <c r="AB56" s="666" t="s">
        <v>975</v>
      </c>
      <c r="AC56" s="666" t="s">
        <v>202</v>
      </c>
    </row>
    <row r="58" spans="1:29" x14ac:dyDescent="0.2">
      <c r="Z58" s="265" t="s">
        <v>882</v>
      </c>
      <c r="AA58" s="265" t="s">
        <v>881</v>
      </c>
      <c r="AB58" s="265" t="s">
        <v>817</v>
      </c>
      <c r="AC58" s="265" t="s">
        <v>203</v>
      </c>
    </row>
    <row r="59" spans="1:29" x14ac:dyDescent="0.2">
      <c r="Z59" s="265" t="s">
        <v>883</v>
      </c>
      <c r="AA59" s="265" t="s">
        <v>516</v>
      </c>
      <c r="AB59" s="265" t="s">
        <v>818</v>
      </c>
      <c r="AC59" s="265" t="s">
        <v>204</v>
      </c>
    </row>
    <row r="60" spans="1:29" x14ac:dyDescent="0.2">
      <c r="Z60" s="265" t="s">
        <v>884</v>
      </c>
      <c r="AA60" s="265" t="s">
        <v>517</v>
      </c>
      <c r="AB60" s="265" t="s">
        <v>819</v>
      </c>
      <c r="AC60" s="265" t="s">
        <v>205</v>
      </c>
    </row>
    <row r="61" spans="1:29" x14ac:dyDescent="0.2">
      <c r="Z61" s="265" t="s">
        <v>885</v>
      </c>
      <c r="AA61" s="265" t="s">
        <v>518</v>
      </c>
      <c r="AB61" s="265" t="s">
        <v>820</v>
      </c>
      <c r="AC61" s="265" t="s">
        <v>206</v>
      </c>
    </row>
    <row r="62" spans="1:29" x14ac:dyDescent="0.2">
      <c r="Z62" s="265" t="s">
        <v>886</v>
      </c>
      <c r="AA62" s="265" t="s">
        <v>519</v>
      </c>
      <c r="AB62" s="265" t="s">
        <v>821</v>
      </c>
      <c r="AC62" s="265" t="s">
        <v>207</v>
      </c>
    </row>
    <row r="63" spans="1:29" x14ac:dyDescent="0.2">
      <c r="Z63" s="265" t="s">
        <v>887</v>
      </c>
      <c r="AA63" s="265" t="s">
        <v>520</v>
      </c>
      <c r="AB63" s="265" t="s">
        <v>822</v>
      </c>
      <c r="AC63" s="265" t="s">
        <v>208</v>
      </c>
    </row>
    <row r="64" spans="1:29" x14ac:dyDescent="0.2">
      <c r="Z64" s="265" t="s">
        <v>888</v>
      </c>
      <c r="AA64" s="265" t="s">
        <v>521</v>
      </c>
      <c r="AB64" s="265" t="s">
        <v>823</v>
      </c>
      <c r="AC64" s="265" t="s">
        <v>209</v>
      </c>
    </row>
    <row r="65" spans="26:29" x14ac:dyDescent="0.2">
      <c r="Z65" s="265" t="s">
        <v>889</v>
      </c>
      <c r="AA65" s="265" t="s">
        <v>522</v>
      </c>
      <c r="AB65" s="265" t="s">
        <v>824</v>
      </c>
      <c r="AC65" s="265" t="s">
        <v>210</v>
      </c>
    </row>
    <row r="66" spans="26:29" x14ac:dyDescent="0.2">
      <c r="Z66" s="265" t="s">
        <v>890</v>
      </c>
      <c r="AA66" s="265" t="s">
        <v>523</v>
      </c>
      <c r="AB66" s="265" t="s">
        <v>825</v>
      </c>
      <c r="AC66" s="265" t="s">
        <v>211</v>
      </c>
    </row>
    <row r="67" spans="26:29" x14ac:dyDescent="0.2">
      <c r="Z67" s="265" t="s">
        <v>891</v>
      </c>
      <c r="AA67" s="265" t="s">
        <v>524</v>
      </c>
      <c r="AB67" s="265" t="s">
        <v>826</v>
      </c>
      <c r="AC67" s="265" t="s">
        <v>212</v>
      </c>
    </row>
  </sheetData>
  <sheetProtection sheet="1" objects="1" scenarios="1"/>
  <mergeCells count="22">
    <mergeCell ref="A15:B15"/>
    <mergeCell ref="A54:B54"/>
    <mergeCell ref="A23:B23"/>
    <mergeCell ref="A18:B18"/>
    <mergeCell ref="A20:B20"/>
    <mergeCell ref="A37:B37"/>
    <mergeCell ref="A4:B4"/>
    <mergeCell ref="A1:B1"/>
    <mergeCell ref="C25:K25"/>
    <mergeCell ref="A3:B3"/>
    <mergeCell ref="A5:B5"/>
    <mergeCell ref="A6:B6"/>
    <mergeCell ref="A10:B10"/>
    <mergeCell ref="A11:B11"/>
    <mergeCell ref="A12:B12"/>
    <mergeCell ref="A13:B13"/>
    <mergeCell ref="A16:B16"/>
    <mergeCell ref="A17:B17"/>
    <mergeCell ref="A7:B7"/>
    <mergeCell ref="A8:B8"/>
    <mergeCell ref="A9:B9"/>
    <mergeCell ref="A14:B14"/>
  </mergeCells>
  <phoneticPr fontId="8" type="noConversion"/>
  <conditionalFormatting sqref="B46 B43:B44">
    <cfRule type="expression" dxfId="2" priority="1" stopIfTrue="1">
      <formula>IF($A$28=1,2,1)</formula>
    </cfRule>
  </conditionalFormatting>
  <pageMargins left="0.74803149606299213" right="0.74803149606299213" top="0.78740157480314965" bottom="0.98425196850393704" header="0.51181102362204722" footer="0.51181102362204722"/>
  <pageSetup paperSize="9" orientation="portrait"/>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47"/>
  </sheetPr>
  <dimension ref="A1:AJ51"/>
  <sheetViews>
    <sheetView showGridLines="0" showRowColHeaders="0" topLeftCell="A7" zoomScale="125" zoomScaleNormal="125" zoomScalePageLayoutView="125" workbookViewId="0">
      <selection activeCell="B11" sqref="B11"/>
    </sheetView>
  </sheetViews>
  <sheetFormatPr defaultColWidth="8.85546875" defaultRowHeight="12.75" x14ac:dyDescent="0.2"/>
  <cols>
    <col min="1" max="1" width="50.42578125" customWidth="1"/>
    <col min="2" max="2" width="12.28515625" customWidth="1"/>
    <col min="3" max="3" width="10.7109375" style="11" customWidth="1"/>
    <col min="4" max="4" width="14.42578125" customWidth="1"/>
    <col min="5" max="5" width="6.140625" customWidth="1"/>
    <col min="6" max="11" width="9.140625" style="265" hidden="1" customWidth="1"/>
    <col min="12" max="13" width="7.42578125" style="265" hidden="1" customWidth="1"/>
    <col min="14" max="14" width="9" style="265" hidden="1" customWidth="1"/>
    <col min="15" max="15" width="6.42578125" style="265" hidden="1" customWidth="1"/>
    <col min="16" max="26" width="9.140625" style="265" hidden="1" customWidth="1"/>
    <col min="27" max="27" width="66.140625" style="265" hidden="1" customWidth="1"/>
    <col min="28" max="28" width="67" style="265" hidden="1" customWidth="1"/>
    <col min="29" max="29" width="66.140625" style="265" hidden="1" customWidth="1"/>
    <col min="30" max="36" width="9.140625" style="265" hidden="1" customWidth="1"/>
  </cols>
  <sheetData>
    <row r="1" spans="1:36" ht="18" x14ac:dyDescent="0.25">
      <c r="A1" s="756">
        <f>'Input (1)'!B4</f>
        <v>0</v>
      </c>
      <c r="B1" s="756"/>
      <c r="C1" s="756"/>
      <c r="D1" s="756"/>
      <c r="E1" s="111"/>
      <c r="L1" s="296"/>
      <c r="M1" s="296"/>
      <c r="N1" s="296"/>
      <c r="Z1" s="265" t="str">
        <f>'Output (1)'!H11</f>
        <v>Português</v>
      </c>
      <c r="AA1" s="661" t="str">
        <f>'Output (1)'!AA1</f>
        <v>Português</v>
      </c>
      <c r="AB1" s="661" t="str">
        <f>'Output (1)'!AB1</f>
        <v>English</v>
      </c>
      <c r="AC1" s="661" t="str">
        <f>'Output (1)'!AC1</f>
        <v>Español</v>
      </c>
    </row>
    <row r="2" spans="1:36" ht="15.75" x14ac:dyDescent="0.25">
      <c r="A2" s="757">
        <f>'Input (1)'!B5</f>
        <v>0</v>
      </c>
      <c r="B2" s="757"/>
      <c r="C2" s="757"/>
      <c r="D2" s="757"/>
      <c r="E2" s="112"/>
      <c r="L2" s="296"/>
      <c r="M2" s="296"/>
      <c r="N2" s="296"/>
      <c r="Z2" s="265" t="s">
        <v>92</v>
      </c>
      <c r="AA2" s="582" t="s">
        <v>454</v>
      </c>
      <c r="AB2" s="582" t="s">
        <v>405</v>
      </c>
      <c r="AC2" s="582" t="s">
        <v>213</v>
      </c>
    </row>
    <row r="3" spans="1:36" ht="29.25" customHeight="1" x14ac:dyDescent="0.25">
      <c r="A3" s="763" t="str">
        <f>HLOOKUP('Output (1)'!$H$11,Traduções_ResSintese,ROW(),FALSE)</f>
        <v xml:space="preserve">COMPONENTES DO BALANÇO HÍDRICO (m3/ano) </v>
      </c>
      <c r="B3" s="763" t="e">
        <f>HLOOKUP('Output (1)'!D11,Traduções_ResSintese,ROW(),FALSE)</f>
        <v>#N/A</v>
      </c>
      <c r="C3" s="763" t="e">
        <f>HLOOKUP('Output (1)'!E11,Traduções_ResSintese,ROW(),FALSE)</f>
        <v>#N/A</v>
      </c>
      <c r="D3" s="763" t="e">
        <f>HLOOKUP('Output (1)'!F11,Traduções_ResSintese,ROW(),FALSE)</f>
        <v>#N/A</v>
      </c>
      <c r="E3" s="13"/>
      <c r="L3" s="296"/>
      <c r="M3" s="296"/>
      <c r="N3" s="296"/>
      <c r="AA3" s="316" t="s">
        <v>71</v>
      </c>
      <c r="AB3" s="316" t="s">
        <v>406</v>
      </c>
      <c r="AC3" s="316" t="s">
        <v>214</v>
      </c>
      <c r="AD3" s="316"/>
      <c r="AE3" s="316"/>
    </row>
    <row r="4" spans="1:36" ht="15.75" customHeight="1" x14ac:dyDescent="0.25">
      <c r="A4" s="12"/>
      <c r="B4" s="12"/>
      <c r="C4" s="113"/>
      <c r="D4" s="12"/>
      <c r="E4" s="12"/>
      <c r="L4" s="296"/>
      <c r="M4" s="296"/>
      <c r="N4" s="296"/>
      <c r="Z4" s="265" t="s">
        <v>93</v>
      </c>
      <c r="AA4" s="587" t="s">
        <v>96</v>
      </c>
      <c r="AB4" s="587" t="s">
        <v>407</v>
      </c>
      <c r="AC4" s="587" t="s">
        <v>215</v>
      </c>
      <c r="AD4" s="316"/>
      <c r="AE4" s="316"/>
    </row>
    <row r="5" spans="1:36" ht="18" customHeight="1" x14ac:dyDescent="0.25">
      <c r="A5" s="109">
        <f>'Input (1)'!B8</f>
        <v>0</v>
      </c>
      <c r="B5" s="110"/>
      <c r="C5" s="114"/>
      <c r="D5" s="106"/>
      <c r="L5" s="296"/>
      <c r="M5" s="296"/>
      <c r="N5" s="296"/>
      <c r="Z5" s="265" t="s">
        <v>94</v>
      </c>
      <c r="AA5" s="265" t="s">
        <v>95</v>
      </c>
      <c r="AB5" s="265" t="s">
        <v>408</v>
      </c>
      <c r="AC5" s="265" t="s">
        <v>216</v>
      </c>
      <c r="AD5" s="316"/>
      <c r="AE5" s="316"/>
    </row>
    <row r="6" spans="1:36" ht="15.75" x14ac:dyDescent="0.25">
      <c r="A6" s="762" t="str">
        <f>CONCATENATE(HLOOKUP('Output (1)'!$H$11,Traduções_ResSintese,ROW(),FALSE),": ",'Input (1)'!B13)</f>
        <v xml:space="preserve">Período: </v>
      </c>
      <c r="B6" s="762"/>
      <c r="C6" s="114"/>
      <c r="D6" s="106"/>
      <c r="L6" s="575"/>
      <c r="M6" s="296"/>
      <c r="N6" s="296"/>
      <c r="AA6" s="316" t="s">
        <v>90</v>
      </c>
      <c r="AB6" s="316" t="s">
        <v>91</v>
      </c>
      <c r="AC6" s="316" t="s">
        <v>217</v>
      </c>
      <c r="AD6" s="316"/>
      <c r="AE6" s="316"/>
    </row>
    <row r="7" spans="1:36" ht="13.5" thickBot="1" x14ac:dyDescent="0.25">
      <c r="A7" s="67"/>
      <c r="B7" s="67"/>
      <c r="C7" s="114"/>
      <c r="D7" s="106"/>
      <c r="L7" s="296"/>
      <c r="M7" s="296"/>
      <c r="N7" s="296"/>
      <c r="AA7" s="580" t="s">
        <v>549</v>
      </c>
      <c r="AB7" s="580" t="s">
        <v>141</v>
      </c>
      <c r="AC7" s="265" t="s">
        <v>218</v>
      </c>
    </row>
    <row r="8" spans="1:36" ht="24.75" thickBot="1" x14ac:dyDescent="0.25">
      <c r="A8" s="120" t="str">
        <f>HLOOKUP('Output (1)'!$H$11,Traduções_ResSintese,ROW(),FALSE)</f>
        <v>Componente do balanço hídrico:</v>
      </c>
      <c r="B8" s="67"/>
      <c r="C8" s="114"/>
      <c r="D8" s="699" t="str">
        <f>HLOOKUP('Output (1)'!$H$11,Traduções_ResSintese,7,FALSE)</f>
        <v>Gama de exactidão</v>
      </c>
      <c r="F8" s="266" t="s">
        <v>560</v>
      </c>
      <c r="G8" s="267" t="s">
        <v>560</v>
      </c>
      <c r="H8" s="268" t="s">
        <v>556</v>
      </c>
      <c r="I8" s="269" t="s">
        <v>555</v>
      </c>
      <c r="J8" s="270" t="s">
        <v>557</v>
      </c>
      <c r="K8" s="712" t="s">
        <v>558</v>
      </c>
      <c r="L8" s="576"/>
      <c r="M8" s="576"/>
      <c r="N8" s="576"/>
      <c r="AA8" s="581" t="s">
        <v>550</v>
      </c>
      <c r="AB8" s="680" t="s">
        <v>950</v>
      </c>
      <c r="AC8" s="265" t="s">
        <v>219</v>
      </c>
    </row>
    <row r="9" spans="1:36" s="88" customFormat="1" ht="21" customHeight="1" x14ac:dyDescent="0.2">
      <c r="A9" s="89" t="str">
        <f>HLOOKUP('Output (1)'!$H$11,Traduções_ResSintese,ROW(),FALSE)</f>
        <v>Água entrada no sistema                (contabilização em termos operacionais)</v>
      </c>
      <c r="B9" s="758">
        <f>'Input (2)'!B11</f>
        <v>0</v>
      </c>
      <c r="C9" s="760" t="str">
        <f>HLOOKUP('Output (1)'!$H$11,Traduções_ResSintese,2,FALSE)</f>
        <v>m3/ano</v>
      </c>
      <c r="D9" s="108" t="str">
        <f>'Input (2)'!F11</f>
        <v xml:space="preserve"> </v>
      </c>
      <c r="F9" s="272">
        <f>'Input (2)'!H11</f>
        <v>0</v>
      </c>
      <c r="G9" s="272">
        <f>'Input (2)'!I11</f>
        <v>0</v>
      </c>
      <c r="H9" s="273">
        <f>F9*B9</f>
        <v>0</v>
      </c>
      <c r="I9" s="274">
        <f>G9*B9</f>
        <v>0</v>
      </c>
      <c r="J9" s="273">
        <f>F9*B9</f>
        <v>0</v>
      </c>
      <c r="K9" s="713">
        <f>G9*B9</f>
        <v>0</v>
      </c>
      <c r="L9" s="588"/>
      <c r="M9" s="588"/>
      <c r="N9" s="588"/>
      <c r="O9" s="291"/>
      <c r="P9" s="291"/>
      <c r="Q9" s="291"/>
      <c r="R9" s="291"/>
      <c r="S9" s="291"/>
      <c r="T9" s="291"/>
      <c r="U9" s="291"/>
      <c r="V9" s="291"/>
      <c r="W9" s="291"/>
      <c r="X9" s="291"/>
      <c r="Y9" s="291"/>
      <c r="Z9" s="291"/>
      <c r="AA9" s="668" t="s">
        <v>54</v>
      </c>
      <c r="AB9" s="668" t="s">
        <v>153</v>
      </c>
      <c r="AC9" s="668" t="s">
        <v>220</v>
      </c>
      <c r="AD9" s="291"/>
      <c r="AE9" s="291"/>
      <c r="AF9" s="291"/>
      <c r="AG9" s="291"/>
      <c r="AH9" s="291"/>
      <c r="AI9" s="291"/>
      <c r="AJ9" s="291"/>
    </row>
    <row r="10" spans="1:36" s="88" customFormat="1" ht="21" customHeight="1" x14ac:dyDescent="0.2">
      <c r="A10" s="89" t="str">
        <f>HLOOKUP('Output (1)'!$H$11,Traduções_ResSintese,ROW(),FALSE)</f>
        <v xml:space="preserve">                                     (contabilização em termos económico-financeiros)</v>
      </c>
      <c r="B10" s="759"/>
      <c r="C10" s="761" t="str">
        <f>HLOOKUP('Output (1)'!$H$11,Traduções_ResSintese,7,FALSE)</f>
        <v>Gama de exactidão</v>
      </c>
      <c r="D10" s="108" t="str">
        <f>'Input (2)'!F12</f>
        <v xml:space="preserve"> </v>
      </c>
      <c r="F10" s="275">
        <f>'Input (2)'!H12</f>
        <v>0</v>
      </c>
      <c r="G10" s="275">
        <f>'Input (2)'!I12</f>
        <v>0</v>
      </c>
      <c r="H10" s="276">
        <f>F10*B10</f>
        <v>0</v>
      </c>
      <c r="I10" s="277">
        <f>G10*B10</f>
        <v>0</v>
      </c>
      <c r="J10" s="276">
        <f>F10*B10</f>
        <v>0</v>
      </c>
      <c r="K10" s="714">
        <f>G10*B10</f>
        <v>0</v>
      </c>
      <c r="L10" s="588"/>
      <c r="M10" s="588"/>
      <c r="N10" s="588"/>
      <c r="O10" s="291"/>
      <c r="P10" s="291"/>
      <c r="Q10" s="291"/>
      <c r="R10" s="291"/>
      <c r="S10" s="291"/>
      <c r="T10" s="291"/>
      <c r="U10" s="291"/>
      <c r="V10" s="291"/>
      <c r="W10" s="291"/>
      <c r="X10" s="291"/>
      <c r="Y10" s="291"/>
      <c r="Z10" s="291"/>
      <c r="AA10" s="668" t="s">
        <v>55</v>
      </c>
      <c r="AB10" s="668" t="s">
        <v>142</v>
      </c>
      <c r="AC10" s="668" t="s">
        <v>221</v>
      </c>
      <c r="AD10" s="291"/>
      <c r="AE10" s="291"/>
      <c r="AF10" s="291"/>
      <c r="AG10" s="291"/>
      <c r="AH10" s="291"/>
      <c r="AI10" s="291"/>
      <c r="AJ10" s="291"/>
    </row>
    <row r="11" spans="1:36" s="88" customFormat="1" ht="21" customHeight="1" x14ac:dyDescent="0.2">
      <c r="A11" s="89" t="str">
        <f>HLOOKUP('Output (1)'!$H$11,Traduções_ResSintese,ROW(),FALSE)</f>
        <v>Consumo facturado medido</v>
      </c>
      <c r="B11" s="402">
        <f>'Input (3)'!B17</f>
        <v>0</v>
      </c>
      <c r="C11" s="115" t="str">
        <f>HLOOKUP('Output (1)'!$H$11,Traduções_ResSintese,2,FALSE)</f>
        <v>m3/ano</v>
      </c>
      <c r="D11" s="98" t="str">
        <f>'Input (3)'!F17</f>
        <v xml:space="preserve"> </v>
      </c>
      <c r="E11" s="128"/>
      <c r="F11" s="278"/>
      <c r="G11" s="278"/>
      <c r="H11" s="279"/>
      <c r="I11" s="279"/>
      <c r="J11" s="279"/>
      <c r="K11" s="279"/>
      <c r="L11" s="588"/>
      <c r="M11" s="588"/>
      <c r="N11" s="588"/>
      <c r="O11" s="291"/>
      <c r="P11" s="291"/>
      <c r="Q11" s="291"/>
      <c r="R11" s="291"/>
      <c r="S11" s="291"/>
      <c r="T11" s="291"/>
      <c r="U11" s="291"/>
      <c r="V11" s="291"/>
      <c r="W11" s="291"/>
      <c r="X11" s="291"/>
      <c r="Y11" s="291"/>
      <c r="Z11" s="669"/>
      <c r="AA11" s="670" t="s">
        <v>489</v>
      </c>
      <c r="AB11" s="670" t="s">
        <v>951</v>
      </c>
      <c r="AC11" s="670" t="s">
        <v>489</v>
      </c>
      <c r="AD11" s="291"/>
      <c r="AE11" s="291"/>
      <c r="AF11" s="291"/>
      <c r="AG11" s="291"/>
      <c r="AH11" s="291"/>
      <c r="AI11" s="291"/>
      <c r="AJ11" s="291"/>
    </row>
    <row r="12" spans="1:36" s="88" customFormat="1" ht="21" customHeight="1" x14ac:dyDescent="0.2">
      <c r="A12" s="89" t="str">
        <f>HLOOKUP('Output (1)'!$H$11,Traduções_ResSintese,ROW(),FALSE)</f>
        <v>Consumo facturado não medido</v>
      </c>
      <c r="B12" s="402">
        <f>'Input (3)'!B29</f>
        <v>0</v>
      </c>
      <c r="C12" s="115" t="str">
        <f>HLOOKUP('Output (1)'!$H$11,Traduções_ResSintese,2,FALSE)</f>
        <v>m3/ano</v>
      </c>
      <c r="D12" s="98" t="str">
        <f>'Input (3)'!F29</f>
        <v xml:space="preserve"> </v>
      </c>
      <c r="E12" s="128"/>
      <c r="F12" s="278"/>
      <c r="G12" s="278"/>
      <c r="H12" s="279"/>
      <c r="I12" s="279"/>
      <c r="J12" s="279"/>
      <c r="K12" s="279"/>
      <c r="L12" s="588"/>
      <c r="M12" s="588"/>
      <c r="N12" s="588"/>
      <c r="O12" s="291"/>
      <c r="P12" s="291"/>
      <c r="Q12" s="291"/>
      <c r="R12" s="291"/>
      <c r="S12" s="291"/>
      <c r="T12" s="291"/>
      <c r="U12" s="291"/>
      <c r="V12" s="291"/>
      <c r="W12" s="291"/>
      <c r="X12" s="291"/>
      <c r="Y12" s="291"/>
      <c r="Z12" s="669"/>
      <c r="AA12" s="668" t="s">
        <v>490</v>
      </c>
      <c r="AB12" s="670" t="s">
        <v>958</v>
      </c>
      <c r="AC12" s="668" t="s">
        <v>222</v>
      </c>
      <c r="AD12" s="291"/>
      <c r="AE12" s="291"/>
      <c r="AF12" s="291"/>
      <c r="AG12" s="291"/>
      <c r="AH12" s="291"/>
      <c r="AI12" s="291"/>
      <c r="AJ12" s="291"/>
    </row>
    <row r="13" spans="1:36" s="88" customFormat="1" ht="21" customHeight="1" x14ac:dyDescent="0.2">
      <c r="A13" s="89" t="str">
        <f>HLOOKUP('Output (1)'!$H$11,Traduções_ResSintese,ROW(),FALSE)</f>
        <v>Água facturada (contabilização em termos económico-financeiros)</v>
      </c>
      <c r="B13" s="402">
        <f>'Input (3)'!B32</f>
        <v>0</v>
      </c>
      <c r="C13" s="115" t="str">
        <f>HLOOKUP('Output (1)'!$H$11,Traduções_ResSintese,2,FALSE)</f>
        <v>m3/ano</v>
      </c>
      <c r="D13" s="239" t="s">
        <v>48</v>
      </c>
      <c r="F13" s="280">
        <f>0</f>
        <v>0</v>
      </c>
      <c r="G13" s="281">
        <f>0.05</f>
        <v>0.05</v>
      </c>
      <c r="H13" s="282">
        <f>F13*B13</f>
        <v>0</v>
      </c>
      <c r="I13" s="283">
        <f>G13*B13</f>
        <v>0</v>
      </c>
      <c r="J13" s="282">
        <f>F13*B13</f>
        <v>0</v>
      </c>
      <c r="K13" s="715">
        <f>G13*B13</f>
        <v>0</v>
      </c>
      <c r="L13" s="588"/>
      <c r="M13" s="588"/>
      <c r="N13" s="588"/>
      <c r="O13" s="291"/>
      <c r="P13" s="291"/>
      <c r="Q13" s="291"/>
      <c r="R13" s="291"/>
      <c r="S13" s="291"/>
      <c r="T13" s="291"/>
      <c r="U13" s="291"/>
      <c r="V13" s="291"/>
      <c r="W13" s="291"/>
      <c r="X13" s="291"/>
      <c r="Y13" s="291"/>
      <c r="Z13" s="669"/>
      <c r="AA13" s="670" t="s">
        <v>49</v>
      </c>
      <c r="AB13" s="670" t="s">
        <v>143</v>
      </c>
      <c r="AC13" s="731" t="s">
        <v>223</v>
      </c>
      <c r="AD13" s="291"/>
      <c r="AE13" s="291"/>
      <c r="AF13" s="291"/>
      <c r="AG13" s="291"/>
      <c r="AH13" s="291"/>
      <c r="AI13" s="291"/>
      <c r="AJ13" s="291"/>
    </row>
    <row r="14" spans="1:36" s="88" customFormat="1" ht="21" customHeight="1" thickBot="1" x14ac:dyDescent="0.25">
      <c r="A14" s="89" t="str">
        <f>HLOOKUP('Output (1)'!$H$11,Traduções_ResSintese,ROW(),FALSE)</f>
        <v>Consumo autorizado facturado (contabilização em termos operacionais)</v>
      </c>
      <c r="B14" s="402">
        <f>'Input (3)'!B32</f>
        <v>0</v>
      </c>
      <c r="C14" s="115" t="str">
        <f>HLOOKUP('Output (1)'!$H$11,Traduções_ResSintese,2,FALSE)</f>
        <v>m3/ano</v>
      </c>
      <c r="D14" s="108" t="str">
        <f>IF(B14&gt;0,CONCATENATE(F14*100,"-",G14*100," %")," ")</f>
        <v xml:space="preserve"> </v>
      </c>
      <c r="F14" s="284">
        <f>'Input (3)'!H32</f>
        <v>0</v>
      </c>
      <c r="G14" s="285">
        <f>'Input (3)'!I32</f>
        <v>0</v>
      </c>
      <c r="H14" s="286">
        <f>F14*B14</f>
        <v>0</v>
      </c>
      <c r="I14" s="287">
        <f>G14*B14</f>
        <v>0</v>
      </c>
      <c r="J14" s="286">
        <f>F14*B14</f>
        <v>0</v>
      </c>
      <c r="K14" s="716">
        <f>G14*B14</f>
        <v>0</v>
      </c>
      <c r="L14" s="588"/>
      <c r="M14" s="588"/>
      <c r="N14" s="588"/>
      <c r="O14" s="291"/>
      <c r="P14" s="291"/>
      <c r="Q14" s="291"/>
      <c r="R14" s="291"/>
      <c r="S14" s="291"/>
      <c r="T14" s="291"/>
      <c r="U14" s="291"/>
      <c r="V14" s="291"/>
      <c r="W14" s="291"/>
      <c r="X14" s="291"/>
      <c r="Y14" s="291"/>
      <c r="Z14" s="291"/>
      <c r="AA14" s="668" t="s">
        <v>51</v>
      </c>
      <c r="AB14" s="668" t="s">
        <v>144</v>
      </c>
      <c r="AC14" s="731" t="s">
        <v>224</v>
      </c>
      <c r="AD14" s="291"/>
      <c r="AE14" s="291"/>
      <c r="AF14" s="291"/>
      <c r="AG14" s="291"/>
      <c r="AH14" s="291"/>
      <c r="AI14" s="291"/>
      <c r="AJ14" s="291"/>
    </row>
    <row r="15" spans="1:36" s="88" customFormat="1" ht="21" customHeight="1" thickBot="1" x14ac:dyDescent="0.25">
      <c r="A15" s="521" t="str">
        <f>HLOOKUP('Output (1)'!$H$11,Traduções_ResSintese,ROW(),FALSE)</f>
        <v>Água não facturada</v>
      </c>
      <c r="B15" s="403">
        <f>B9-B14</f>
        <v>0</v>
      </c>
      <c r="C15" s="532" t="str">
        <f>HLOOKUP('Output (1)'!$H$11,Traduções_ResSintese,2,FALSE)</f>
        <v>m3/ano</v>
      </c>
      <c r="D15" s="107" t="str">
        <f>IF(B15&gt;0,CONCATENATE(F15*100,"-",G15*100," %")," ")</f>
        <v xml:space="preserve"> </v>
      </c>
      <c r="F15" s="288" t="e">
        <f>IF('Configuration options'!$A$16=1,INT(H15/$B15*100)/100,IF('Configuration options'!$A$16=2,INT(J15/$B15*100)/100,"Erro"))</f>
        <v>#DIV/0!</v>
      </c>
      <c r="G15" s="289" t="e">
        <f>IF('Configuration options'!$A$16=1,INT(I15/$B15*100)/100,IF('Configuration options'!$A$16=2,INT(K15/$B15*100)/100,"Erro"))</f>
        <v>#DIV/0!</v>
      </c>
      <c r="H15" s="290">
        <f>H10+H13</f>
        <v>0</v>
      </c>
      <c r="I15" s="290">
        <f>I10+I13</f>
        <v>0</v>
      </c>
      <c r="J15" s="290">
        <f>SQRT(J10^2+J13^2)</f>
        <v>0</v>
      </c>
      <c r="K15" s="717">
        <f>SQRT(K10^2+K13^2)</f>
        <v>0</v>
      </c>
      <c r="L15" s="589"/>
      <c r="M15" s="589"/>
      <c r="N15" s="589"/>
      <c r="O15" s="291"/>
      <c r="P15" s="291"/>
      <c r="Q15" s="291"/>
      <c r="R15" s="291"/>
      <c r="S15" s="291"/>
      <c r="T15" s="291"/>
      <c r="U15" s="291"/>
      <c r="V15" s="291"/>
      <c r="W15" s="291"/>
      <c r="X15" s="291"/>
      <c r="Y15" s="291"/>
      <c r="Z15" s="291"/>
      <c r="AA15" s="668" t="s">
        <v>503</v>
      </c>
      <c r="AB15" s="668" t="s">
        <v>1036</v>
      </c>
      <c r="AC15" s="668" t="s">
        <v>225</v>
      </c>
      <c r="AD15" s="291"/>
      <c r="AE15" s="291"/>
      <c r="AF15" s="291"/>
      <c r="AG15" s="291"/>
      <c r="AH15" s="291"/>
      <c r="AI15" s="291"/>
      <c r="AJ15" s="291"/>
    </row>
    <row r="16" spans="1:36" s="88" customFormat="1" ht="21" customHeight="1" x14ac:dyDescent="0.2">
      <c r="A16" s="89" t="str">
        <f>HLOOKUP('Output (1)'!$H$11,Traduções_ResSintese,ROW(),FALSE)</f>
        <v>Consumo não facturado medido</v>
      </c>
      <c r="B16" s="401">
        <f>'Input (4)'!B14</f>
        <v>0</v>
      </c>
      <c r="C16" s="115" t="str">
        <f>HLOOKUP('Output (1)'!$H$11,Traduções_ResSintese,2,FALSE)</f>
        <v>m3/ano</v>
      </c>
      <c r="D16" s="108" t="str">
        <f>'Input (4)'!F14</f>
        <v xml:space="preserve"> </v>
      </c>
      <c r="F16" s="291"/>
      <c r="G16" s="291"/>
      <c r="H16" s="292"/>
      <c r="I16" s="292"/>
      <c r="J16" s="292"/>
      <c r="K16" s="292"/>
      <c r="L16" s="588"/>
      <c r="M16" s="588"/>
      <c r="N16" s="588"/>
      <c r="O16" s="291"/>
      <c r="P16" s="291"/>
      <c r="Q16" s="291"/>
      <c r="R16" s="291"/>
      <c r="S16" s="291"/>
      <c r="T16" s="291"/>
      <c r="U16" s="291"/>
      <c r="V16" s="291"/>
      <c r="W16" s="291"/>
      <c r="X16" s="291"/>
      <c r="Y16" s="291"/>
      <c r="Z16" s="291"/>
      <c r="AA16" s="668" t="s">
        <v>500</v>
      </c>
      <c r="AB16" s="668" t="s">
        <v>959</v>
      </c>
      <c r="AC16" s="668" t="s">
        <v>226</v>
      </c>
      <c r="AD16" s="291"/>
      <c r="AE16" s="291"/>
      <c r="AF16" s="291"/>
      <c r="AG16" s="291"/>
      <c r="AH16" s="291"/>
      <c r="AI16" s="291"/>
      <c r="AJ16" s="291"/>
    </row>
    <row r="17" spans="1:36" s="88" customFormat="1" ht="21" customHeight="1" x14ac:dyDescent="0.2">
      <c r="A17" s="89" t="str">
        <f>HLOOKUP('Output (1)'!$H$11,Traduções_ResSintese,ROW(),FALSE)</f>
        <v>Consumo não facturado não medido</v>
      </c>
      <c r="B17" s="401">
        <f>'Input (4)'!B41</f>
        <v>0</v>
      </c>
      <c r="C17" s="115" t="str">
        <f>HLOOKUP('Output (1)'!$H$11,Traduções_ResSintese,2,FALSE)</f>
        <v>m3/ano</v>
      </c>
      <c r="D17" s="108" t="str">
        <f>'Input (4)'!F41</f>
        <v xml:space="preserve"> </v>
      </c>
      <c r="F17" s="293"/>
      <c r="G17" s="293"/>
      <c r="H17" s="294"/>
      <c r="I17" s="294"/>
      <c r="J17" s="294"/>
      <c r="K17" s="294"/>
      <c r="L17" s="588"/>
      <c r="M17" s="588"/>
      <c r="N17" s="588"/>
      <c r="O17" s="291"/>
      <c r="P17" s="291"/>
      <c r="Q17" s="291"/>
      <c r="R17" s="291"/>
      <c r="S17" s="291"/>
      <c r="T17" s="291"/>
      <c r="U17" s="291"/>
      <c r="V17" s="291"/>
      <c r="W17" s="291"/>
      <c r="X17" s="291"/>
      <c r="Y17" s="291"/>
      <c r="Z17" s="291"/>
      <c r="AA17" s="668" t="s">
        <v>502</v>
      </c>
      <c r="AB17" s="668" t="s">
        <v>960</v>
      </c>
      <c r="AC17" s="668" t="s">
        <v>227</v>
      </c>
      <c r="AD17" s="291"/>
      <c r="AE17" s="291"/>
      <c r="AF17" s="291"/>
      <c r="AG17" s="291"/>
      <c r="AH17" s="291"/>
      <c r="AI17" s="291"/>
      <c r="AJ17" s="291"/>
    </row>
    <row r="18" spans="1:36" s="88" customFormat="1" ht="21" customHeight="1" thickBot="1" x14ac:dyDescent="0.25">
      <c r="A18" s="89" t="str">
        <f>HLOOKUP('Output (1)'!$H$11,Traduções_ResSintese,ROW(),FALSE)</f>
        <v>Consumo autorizado não facturado</v>
      </c>
      <c r="B18" s="401">
        <f>'Input (4)'!B43</f>
        <v>0</v>
      </c>
      <c r="C18" s="115" t="str">
        <f>HLOOKUP('Output (1)'!$H$11,Traduções_ResSintese,2,FALSE)</f>
        <v>m3/ano</v>
      </c>
      <c r="D18" s="108" t="str">
        <f>IF(B18&gt;0,CONCATENATE(F18*100,"-",G18*100," %")," ")</f>
        <v xml:space="preserve"> </v>
      </c>
      <c r="F18" s="284">
        <f>'Input (4)'!H43</f>
        <v>0</v>
      </c>
      <c r="G18" s="295">
        <f>'Input (4)'!I43</f>
        <v>0</v>
      </c>
      <c r="H18" s="286">
        <f>F18*B18</f>
        <v>0</v>
      </c>
      <c r="I18" s="287">
        <f>G18*B18</f>
        <v>0</v>
      </c>
      <c r="J18" s="286">
        <f>F18*B18</f>
        <v>0</v>
      </c>
      <c r="K18" s="715">
        <f>G18*B18</f>
        <v>0</v>
      </c>
      <c r="L18" s="588"/>
      <c r="M18" s="588"/>
      <c r="N18" s="588"/>
      <c r="O18" s="291"/>
      <c r="P18" s="291"/>
      <c r="Q18" s="291"/>
      <c r="R18" s="291"/>
      <c r="S18" s="291"/>
      <c r="T18" s="291"/>
      <c r="U18" s="291"/>
      <c r="V18" s="291"/>
      <c r="W18" s="291"/>
      <c r="X18" s="291"/>
      <c r="Y18" s="291"/>
      <c r="Z18" s="291"/>
      <c r="AA18" s="668" t="s">
        <v>501</v>
      </c>
      <c r="AB18" s="668" t="s">
        <v>961</v>
      </c>
      <c r="AC18" s="668" t="s">
        <v>228</v>
      </c>
      <c r="AD18" s="291"/>
      <c r="AE18" s="291"/>
      <c r="AF18" s="291"/>
      <c r="AG18" s="291"/>
      <c r="AH18" s="291"/>
      <c r="AI18" s="291"/>
      <c r="AJ18" s="291"/>
    </row>
    <row r="19" spans="1:36" s="88" customFormat="1" ht="21" customHeight="1" thickBot="1" x14ac:dyDescent="0.25">
      <c r="A19" s="89" t="str">
        <f>HLOOKUP('Output (1)'!$H$11,Traduções_ResSintese,ROW(),FALSE)</f>
        <v>Consumo autorizado</v>
      </c>
      <c r="B19" s="401">
        <f>B14+B18</f>
        <v>0</v>
      </c>
      <c r="C19" s="115" t="str">
        <f>HLOOKUP('Output (1)'!$H$11,Traduções_ResSintese,2,FALSE)</f>
        <v>m3/ano</v>
      </c>
      <c r="D19" s="108" t="str">
        <f>IF(B19&gt;0,CONCATENATE(F19*100,"-",G19*100," %")," ")</f>
        <v xml:space="preserve"> </v>
      </c>
      <c r="F19" s="288" t="e">
        <f>IF('Configuration options'!$A$16=1,INT(H19/$B19*100)/100,IF('Configuration options'!$A$16=2,INT(J19/$B19*100)/100,"Erro"))</f>
        <v>#DIV/0!</v>
      </c>
      <c r="G19" s="289" t="e">
        <f>IF('Configuration options'!$A$16=1,INT(I19/$B19*100)/100,IF('Configuration options'!$A$16=2,INT(K19/$B19*100)/100,"Erro"))</f>
        <v>#DIV/0!</v>
      </c>
      <c r="H19" s="290">
        <f>H14+H18</f>
        <v>0</v>
      </c>
      <c r="I19" s="290">
        <f>I14+I18</f>
        <v>0</v>
      </c>
      <c r="J19" s="290">
        <f>SQRT(J14^2+J18^2)</f>
        <v>0</v>
      </c>
      <c r="K19" s="717">
        <f>SQRT(K14^2+K18^2)</f>
        <v>0</v>
      </c>
      <c r="L19" s="588"/>
      <c r="M19" s="588"/>
      <c r="N19" s="588"/>
      <c r="O19" s="291"/>
      <c r="P19" s="291"/>
      <c r="Q19" s="291"/>
      <c r="R19" s="291"/>
      <c r="S19" s="291"/>
      <c r="T19" s="291"/>
      <c r="U19" s="291"/>
      <c r="V19" s="291"/>
      <c r="W19" s="291"/>
      <c r="X19" s="291"/>
      <c r="Y19" s="291"/>
      <c r="Z19" s="291"/>
      <c r="AA19" s="668" t="s">
        <v>488</v>
      </c>
      <c r="AB19" s="668" t="s">
        <v>962</v>
      </c>
      <c r="AC19" s="668" t="s">
        <v>488</v>
      </c>
      <c r="AD19" s="291"/>
      <c r="AE19" s="291"/>
      <c r="AF19" s="291"/>
      <c r="AG19" s="291"/>
      <c r="AH19" s="291"/>
      <c r="AI19" s="291"/>
      <c r="AJ19" s="291"/>
    </row>
    <row r="20" spans="1:36" s="88" customFormat="1" ht="21" customHeight="1" thickBot="1" x14ac:dyDescent="0.25">
      <c r="A20" s="521" t="str">
        <f>HLOOKUP('Output (1)'!$H$11,Traduções_ResSintese,ROW(),FALSE)</f>
        <v>Perdas de água</v>
      </c>
      <c r="B20" s="403">
        <f>B9-B19</f>
        <v>0</v>
      </c>
      <c r="C20" s="532" t="str">
        <f>HLOOKUP('Output (1)'!$H$11,Traduções_ResSintese,2,FALSE)</f>
        <v>m3/ano</v>
      </c>
      <c r="D20" s="107" t="str">
        <f>IF(B20&gt;0,CONCATENATE(F20*100,"-",G20*100," %")," ")</f>
        <v xml:space="preserve"> </v>
      </c>
      <c r="F20" s="288" t="e">
        <f>IF('Configuration options'!$A$16=1,INT(H20/$B20*100)/100,IF('Configuration options'!$A$16=2,INT(J20/$B20*100)/100,"Erro"))</f>
        <v>#DIV/0!</v>
      </c>
      <c r="G20" s="289" t="e">
        <f>IF('Configuration options'!$A$16=1,INT(I20/$B20*100)/100,IF('Configuration options'!$A$16=2,INT(K20/$B20*100)/100,"Erro"))</f>
        <v>#DIV/0!</v>
      </c>
      <c r="H20" s="290">
        <f>H9+H18</f>
        <v>0</v>
      </c>
      <c r="I20" s="290">
        <f>I9+I18</f>
        <v>0</v>
      </c>
      <c r="J20" s="290">
        <f>SQRT(J9^2+J19^2)</f>
        <v>0</v>
      </c>
      <c r="K20" s="717">
        <f>SQRT(K9^2+K19^2)</f>
        <v>0</v>
      </c>
      <c r="L20" s="589"/>
      <c r="M20" s="589"/>
      <c r="N20" s="589"/>
      <c r="O20" s="291"/>
      <c r="P20" s="291"/>
      <c r="Q20" s="291"/>
      <c r="R20" s="291"/>
      <c r="S20" s="291"/>
      <c r="T20" s="291"/>
      <c r="U20" s="291"/>
      <c r="V20" s="291"/>
      <c r="W20" s="291"/>
      <c r="X20" s="291"/>
      <c r="Y20" s="291"/>
      <c r="Z20" s="291"/>
      <c r="AA20" s="668" t="s">
        <v>491</v>
      </c>
      <c r="AB20" s="668" t="s">
        <v>963</v>
      </c>
      <c r="AC20" s="668" t="s">
        <v>229</v>
      </c>
      <c r="AD20" s="291"/>
      <c r="AE20" s="291"/>
      <c r="AF20" s="291"/>
      <c r="AG20" s="291"/>
      <c r="AH20" s="291"/>
      <c r="AI20" s="291"/>
      <c r="AJ20" s="291"/>
    </row>
    <row r="21" spans="1:36" s="88" customFormat="1" ht="21" customHeight="1" x14ac:dyDescent="0.2">
      <c r="A21" s="89" t="str">
        <f>HLOOKUP('Output (1)'!$H$11,Traduções_ResSintese,ROW(),FALSE)</f>
        <v>Uso não autorizado</v>
      </c>
      <c r="B21" s="401">
        <f>'Input (5)'!D3</f>
        <v>0</v>
      </c>
      <c r="C21" s="115" t="str">
        <f>HLOOKUP('Output (1)'!$H$11,Traduções_ResSintese,2,FALSE)</f>
        <v>m3/ano</v>
      </c>
      <c r="D21" s="108" t="str">
        <f>'Input (5)'!H3</f>
        <v xml:space="preserve"> </v>
      </c>
      <c r="F21" s="291"/>
      <c r="G21" s="291"/>
      <c r="H21" s="292"/>
      <c r="I21" s="292"/>
      <c r="J21" s="292"/>
      <c r="K21" s="292"/>
      <c r="L21" s="588"/>
      <c r="M21" s="588"/>
      <c r="N21" s="588"/>
      <c r="O21" s="291"/>
      <c r="P21" s="291"/>
      <c r="Q21" s="291"/>
      <c r="R21" s="291"/>
      <c r="S21" s="291"/>
      <c r="T21" s="291"/>
      <c r="U21" s="291"/>
      <c r="V21" s="291"/>
      <c r="W21" s="291"/>
      <c r="X21" s="291"/>
      <c r="Y21" s="291"/>
      <c r="Z21" s="291"/>
      <c r="AA21" s="668" t="s">
        <v>495</v>
      </c>
      <c r="AB21" s="668" t="s">
        <v>964</v>
      </c>
      <c r="AC21" s="668" t="s">
        <v>230</v>
      </c>
      <c r="AD21" s="291"/>
      <c r="AE21" s="291"/>
      <c r="AF21" s="291"/>
      <c r="AG21" s="291"/>
      <c r="AH21" s="291"/>
      <c r="AI21" s="291"/>
      <c r="AJ21" s="291"/>
    </row>
    <row r="22" spans="1:36" s="88" customFormat="1" ht="21" customHeight="1" x14ac:dyDescent="0.2">
      <c r="A22" s="89" t="str">
        <f>HLOOKUP('Output (1)'!$H$11,Traduções_ResSintese,ROW(),FALSE)</f>
        <v>Erros de medição</v>
      </c>
      <c r="B22" s="401">
        <f>'Input (5)'!D17</f>
        <v>0</v>
      </c>
      <c r="C22" s="115" t="str">
        <f>HLOOKUP('Output (1)'!$H$11,Traduções_ResSintese,2,FALSE)</f>
        <v>m3/ano</v>
      </c>
      <c r="D22" s="108" t="str">
        <f>'Input (5)'!H17</f>
        <v xml:space="preserve"> </v>
      </c>
      <c r="F22" s="293"/>
      <c r="G22" s="293"/>
      <c r="H22" s="294"/>
      <c r="I22" s="294"/>
      <c r="J22" s="294"/>
      <c r="K22" s="294"/>
      <c r="L22" s="588"/>
      <c r="M22" s="588"/>
      <c r="N22" s="588"/>
      <c r="O22" s="291"/>
      <c r="P22" s="291"/>
      <c r="Q22" s="291"/>
      <c r="R22" s="291"/>
      <c r="S22" s="291"/>
      <c r="T22" s="291"/>
      <c r="U22" s="291"/>
      <c r="V22" s="291"/>
      <c r="W22" s="291"/>
      <c r="X22" s="291"/>
      <c r="Y22" s="291"/>
      <c r="Z22" s="291"/>
      <c r="AA22" s="668" t="s">
        <v>496</v>
      </c>
      <c r="AB22" s="668" t="s">
        <v>965</v>
      </c>
      <c r="AC22" s="668" t="s">
        <v>231</v>
      </c>
      <c r="AD22" s="291"/>
      <c r="AE22" s="291"/>
      <c r="AF22" s="291"/>
      <c r="AG22" s="291"/>
      <c r="AH22" s="291"/>
      <c r="AI22" s="291"/>
      <c r="AJ22" s="291"/>
    </row>
    <row r="23" spans="1:36" s="88" customFormat="1" ht="21" customHeight="1" thickBot="1" x14ac:dyDescent="0.25">
      <c r="A23" s="521" t="str">
        <f>HLOOKUP('Output (1)'!$H$11,Traduções_ResSintese,ROW(),FALSE)</f>
        <v>Perdas aparentes</v>
      </c>
      <c r="B23" s="403">
        <f>'Input (5)'!D19</f>
        <v>0</v>
      </c>
      <c r="C23" s="532" t="str">
        <f>HLOOKUP('Output (1)'!$H$11,Traduções_ResSintese,2,FALSE)</f>
        <v>m3/ano</v>
      </c>
      <c r="D23" s="107" t="str">
        <f>IF(B23&gt;0,CONCATENATE(F23*100,"-",G23*100," %")," ")</f>
        <v xml:space="preserve"> </v>
      </c>
      <c r="F23" s="284" t="e">
        <f>'Input (5)'!J19</f>
        <v>#DIV/0!</v>
      </c>
      <c r="G23" s="295" t="e">
        <f>'Input (5)'!K19</f>
        <v>#DIV/0!</v>
      </c>
      <c r="H23" s="286" t="e">
        <f>F23*B23</f>
        <v>#DIV/0!</v>
      </c>
      <c r="I23" s="287" t="e">
        <f>G23*B23</f>
        <v>#DIV/0!</v>
      </c>
      <c r="J23" s="286" t="e">
        <f>F23*B23</f>
        <v>#DIV/0!</v>
      </c>
      <c r="K23" s="715" t="e">
        <f>G23*B23</f>
        <v>#DIV/0!</v>
      </c>
      <c r="L23" s="589"/>
      <c r="M23" s="589"/>
      <c r="N23" s="589"/>
      <c r="O23" s="291"/>
      <c r="P23" s="291"/>
      <c r="Q23" s="291"/>
      <c r="R23" s="291"/>
      <c r="S23" s="291"/>
      <c r="T23" s="291"/>
      <c r="U23" s="291"/>
      <c r="V23" s="291"/>
      <c r="W23" s="291"/>
      <c r="X23" s="291"/>
      <c r="Y23" s="291"/>
      <c r="Z23" s="291"/>
      <c r="AA23" s="668" t="s">
        <v>494</v>
      </c>
      <c r="AB23" s="668" t="s">
        <v>966</v>
      </c>
      <c r="AC23" s="668" t="s">
        <v>232</v>
      </c>
      <c r="AD23" s="291"/>
      <c r="AE23" s="291"/>
      <c r="AF23" s="291"/>
      <c r="AG23" s="291"/>
      <c r="AH23" s="291"/>
      <c r="AI23" s="291"/>
      <c r="AJ23" s="291"/>
    </row>
    <row r="24" spans="1:36" s="88" customFormat="1" ht="21" customHeight="1" thickBot="1" x14ac:dyDescent="0.25">
      <c r="A24" s="521" t="str">
        <f>HLOOKUP('Output (1)'!$H$11,Traduções_ResSintese,ROW(),FALSE)</f>
        <v>Perdas reais (1)</v>
      </c>
      <c r="B24" s="403">
        <f>B20-B23</f>
        <v>0</v>
      </c>
      <c r="C24" s="532" t="str">
        <f>HLOOKUP('Output (1)'!$H$11,Traduções_ResSintese,2,FALSE)</f>
        <v>m3/ano</v>
      </c>
      <c r="D24" s="107" t="str">
        <f>IF(B24&gt;0,CONCATENATE(F24*100,"-",G24*100," %")," ")</f>
        <v xml:space="preserve"> </v>
      </c>
      <c r="F24" s="288" t="e">
        <f>IF('Configuration options'!$A$16=1,INT(H24/$B24*100)/100,IF('Configuration options'!$A$16=2,INT(J24/$B24*100)/100,"Erro"))</f>
        <v>#DIV/0!</v>
      </c>
      <c r="G24" s="289" t="e">
        <f>IF('Configuration options'!$A$16=1,INT(I24/$B24*100)/100,IF('Configuration options'!$A$16=2,INT(K24/$B24*100)/100,"Erro"))</f>
        <v>#DIV/0!</v>
      </c>
      <c r="H24" s="290" t="e">
        <f>H20+H23</f>
        <v>#DIV/0!</v>
      </c>
      <c r="I24" s="290" t="e">
        <f>I20+I23</f>
        <v>#DIV/0!</v>
      </c>
      <c r="J24" s="290" t="e">
        <f>SQRT(J20^2+J23^2)</f>
        <v>#DIV/0!</v>
      </c>
      <c r="K24" s="717" t="e">
        <f>SQRT(K20^2+K23^2)</f>
        <v>#DIV/0!</v>
      </c>
      <c r="L24" s="589"/>
      <c r="M24" s="589"/>
      <c r="N24" s="589"/>
      <c r="O24" s="291"/>
      <c r="P24" s="291"/>
      <c r="Q24" s="291"/>
      <c r="R24" s="291"/>
      <c r="S24" s="291"/>
      <c r="T24" s="291"/>
      <c r="U24" s="291"/>
      <c r="V24" s="291"/>
      <c r="W24" s="291"/>
      <c r="X24" s="291"/>
      <c r="Y24" s="291"/>
      <c r="Z24" s="291"/>
      <c r="AA24" s="668" t="s">
        <v>548</v>
      </c>
      <c r="AB24" s="668" t="s">
        <v>967</v>
      </c>
      <c r="AC24" s="668" t="s">
        <v>233</v>
      </c>
      <c r="AD24" s="291"/>
      <c r="AE24" s="291"/>
      <c r="AF24" s="291"/>
      <c r="AG24" s="291"/>
      <c r="AH24" s="291"/>
      <c r="AI24" s="291"/>
      <c r="AJ24" s="291"/>
    </row>
    <row r="25" spans="1:36" s="88" customFormat="1" ht="21" customHeight="1" x14ac:dyDescent="0.2">
      <c r="A25" s="89" t="str">
        <f>HLOOKUP('Output (1)'!$H$11,Traduções_ResSintese,ROW(),FALSE)</f>
        <v>Fugas nas condutas de adução e/ou distribuição</v>
      </c>
      <c r="B25" s="401">
        <f>'Input (6)'!B5</f>
        <v>0</v>
      </c>
      <c r="C25" s="115" t="str">
        <f>HLOOKUP('Output (1)'!$H$11,Traduções_ResSintese,2,FALSE)</f>
        <v>m3/ano</v>
      </c>
      <c r="D25" s="108" t="str">
        <f>IF(B25&gt;0,IF('Input (6)'!F5='Input (6)'!K20,"0-5 %",IF('Input (6)'!F5='Input (6)'!K21,"6-20 %",IF('Input (6)'!F5='Input (6)'!K22,"21-50 %",IF('Input (6)'!F5='Input (6)'!K23,"51-100 %",IF('Input (6)'!F5='Input (6)'!K24,"101-300 %","erro")))))," ")</f>
        <v xml:space="preserve"> </v>
      </c>
      <c r="F25" s="291"/>
      <c r="G25" s="291"/>
      <c r="H25" s="291"/>
      <c r="I25" s="291"/>
      <c r="J25" s="291"/>
      <c r="K25" s="291"/>
      <c r="L25" s="588"/>
      <c r="M25" s="588"/>
      <c r="N25" s="588"/>
      <c r="O25" s="291"/>
      <c r="P25" s="291"/>
      <c r="Q25" s="291"/>
      <c r="R25" s="291"/>
      <c r="S25" s="291"/>
      <c r="T25" s="291"/>
      <c r="U25" s="291"/>
      <c r="V25" s="291"/>
      <c r="W25" s="291"/>
      <c r="X25" s="291"/>
      <c r="Y25" s="291"/>
      <c r="Z25" s="291"/>
      <c r="AA25" s="668" t="s">
        <v>497</v>
      </c>
      <c r="AB25" s="668" t="s">
        <v>968</v>
      </c>
      <c r="AC25" s="668" t="s">
        <v>234</v>
      </c>
      <c r="AD25" s="291"/>
      <c r="AE25" s="291"/>
      <c r="AF25" s="291"/>
      <c r="AG25" s="291"/>
      <c r="AH25" s="291"/>
      <c r="AI25" s="291"/>
      <c r="AJ25" s="291"/>
    </row>
    <row r="26" spans="1:36" s="88" customFormat="1" ht="21" customHeight="1" x14ac:dyDescent="0.2">
      <c r="A26" s="89" t="str">
        <f>HLOOKUP('Output (1)'!$H$11,Traduções_ResSintese,ROW(),FALSE)</f>
        <v>Fugas e extravasamentos nos reservatórios de adução e/ou distribuição</v>
      </c>
      <c r="B26" s="401">
        <f>'Input (6)'!B6</f>
        <v>0</v>
      </c>
      <c r="C26" s="115" t="str">
        <f>HLOOKUP('Output (1)'!$H$11,Traduções_ResSintese,2,FALSE)</f>
        <v>m3/ano</v>
      </c>
      <c r="D26" s="108" t="str">
        <f>IF(B26&gt;0,IF('Input (6)'!F6='Input (6)'!K20,"0-5 %",IF('Input (6)'!F6='Input (6)'!K21,"6-20 %",IF('Input (6)'!F6='Input (6)'!K22,"21-50 %",IF('Input (6)'!F6='Input (6)'!K23,"51-100 %",IF('Input (6)'!F6='Input (6)'!K24,"101-300 %","erro")))))," ")</f>
        <v xml:space="preserve"> </v>
      </c>
      <c r="F26" s="576"/>
      <c r="G26" s="576"/>
      <c r="H26" s="577"/>
      <c r="I26" s="575"/>
      <c r="J26" s="291"/>
      <c r="K26" s="291"/>
      <c r="L26" s="588"/>
      <c r="M26" s="588"/>
      <c r="N26" s="588"/>
      <c r="O26" s="291"/>
      <c r="P26" s="291"/>
      <c r="Q26" s="291"/>
      <c r="R26" s="291"/>
      <c r="S26" s="291"/>
      <c r="T26" s="291"/>
      <c r="U26" s="291"/>
      <c r="V26" s="291"/>
      <c r="W26" s="291"/>
      <c r="X26" s="291"/>
      <c r="Y26" s="291"/>
      <c r="Z26" s="291"/>
      <c r="AA26" s="668" t="s">
        <v>498</v>
      </c>
      <c r="AB26" s="668" t="s">
        <v>969</v>
      </c>
      <c r="AC26" s="668" t="s">
        <v>235</v>
      </c>
      <c r="AD26" s="291"/>
      <c r="AE26" s="291"/>
      <c r="AF26" s="291"/>
      <c r="AG26" s="291"/>
      <c r="AH26" s="291"/>
      <c r="AI26" s="291"/>
      <c r="AJ26" s="291"/>
    </row>
    <row r="27" spans="1:36" s="88" customFormat="1" ht="21" customHeight="1" x14ac:dyDescent="0.2">
      <c r="A27" s="89" t="str">
        <f>HLOOKUP('Output (1)'!$H$11,Traduções_ResSintese,ROW(),FALSE)</f>
        <v>Fugas nos ramais (a montante do ponto de medição)</v>
      </c>
      <c r="B27" s="401">
        <f>'Input (6)'!B7</f>
        <v>0</v>
      </c>
      <c r="C27" s="115" t="str">
        <f>HLOOKUP('Output (1)'!$H$11,Traduções_ResSintese,2,FALSE)</f>
        <v>m3/ano</v>
      </c>
      <c r="D27" s="108" t="str">
        <f>IF(B27&gt;0,IF('Input (6)'!F7='Input (6)'!K20,"0-5 %",IF('Input (6)'!F7='Input (6)'!K21,"6-20 %",IF('Input (6)'!F7='Input (6)'!K22,"21-50 %",IF('Input (6)'!F7='Input (6)'!K23,"51-100 %",IF('Input (6)'!F7='Input (6)'!K24,"101-300 %","erro")))))," ")</f>
        <v xml:space="preserve"> </v>
      </c>
      <c r="F27" s="583"/>
      <c r="G27" s="583"/>
      <c r="H27" s="583"/>
      <c r="I27" s="575"/>
      <c r="J27" s="291"/>
      <c r="K27" s="291"/>
      <c r="L27" s="588"/>
      <c r="M27" s="588"/>
      <c r="N27" s="588"/>
      <c r="O27" s="291"/>
      <c r="P27" s="291"/>
      <c r="Q27" s="291"/>
      <c r="R27" s="291"/>
      <c r="S27" s="291"/>
      <c r="T27" s="291"/>
      <c r="U27" s="291"/>
      <c r="V27" s="291"/>
      <c r="W27" s="291"/>
      <c r="X27" s="291"/>
      <c r="Y27" s="291"/>
      <c r="Z27" s="291"/>
      <c r="AA27" s="668" t="s">
        <v>499</v>
      </c>
      <c r="AB27" s="668" t="s">
        <v>970</v>
      </c>
      <c r="AC27" s="668" t="s">
        <v>236</v>
      </c>
      <c r="AD27" s="291"/>
      <c r="AE27" s="291"/>
      <c r="AF27" s="291"/>
      <c r="AG27" s="291"/>
      <c r="AH27" s="291"/>
      <c r="AI27" s="291"/>
      <c r="AJ27" s="291"/>
    </row>
    <row r="28" spans="1:36" s="88" customFormat="1" ht="21" customHeight="1" x14ac:dyDescent="0.2">
      <c r="A28" s="521" t="str">
        <f>HLOOKUP('Output (1)'!$H$11,Traduções_ResSintese,ROW(),FALSE)</f>
        <v>Perdas reais (2)</v>
      </c>
      <c r="B28" s="403">
        <f>'Input (6)'!B9</f>
        <v>0</v>
      </c>
      <c r="C28" s="532" t="str">
        <f>HLOOKUP('Output (1)'!$H$11,Traduções_ResSintese,2,FALSE)</f>
        <v>m3/ano</v>
      </c>
      <c r="D28" s="107" t="str">
        <f>'Input (6)'!F9</f>
        <v xml:space="preserve"> </v>
      </c>
      <c r="F28" s="575"/>
      <c r="G28" s="575"/>
      <c r="H28" s="575"/>
      <c r="I28" s="575"/>
      <c r="J28" s="573"/>
      <c r="K28" s="573"/>
      <c r="L28" s="589"/>
      <c r="M28" s="589"/>
      <c r="N28" s="589"/>
      <c r="O28" s="291"/>
      <c r="P28" s="291"/>
      <c r="Q28" s="291"/>
      <c r="R28" s="291"/>
      <c r="S28" s="291"/>
      <c r="T28" s="291"/>
      <c r="U28" s="291"/>
      <c r="V28" s="291"/>
      <c r="W28" s="291"/>
      <c r="X28" s="291"/>
      <c r="Y28" s="291"/>
      <c r="Z28" s="291"/>
      <c r="AA28" s="668" t="s">
        <v>547</v>
      </c>
      <c r="AB28" s="668" t="s">
        <v>971</v>
      </c>
      <c r="AC28" s="668" t="s">
        <v>237</v>
      </c>
      <c r="AD28" s="291"/>
      <c r="AE28" s="291"/>
      <c r="AF28" s="291"/>
      <c r="AG28" s="291"/>
      <c r="AH28" s="291"/>
      <c r="AI28" s="291"/>
      <c r="AJ28" s="291"/>
    </row>
    <row r="29" spans="1:36" ht="23.25" customHeight="1" x14ac:dyDescent="0.2">
      <c r="A29" s="522" t="str">
        <f>HLOOKUP('Output (1)'!$H$11,Traduções_ResSintese,ROW(),FALSE)</f>
        <v>Indicadores de desempenho:</v>
      </c>
      <c r="F29" s="576"/>
      <c r="G29" s="296"/>
      <c r="H29" s="296"/>
      <c r="I29" s="296"/>
      <c r="J29" s="316"/>
      <c r="K29" s="316"/>
      <c r="L29" s="586"/>
      <c r="M29" s="586"/>
      <c r="N29" s="586"/>
      <c r="O29" s="291"/>
      <c r="AA29" s="671" t="s">
        <v>565</v>
      </c>
      <c r="AB29" s="671" t="s">
        <v>972</v>
      </c>
      <c r="AC29" s="671" t="s">
        <v>238</v>
      </c>
    </row>
    <row r="30" spans="1:36" x14ac:dyDescent="0.2">
      <c r="A30" s="523" t="str">
        <f>HLOOKUP('Output (1)'!$H$11,Traduções_ResSintese,ROW(),FALSE)</f>
        <v>Ineficiência na utilização dos recursos hídricos</v>
      </c>
      <c r="B30" s="404" t="str">
        <f>'Output (3)'!B11</f>
        <v xml:space="preserve"> </v>
      </c>
      <c r="C30" s="116" t="s">
        <v>543</v>
      </c>
      <c r="D30" s="172" t="str">
        <f>'Output (3)'!D11</f>
        <v xml:space="preserve"> </v>
      </c>
      <c r="F30" s="576"/>
      <c r="G30" s="316"/>
      <c r="H30" s="316"/>
      <c r="I30" s="316"/>
      <c r="J30" s="316"/>
      <c r="K30" s="316"/>
      <c r="L30" s="296"/>
      <c r="M30" s="296"/>
      <c r="N30" s="296"/>
      <c r="O30" s="291"/>
      <c r="AA30" s="671" t="s">
        <v>576</v>
      </c>
      <c r="AB30" s="671" t="s">
        <v>988</v>
      </c>
      <c r="AC30" s="671" t="s">
        <v>239</v>
      </c>
    </row>
    <row r="31" spans="1:36" x14ac:dyDescent="0.2">
      <c r="A31" s="526" t="str">
        <f>HLOOKUP('Output (1)'!$H$11,Traduções_ResSintese,ROW(),FALSE)</f>
        <v>Perdas de água por comprimento de conduta</v>
      </c>
      <c r="B31" s="406" t="str">
        <f>'Output (3)'!B21</f>
        <v xml:space="preserve"> </v>
      </c>
      <c r="C31" s="176" t="str">
        <f>HLOOKUP('Output (1)'!$H$11,Traduções_ResSintese,4,FALSE)</f>
        <v>m3/km/dia</v>
      </c>
      <c r="D31" s="173" t="str">
        <f>'Output (3)'!D21</f>
        <v xml:space="preserve"> </v>
      </c>
      <c r="F31" s="577"/>
      <c r="G31" s="316"/>
      <c r="H31" s="316"/>
      <c r="I31" s="316"/>
      <c r="J31" s="316"/>
      <c r="K31" s="316"/>
      <c r="L31" s="296"/>
      <c r="M31" s="296"/>
      <c r="N31" s="296"/>
      <c r="O31" s="291"/>
      <c r="AA31" s="671" t="s">
        <v>102</v>
      </c>
      <c r="AB31" s="671" t="s">
        <v>984</v>
      </c>
      <c r="AC31" s="671" t="s">
        <v>240</v>
      </c>
    </row>
    <row r="32" spans="1:36" x14ac:dyDescent="0.2">
      <c r="A32" s="524" t="str">
        <f>HLOOKUP('Output (1)'!$H$11,Traduções_ResSintese,ROW(),FALSE)</f>
        <v>Perdas de água por ramal</v>
      </c>
      <c r="B32" s="405" t="str">
        <f>'Output (3)'!B16</f>
        <v xml:space="preserve"> </v>
      </c>
      <c r="C32" s="118" t="str">
        <f>HLOOKUP('Output (1)'!$H$11,Traduções_ResSintese,5,FALSE)</f>
        <v>m3/ramal/ano</v>
      </c>
      <c r="D32" s="174" t="str">
        <f>'Output (3)'!D16</f>
        <v xml:space="preserve"> </v>
      </c>
      <c r="F32" s="576"/>
      <c r="G32" s="571"/>
      <c r="H32" s="316"/>
      <c r="I32" s="316"/>
      <c r="J32" s="316"/>
      <c r="K32" s="316"/>
      <c r="L32" s="296"/>
      <c r="AA32" s="671" t="s">
        <v>707</v>
      </c>
      <c r="AB32" s="671" t="s">
        <v>711</v>
      </c>
      <c r="AC32" s="671" t="s">
        <v>241</v>
      </c>
    </row>
    <row r="33" spans="1:36" x14ac:dyDescent="0.2">
      <c r="A33" s="526" t="str">
        <f>HLOOKUP('Output (1)'!$H$11,Traduções_ResSintese,ROW(),FALSE)</f>
        <v xml:space="preserve">Perdas aparentes por volume de água entrada no sistema </v>
      </c>
      <c r="B33" s="406" t="str">
        <f>'Output (3)'!B25</f>
        <v xml:space="preserve"> </v>
      </c>
      <c r="C33" s="177" t="s">
        <v>543</v>
      </c>
      <c r="D33" s="173" t="str">
        <f>'Output (3)'!D25</f>
        <v xml:space="preserve"> </v>
      </c>
      <c r="F33" s="576"/>
      <c r="G33" s="572"/>
      <c r="H33" s="316"/>
      <c r="I33" s="316"/>
      <c r="J33" s="573"/>
      <c r="K33" s="316"/>
      <c r="L33" s="296"/>
      <c r="AA33" s="671" t="s">
        <v>708</v>
      </c>
      <c r="AB33" s="671" t="s">
        <v>986</v>
      </c>
      <c r="AC33" s="671" t="s">
        <v>242</v>
      </c>
    </row>
    <row r="34" spans="1:36" x14ac:dyDescent="0.2">
      <c r="A34" s="524" t="str">
        <f>HLOOKUP('Output (1)'!$H$11,Traduções_ResSintese,ROW(),FALSE)</f>
        <v>Perdas aparentes</v>
      </c>
      <c r="B34" s="405" t="str">
        <f>'Output (3)'!B29</f>
        <v xml:space="preserve"> </v>
      </c>
      <c r="C34" s="118" t="s">
        <v>543</v>
      </c>
      <c r="D34" s="174" t="str">
        <f>'Output (3)'!D29</f>
        <v xml:space="preserve"> </v>
      </c>
      <c r="F34" s="577"/>
      <c r="G34" s="296"/>
      <c r="H34" s="316"/>
      <c r="I34" s="316"/>
      <c r="J34" s="316"/>
      <c r="K34" s="316"/>
      <c r="L34" s="296"/>
      <c r="AA34" s="671" t="s">
        <v>494</v>
      </c>
      <c r="AB34" s="671" t="s">
        <v>978</v>
      </c>
      <c r="AC34" s="671" t="s">
        <v>232</v>
      </c>
    </row>
    <row r="35" spans="1:36" x14ac:dyDescent="0.2">
      <c r="A35" s="526" t="str">
        <f>HLOOKUP('Output (1)'!$H$11,Traduções_ResSintese,ROW(),FALSE)</f>
        <v>Perdas reais por comprimento de conduta</v>
      </c>
      <c r="B35" s="406" t="str">
        <f>'Output (3)'!B35</f>
        <v xml:space="preserve"> </v>
      </c>
      <c r="C35" s="177" t="str">
        <f>HLOOKUP('Output (1)'!$H$11,Traduções_ResSintese,41,FALSE)</f>
        <v>l/km/dia</v>
      </c>
      <c r="D35" s="173" t="str">
        <f>'Output (3)'!D35</f>
        <v xml:space="preserve"> </v>
      </c>
      <c r="F35" s="578"/>
      <c r="G35" s="586"/>
      <c r="H35" s="316"/>
      <c r="I35" s="316"/>
      <c r="J35" s="316"/>
      <c r="K35" s="316"/>
      <c r="L35" s="296"/>
      <c r="M35" s="296"/>
      <c r="N35" s="296"/>
      <c r="O35" s="291"/>
      <c r="AA35" s="671" t="s">
        <v>561</v>
      </c>
      <c r="AB35" s="671" t="s">
        <v>974</v>
      </c>
      <c r="AC35" s="671" t="s">
        <v>243</v>
      </c>
    </row>
    <row r="36" spans="1:36" s="530" customFormat="1" x14ac:dyDescent="0.2">
      <c r="A36" s="529" t="str">
        <f>HLOOKUP('Output (1)'!$H$11,Traduções_ResSintese,ROW(),FALSE)</f>
        <v>Perdas reais por ramal</v>
      </c>
      <c r="B36" s="405" t="str">
        <f>'Output (3)'!B40</f>
        <v xml:space="preserve"> </v>
      </c>
      <c r="C36" s="118" t="str">
        <f>HLOOKUP('Output (1)'!$H$11,Traduções_ResSintese,42,FALSE)</f>
        <v>l/ramal/dia</v>
      </c>
      <c r="D36" s="174" t="str">
        <f>'Output (3)'!D40</f>
        <v xml:space="preserve"> </v>
      </c>
      <c r="F36" s="578"/>
      <c r="G36" s="586"/>
      <c r="H36" s="531"/>
      <c r="I36" s="574"/>
      <c r="J36" s="574"/>
      <c r="K36" s="574"/>
      <c r="L36" s="590"/>
      <c r="M36" s="590"/>
      <c r="N36" s="590"/>
      <c r="O36" s="291"/>
      <c r="P36" s="531"/>
      <c r="Q36" s="531"/>
      <c r="R36" s="531"/>
      <c r="S36" s="531"/>
      <c r="T36" s="531"/>
      <c r="U36" s="531"/>
      <c r="V36" s="531"/>
      <c r="W36" s="531"/>
      <c r="X36" s="531"/>
      <c r="Y36" s="531"/>
      <c r="Z36" s="531"/>
      <c r="AA36" s="671" t="s">
        <v>590</v>
      </c>
      <c r="AB36" s="671" t="s">
        <v>992</v>
      </c>
      <c r="AC36" s="671" t="s">
        <v>244</v>
      </c>
      <c r="AD36" s="531"/>
      <c r="AE36" s="531"/>
      <c r="AF36" s="531"/>
      <c r="AG36" s="531"/>
      <c r="AH36" s="531"/>
      <c r="AI36" s="531"/>
      <c r="AJ36" s="531"/>
    </row>
    <row r="37" spans="1:36" x14ac:dyDescent="0.2">
      <c r="A37" s="526" t="str">
        <f>HLOOKUP('Output (1)'!$H$11,Traduções_ResSintese,ROW(),FALSE)</f>
        <v>Índice infra-estrutural de fugas</v>
      </c>
      <c r="B37" s="407" t="str">
        <f>'Output (3)'!B45</f>
        <v xml:space="preserve"> </v>
      </c>
      <c r="C37" s="177" t="s">
        <v>564</v>
      </c>
      <c r="D37" s="174" t="str">
        <f>'Output (3)'!D45</f>
        <v xml:space="preserve"> </v>
      </c>
      <c r="F37" s="579"/>
      <c r="G37" s="298"/>
      <c r="H37" s="316"/>
      <c r="I37" s="316"/>
      <c r="J37" s="316"/>
      <c r="K37" s="316"/>
      <c r="L37" s="296"/>
      <c r="M37" s="296"/>
      <c r="N37" s="296"/>
      <c r="O37" s="291"/>
      <c r="AA37" s="671" t="s">
        <v>709</v>
      </c>
      <c r="AB37" s="671" t="s">
        <v>712</v>
      </c>
      <c r="AC37" s="671" t="s">
        <v>245</v>
      </c>
    </row>
    <row r="38" spans="1:36" x14ac:dyDescent="0.2">
      <c r="A38" s="524" t="str">
        <f>HLOOKUP('Output (1)'!$H$11,Traduções_ResSintese,ROW(),FALSE)</f>
        <v>Água não facturada em termos de volume</v>
      </c>
      <c r="B38" s="408" t="str">
        <f>'Output (3)'!B53</f>
        <v xml:space="preserve"> </v>
      </c>
      <c r="C38" s="118" t="s">
        <v>543</v>
      </c>
      <c r="D38" s="174" t="str">
        <f>'Output (3)'!D53</f>
        <v xml:space="preserve"> </v>
      </c>
      <c r="L38" s="296"/>
      <c r="M38" s="296"/>
      <c r="N38" s="296"/>
      <c r="O38" s="291"/>
      <c r="AA38" s="671" t="s">
        <v>710</v>
      </c>
      <c r="AB38" s="671" t="s">
        <v>713</v>
      </c>
      <c r="AC38" s="671" t="s">
        <v>246</v>
      </c>
    </row>
    <row r="39" spans="1:36" x14ac:dyDescent="0.2">
      <c r="A39" s="526" t="str">
        <f>HLOOKUP('Output (1)'!$H$11,Traduções_ResSintese,ROW(),FALSE)</f>
        <v>Água não facturada em termos de custo</v>
      </c>
      <c r="B39" s="409" t="str">
        <f>'Output (3)'!B57</f>
        <v xml:space="preserve"> </v>
      </c>
      <c r="C39" s="177" t="s">
        <v>543</v>
      </c>
      <c r="D39" s="174" t="str">
        <f>'Output (3)'!D57</f>
        <v xml:space="preserve"> </v>
      </c>
      <c r="G39" s="584"/>
      <c r="I39" s="298"/>
      <c r="J39" s="298"/>
      <c r="L39" s="296"/>
      <c r="M39" s="296"/>
      <c r="N39" s="296"/>
      <c r="O39" s="291"/>
      <c r="AA39" s="671" t="s">
        <v>715</v>
      </c>
      <c r="AB39" s="671" t="s">
        <v>1014</v>
      </c>
      <c r="AC39" s="671" t="s">
        <v>247</v>
      </c>
    </row>
    <row r="40" spans="1:36" x14ac:dyDescent="0.2">
      <c r="A40" s="525" t="str">
        <f>HLOOKUP('Output (1)'!$H$11,Traduções_ResSintese,ROW(),FALSE)</f>
        <v>Água não medida</v>
      </c>
      <c r="B40" s="410" t="str">
        <f>'Output (3)'!B68</f>
        <v xml:space="preserve"> </v>
      </c>
      <c r="C40" s="119" t="s">
        <v>543</v>
      </c>
      <c r="D40" s="175" t="str">
        <f>'Output (3)'!D68</f>
        <v xml:space="preserve"> </v>
      </c>
      <c r="F40" s="576"/>
      <c r="G40" s="584"/>
      <c r="I40" s="585"/>
      <c r="J40" s="585"/>
      <c r="L40" s="296"/>
      <c r="M40" s="296"/>
      <c r="N40" s="296"/>
      <c r="O40" s="291"/>
      <c r="AA40" s="671" t="s">
        <v>592</v>
      </c>
      <c r="AB40" s="671" t="s">
        <v>714</v>
      </c>
      <c r="AC40" s="671" t="s">
        <v>248</v>
      </c>
    </row>
    <row r="41" spans="1:36" x14ac:dyDescent="0.2">
      <c r="F41" s="576"/>
      <c r="G41" s="298"/>
      <c r="I41" s="585"/>
      <c r="J41" s="585"/>
      <c r="L41" s="296"/>
      <c r="Z41" s="265" t="s">
        <v>97</v>
      </c>
      <c r="AA41" s="265" t="s">
        <v>563</v>
      </c>
      <c r="AB41" s="265" t="s">
        <v>80</v>
      </c>
      <c r="AC41" s="265" t="s">
        <v>249</v>
      </c>
    </row>
    <row r="42" spans="1:36" s="639" customFormat="1" x14ac:dyDescent="0.2">
      <c r="A42" s="646"/>
      <c r="F42" s="641"/>
      <c r="G42" s="647"/>
      <c r="H42" s="640"/>
      <c r="I42" s="647"/>
      <c r="J42" s="647"/>
      <c r="K42" s="640"/>
      <c r="L42" s="635"/>
      <c r="M42" s="640"/>
      <c r="N42" s="640"/>
      <c r="O42" s="640"/>
      <c r="P42" s="640"/>
      <c r="Q42" s="640"/>
      <c r="R42" s="640"/>
      <c r="S42" s="640"/>
      <c r="T42" s="640"/>
      <c r="U42" s="640"/>
      <c r="V42" s="640"/>
      <c r="W42" s="640"/>
      <c r="X42" s="640"/>
      <c r="Y42" s="640"/>
      <c r="Z42" s="640" t="s">
        <v>98</v>
      </c>
      <c r="AA42" s="640" t="s">
        <v>562</v>
      </c>
      <c r="AB42" s="640" t="s">
        <v>1013</v>
      </c>
      <c r="AC42" s="640" t="s">
        <v>250</v>
      </c>
      <c r="AD42" s="640"/>
      <c r="AE42" s="640"/>
      <c r="AF42" s="640"/>
      <c r="AG42" s="640"/>
      <c r="AH42" s="640"/>
      <c r="AI42" s="640"/>
      <c r="AJ42" s="640"/>
    </row>
    <row r="43" spans="1:36" s="639" customFormat="1" x14ac:dyDescent="0.2">
      <c r="A43" s="646"/>
      <c r="F43" s="635"/>
      <c r="G43" s="640"/>
      <c r="H43" s="640"/>
      <c r="I43" s="640"/>
      <c r="J43" s="640"/>
      <c r="K43" s="640"/>
      <c r="L43" s="640"/>
      <c r="M43" s="640"/>
      <c r="N43" s="640"/>
      <c r="O43" s="640"/>
      <c r="P43" s="640"/>
      <c r="Q43" s="640"/>
      <c r="R43" s="640"/>
      <c r="S43" s="640"/>
      <c r="T43" s="640"/>
      <c r="U43" s="640"/>
      <c r="V43" s="640"/>
      <c r="W43" s="640"/>
      <c r="X43" s="640"/>
      <c r="Y43" s="640"/>
      <c r="Z43" s="632" t="s">
        <v>901</v>
      </c>
      <c r="AA43" s="576" t="s">
        <v>912</v>
      </c>
      <c r="AB43" s="631" t="s">
        <v>913</v>
      </c>
      <c r="AC43" s="631" t="s">
        <v>251</v>
      </c>
      <c r="AD43" s="640"/>
      <c r="AE43" s="640"/>
      <c r="AF43" s="640"/>
      <c r="AG43" s="640"/>
      <c r="AH43" s="640"/>
      <c r="AI43" s="640"/>
      <c r="AJ43" s="640"/>
    </row>
    <row r="44" spans="1:36" ht="63.75" x14ac:dyDescent="0.2">
      <c r="A44" s="17"/>
      <c r="F44" s="296"/>
      <c r="Z44" s="641" t="s">
        <v>915</v>
      </c>
      <c r="AA44" s="645" t="s">
        <v>259</v>
      </c>
      <c r="AB44" s="645" t="s">
        <v>260</v>
      </c>
      <c r="AC44" s="645" t="s">
        <v>252</v>
      </c>
    </row>
    <row r="45" spans="1:36" ht="25.5" x14ac:dyDescent="0.2">
      <c r="A45" s="17"/>
      <c r="F45" s="296"/>
      <c r="Z45" s="641" t="s">
        <v>916</v>
      </c>
      <c r="AA45" s="635" t="s">
        <v>258</v>
      </c>
      <c r="AB45" s="635" t="s">
        <v>257</v>
      </c>
      <c r="AC45" s="635" t="s">
        <v>253</v>
      </c>
    </row>
    <row r="46" spans="1:36" x14ac:dyDescent="0.2">
      <c r="A46" s="17"/>
    </row>
    <row r="47" spans="1:36" x14ac:dyDescent="0.2">
      <c r="A47" s="17"/>
    </row>
    <row r="48" spans="1:36" x14ac:dyDescent="0.2">
      <c r="A48" s="17"/>
    </row>
    <row r="49" spans="1:1" x14ac:dyDescent="0.2">
      <c r="A49" s="17"/>
    </row>
    <row r="50" spans="1:1" x14ac:dyDescent="0.2">
      <c r="A50" s="17"/>
    </row>
    <row r="51" spans="1:1" x14ac:dyDescent="0.2">
      <c r="A51" s="17"/>
    </row>
  </sheetData>
  <sheetProtection sheet="1" objects="1" scenarios="1"/>
  <mergeCells count="6">
    <mergeCell ref="A1:D1"/>
    <mergeCell ref="A2:D2"/>
    <mergeCell ref="B9:B10"/>
    <mergeCell ref="C9:C10"/>
    <mergeCell ref="A6:B6"/>
    <mergeCell ref="A3:D3"/>
  </mergeCells>
  <phoneticPr fontId="8" type="noConversion"/>
  <conditionalFormatting sqref="C32">
    <cfRule type="expression" dxfId="1" priority="1" stopIfTrue="1">
      <formula>IF($A$11=1,2,1)</formula>
    </cfRule>
  </conditionalFormatting>
  <pageMargins left="0.75" right="0.75" top="0.74" bottom="1" header="0.5" footer="0.5"/>
  <pageSetup paperSize="9" orientation="portrait"/>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47"/>
  </sheetPr>
  <dimension ref="A1:AJ86"/>
  <sheetViews>
    <sheetView topLeftCell="A40" zoomScale="125" zoomScaleNormal="125" zoomScalePageLayoutView="125" workbookViewId="0">
      <selection activeCell="B57" sqref="B57"/>
    </sheetView>
  </sheetViews>
  <sheetFormatPr defaultColWidth="8.85546875" defaultRowHeight="12.75" x14ac:dyDescent="0.2"/>
  <cols>
    <col min="1" max="1" width="50.42578125" customWidth="1"/>
    <col min="2" max="2" width="10.140625" style="147" bestFit="1" customWidth="1"/>
    <col min="3" max="3" width="11" style="147" customWidth="1"/>
    <col min="4" max="4" width="14.28515625" style="133" customWidth="1"/>
    <col min="5" max="5" width="3.42578125" customWidth="1"/>
    <col min="6" max="7" width="9.7109375" style="265" hidden="1" customWidth="1"/>
    <col min="8" max="9" width="9.140625" style="265" hidden="1" customWidth="1"/>
    <col min="10" max="10" width="9.140625" style="296" hidden="1" customWidth="1"/>
    <col min="11" max="11" width="11.85546875" style="265" hidden="1" customWidth="1"/>
    <col min="12" max="12" width="5" style="298" hidden="1" customWidth="1"/>
    <col min="13" max="13" width="9.42578125" style="265" hidden="1" customWidth="1"/>
    <col min="14" max="14" width="15.85546875" style="265" hidden="1" customWidth="1"/>
    <col min="15" max="15" width="15" style="265" hidden="1" customWidth="1"/>
    <col min="16" max="17" width="11.85546875" style="265" hidden="1" customWidth="1"/>
    <col min="18" max="18" width="11.85546875" style="324" hidden="1" customWidth="1"/>
    <col min="19" max="19" width="12.85546875" style="265" hidden="1" customWidth="1"/>
    <col min="20" max="23" width="11.85546875" style="265" hidden="1" customWidth="1"/>
    <col min="24" max="26" width="9.140625" style="265" hidden="1" customWidth="1"/>
    <col min="27" max="28" width="63.7109375" style="265" hidden="1" customWidth="1"/>
    <col min="29" max="29" width="63" style="265" hidden="1" customWidth="1"/>
    <col min="30" max="36" width="9.140625" style="265" hidden="1" customWidth="1"/>
  </cols>
  <sheetData>
    <row r="1" spans="1:29" ht="18" x14ac:dyDescent="0.25">
      <c r="A1" s="756">
        <f>'Input (1)'!B4</f>
        <v>0</v>
      </c>
      <c r="B1" s="756"/>
      <c r="C1" s="756"/>
      <c r="D1" s="756"/>
      <c r="F1" s="296"/>
      <c r="G1" s="576"/>
      <c r="H1" s="576"/>
      <c r="I1" s="577"/>
      <c r="Z1" s="265" t="str">
        <f>'Output (1)'!H11</f>
        <v>Português</v>
      </c>
      <c r="AA1" s="661" t="str">
        <f>'Output (1)'!AA1</f>
        <v>Português</v>
      </c>
      <c r="AB1" s="661" t="str">
        <f>'Output (1)'!AB1</f>
        <v>English</v>
      </c>
      <c r="AC1" s="661" t="str">
        <f>'Output (1)'!AC1</f>
        <v>Español</v>
      </c>
    </row>
    <row r="2" spans="1:29" ht="18" x14ac:dyDescent="0.25">
      <c r="A2" s="757">
        <f>'Input (1)'!B5</f>
        <v>0</v>
      </c>
      <c r="B2" s="757"/>
      <c r="C2" s="757"/>
      <c r="D2" s="757"/>
      <c r="F2" s="298"/>
      <c r="G2" s="583"/>
      <c r="H2" s="583"/>
      <c r="I2" s="583"/>
      <c r="K2" s="576"/>
      <c r="L2" s="296"/>
      <c r="M2" s="591"/>
      <c r="N2" s="591"/>
      <c r="O2" s="591"/>
    </row>
    <row r="3" spans="1:29" ht="29.25" customHeight="1" x14ac:dyDescent="0.25">
      <c r="A3" s="767" t="str">
        <f>HLOOKUP('Output (1)'!$H$11,Traduções_ResIndicadores,ROW(),FALSE)</f>
        <v>Indicadores de perdas recomendados pela IWA</v>
      </c>
      <c r="B3" s="767" t="e">
        <f>HLOOKUP('Output (1)'!D11,Traduções_ResSintese,ROW(),FALSE)</f>
        <v>#N/A</v>
      </c>
      <c r="C3" s="767" t="e">
        <f>HLOOKUP('Output (1)'!E11,Traduções_ResSintese,ROW(),FALSE)</f>
        <v>#N/A</v>
      </c>
      <c r="D3" s="767" t="e">
        <f>HLOOKUP('Output (1)'!F11,Traduções_ResSintese,ROW(),FALSE)</f>
        <v>#N/A</v>
      </c>
      <c r="F3" s="590"/>
      <c r="G3" s="593"/>
      <c r="H3" s="593"/>
      <c r="I3" s="594"/>
      <c r="K3" s="576"/>
      <c r="L3" s="296"/>
      <c r="M3" s="590"/>
      <c r="N3" s="590"/>
      <c r="O3" s="590"/>
      <c r="AA3" s="296" t="s">
        <v>569</v>
      </c>
      <c r="AB3" s="296" t="s">
        <v>1012</v>
      </c>
      <c r="AC3" s="296" t="s">
        <v>254</v>
      </c>
    </row>
    <row r="4" spans="1:29" ht="29.25" customHeight="1" x14ac:dyDescent="0.25">
      <c r="A4" s="12"/>
      <c r="B4" s="146"/>
      <c r="C4" s="146"/>
      <c r="F4" s="590"/>
      <c r="G4" s="593"/>
      <c r="H4" s="593"/>
      <c r="I4" s="297"/>
      <c r="J4" s="297"/>
      <c r="K4" s="577"/>
      <c r="L4" s="297"/>
      <c r="M4" s="296"/>
      <c r="N4" s="296"/>
      <c r="O4" s="296"/>
      <c r="Z4" s="265" t="s">
        <v>99</v>
      </c>
      <c r="AA4" s="584" t="s">
        <v>472</v>
      </c>
      <c r="AB4" s="584" t="s">
        <v>81</v>
      </c>
      <c r="AC4" s="584" t="s">
        <v>255</v>
      </c>
    </row>
    <row r="5" spans="1:29" ht="18" customHeight="1" x14ac:dyDescent="0.2">
      <c r="A5" s="21">
        <f>'Input (1)'!B8</f>
        <v>0</v>
      </c>
      <c r="C5" s="148"/>
      <c r="F5" s="590"/>
      <c r="G5" s="593"/>
      <c r="H5" s="593"/>
      <c r="I5" s="590"/>
      <c r="K5" s="576"/>
      <c r="L5" s="296"/>
      <c r="M5" s="592"/>
      <c r="N5" s="296"/>
      <c r="O5" s="296"/>
      <c r="Z5" s="265" t="s">
        <v>101</v>
      </c>
      <c r="AA5" s="584" t="s">
        <v>575</v>
      </c>
      <c r="AB5" s="584" t="s">
        <v>82</v>
      </c>
      <c r="AC5" s="584" t="s">
        <v>726</v>
      </c>
    </row>
    <row r="6" spans="1:29" x14ac:dyDescent="0.2">
      <c r="A6" s="766" t="str">
        <f>CONCATENATE(HLOOKUP('Output (1)'!$H$11,Traduções_ResIndicadores,ROW(),FALSE),'Input (1)'!B13)</f>
        <v xml:space="preserve">Período: </v>
      </c>
      <c r="B6" s="766" t="e">
        <f>HLOOKUP('Output (1)'!D14,Traduções_ResSintese,ROW(),FALSE)</f>
        <v>#N/A</v>
      </c>
      <c r="C6" s="148"/>
      <c r="F6" s="590"/>
      <c r="G6" s="593"/>
      <c r="H6" s="593"/>
      <c r="I6" s="590"/>
      <c r="K6" s="576"/>
      <c r="L6" s="296"/>
      <c r="M6" s="296"/>
      <c r="N6" s="296"/>
      <c r="O6" s="296"/>
      <c r="AA6" s="298" t="s">
        <v>84</v>
      </c>
      <c r="AB6" s="298" t="s">
        <v>85</v>
      </c>
      <c r="AC6" s="298" t="s">
        <v>727</v>
      </c>
    </row>
    <row r="7" spans="1:29" x14ac:dyDescent="0.2">
      <c r="F7" s="296"/>
      <c r="G7" s="584"/>
      <c r="H7" s="584"/>
      <c r="I7" s="296"/>
      <c r="K7" s="577"/>
      <c r="L7" s="296"/>
      <c r="M7" s="296"/>
      <c r="N7" s="296"/>
      <c r="O7" s="296"/>
      <c r="Z7" s="265" t="s">
        <v>100</v>
      </c>
      <c r="AA7" s="584" t="s">
        <v>535</v>
      </c>
      <c r="AB7" s="584" t="s">
        <v>83</v>
      </c>
      <c r="AC7" s="584" t="s">
        <v>728</v>
      </c>
    </row>
    <row r="8" spans="1:29" ht="13.5" thickBot="1" x14ac:dyDescent="0.25">
      <c r="F8" s="296"/>
      <c r="G8" s="584"/>
      <c r="H8" s="584"/>
      <c r="I8" s="296"/>
      <c r="K8" s="296"/>
      <c r="L8" s="296"/>
      <c r="M8" s="296"/>
      <c r="N8" s="296"/>
      <c r="O8" s="296"/>
    </row>
    <row r="9" spans="1:29" ht="13.5" thickBot="1" x14ac:dyDescent="0.25">
      <c r="D9" s="134" t="str">
        <f>HLOOKUP('Output (1)'!$H$11,Traduções_ResIndicadores,ROW(),FALSE)</f>
        <v>Exactidão</v>
      </c>
      <c r="F9" s="296"/>
      <c r="G9" s="584"/>
      <c r="H9" s="584"/>
      <c r="I9" s="296"/>
      <c r="M9" s="433"/>
      <c r="N9" s="431"/>
      <c r="AA9" s="592" t="s">
        <v>423</v>
      </c>
      <c r="AB9" s="672" t="s">
        <v>894</v>
      </c>
      <c r="AC9" s="672" t="s">
        <v>729</v>
      </c>
    </row>
    <row r="10" spans="1:29" ht="16.5" thickBot="1" x14ac:dyDescent="0.25">
      <c r="A10" s="103" t="str">
        <f>HLOOKUP('Output (1)'!$H$11,Traduções_ResIndicadores,ROW(),FALSE)</f>
        <v>Indicadores de recursos hídricos</v>
      </c>
      <c r="B10" s="149"/>
      <c r="C10" s="149"/>
      <c r="D10" s="135"/>
      <c r="F10" s="266" t="s">
        <v>7</v>
      </c>
      <c r="G10" s="267" t="s">
        <v>560</v>
      </c>
      <c r="H10" s="268" t="s">
        <v>614</v>
      </c>
      <c r="I10" s="269" t="s">
        <v>615</v>
      </c>
      <c r="J10" s="270" t="s">
        <v>616</v>
      </c>
      <c r="K10" s="271" t="s">
        <v>617</v>
      </c>
      <c r="L10" s="297"/>
      <c r="M10" s="768" t="s">
        <v>56</v>
      </c>
      <c r="N10" s="769"/>
      <c r="O10" s="770"/>
      <c r="AA10" s="672" t="s">
        <v>506</v>
      </c>
      <c r="AB10" s="693" t="s">
        <v>990</v>
      </c>
      <c r="AC10" s="693" t="s">
        <v>506</v>
      </c>
    </row>
    <row r="11" spans="1:29" ht="13.5" thickBot="1" x14ac:dyDescent="0.25">
      <c r="A11" s="124" t="str">
        <f>HLOOKUP('Output (1)'!$H$11,Traduções_ResIndicadores,ROW(),FALSE)</f>
        <v>Ineficiência na utilização dos recursos hídricos</v>
      </c>
      <c r="B11" s="150" t="str">
        <f>IF(B13&gt;0,B14/B13*100," ")</f>
        <v xml:space="preserve"> </v>
      </c>
      <c r="C11" s="151" t="s">
        <v>543</v>
      </c>
      <c r="D11" s="136" t="str">
        <f>IF(B13&gt;0,CONCATENATE(F11*100,"-",G11*100," %")," ")</f>
        <v xml:space="preserve"> </v>
      </c>
      <c r="F11" s="288" t="e">
        <f>IF('Configuration options'!$A$16=1,H11,IF('Configuration options'!$A$16=2,J11,"Erro"))</f>
        <v>#DIV/0!</v>
      </c>
      <c r="G11" s="289" t="e">
        <f>IF('Configuration options'!$A$16=1,I11,IF('Configuration options'!$A$16=2,K11,"Erro"))</f>
        <v>#DIV/0!</v>
      </c>
      <c r="H11" s="299" t="e">
        <f>H13+H14</f>
        <v>#DIV/0!</v>
      </c>
      <c r="I11" s="300" t="e">
        <f>I13+I14</f>
        <v>#DIV/0!</v>
      </c>
      <c r="J11" s="299" t="e">
        <f>INT(SQRT(J13^2+J14^2)*100)/100</f>
        <v>#DIV/0!</v>
      </c>
      <c r="K11" s="301" t="e">
        <f>INT(SQRT(K13^2+K14^2)*100)/100</f>
        <v>#DIV/0!</v>
      </c>
      <c r="L11" s="476"/>
      <c r="M11" s="446" t="str">
        <f>CONCATENATE('Configuration options'!E6, "-",'Configuration options'!G6*100," %")</f>
        <v>0-5 %</v>
      </c>
      <c r="N11" s="447">
        <f>'Configuration options'!E6/100</f>
        <v>0</v>
      </c>
      <c r="O11" s="448">
        <f>'Configuration options'!G6</f>
        <v>0.05</v>
      </c>
      <c r="AA11" s="631" t="s">
        <v>576</v>
      </c>
      <c r="AB11" s="694" t="s">
        <v>988</v>
      </c>
      <c r="AC11" s="694" t="s">
        <v>730</v>
      </c>
    </row>
    <row r="12" spans="1:29" x14ac:dyDescent="0.2">
      <c r="A12" s="101" t="str">
        <f>HLOOKUP('Output (1)'!$H$11,Traduções_ResIndicadores,ROW(),FALSE)</f>
        <v>WR1 = A19 / A3 x 100</v>
      </c>
      <c r="B12" s="100"/>
      <c r="C12" s="100"/>
      <c r="D12" s="171"/>
      <c r="H12" s="436"/>
      <c r="I12" s="437"/>
      <c r="J12" s="436"/>
      <c r="K12" s="437"/>
      <c r="L12" s="477"/>
      <c r="M12" s="449" t="str">
        <f>CONCATENATE('Configuration options'!E7, "-",'Configuration options'!G7*100," %")</f>
        <v>6-20 %</v>
      </c>
      <c r="N12" s="450">
        <f>'Configuration options'!E7/100</f>
        <v>6.0000000000000012E-2</v>
      </c>
      <c r="O12" s="451">
        <f>'Configuration options'!G7</f>
        <v>0.2</v>
      </c>
      <c r="P12" s="432"/>
      <c r="AA12" s="278" t="s">
        <v>566</v>
      </c>
      <c r="AB12" s="278" t="s">
        <v>566</v>
      </c>
      <c r="AC12" s="278" t="s">
        <v>566</v>
      </c>
    </row>
    <row r="13" spans="1:29" x14ac:dyDescent="0.2">
      <c r="A13" s="101" t="str">
        <f>HLOOKUP('Output (1)'!$H$11,Traduções_ResIndicadores,ROW(),FALSE)</f>
        <v>A3 - Água entrada no sistema</v>
      </c>
      <c r="B13" s="411">
        <f>'Output (2)'!B9</f>
        <v>0</v>
      </c>
      <c r="C13" s="152" t="str">
        <f>'Output (2)'!$C$9</f>
        <v>m3/ano</v>
      </c>
      <c r="D13" s="138" t="str">
        <f>'Output (2)'!D9</f>
        <v xml:space="preserve"> </v>
      </c>
      <c r="H13" s="302">
        <f>'Input (2)'!$H$11</f>
        <v>0</v>
      </c>
      <c r="I13" s="303">
        <f>'Input (2)'!$I$11</f>
        <v>0</v>
      </c>
      <c r="J13" s="302">
        <f>'Input (2)'!$H$11</f>
        <v>0</v>
      </c>
      <c r="K13" s="303">
        <f>'Input (2)'!$I$11</f>
        <v>0</v>
      </c>
      <c r="L13" s="478"/>
      <c r="M13" s="452" t="str">
        <f>CONCATENATE('Configuration options'!E8, "-",'Configuration options'!G8*100," %")</f>
        <v>21-50 %</v>
      </c>
      <c r="N13" s="450">
        <f>'Configuration options'!E8/100</f>
        <v>0.21000000000000005</v>
      </c>
      <c r="O13" s="453">
        <f>'Configuration options'!G8</f>
        <v>0.5</v>
      </c>
      <c r="AA13" s="278" t="s">
        <v>578</v>
      </c>
      <c r="AB13" s="278" t="s">
        <v>980</v>
      </c>
      <c r="AC13" s="278" t="s">
        <v>731</v>
      </c>
    </row>
    <row r="14" spans="1:29" ht="13.5" customHeight="1" thickBot="1" x14ac:dyDescent="0.25">
      <c r="A14" s="101" t="str">
        <f>HLOOKUP('Output (1)'!$H$11,Traduções_ResIndicadores,ROW(),FALSE)</f>
        <v>A19 - Perdas reais</v>
      </c>
      <c r="B14" s="412">
        <f>'Output (2)'!B24</f>
        <v>0</v>
      </c>
      <c r="C14" s="534" t="str">
        <f>'Output (2)'!$C$9</f>
        <v>m3/ano</v>
      </c>
      <c r="D14" s="138" t="str">
        <f>'Output (2)'!D24</f>
        <v xml:space="preserve"> </v>
      </c>
      <c r="H14" s="304" t="e">
        <f>'Output (2)'!$F$24</f>
        <v>#DIV/0!</v>
      </c>
      <c r="I14" s="305" t="e">
        <f>'Output (2)'!$G$24</f>
        <v>#DIV/0!</v>
      </c>
      <c r="J14" s="304" t="e">
        <f>'Output (2)'!$F$24</f>
        <v>#DIV/0!</v>
      </c>
      <c r="K14" s="305" t="e">
        <f>'Output (2)'!$G$24</f>
        <v>#DIV/0!</v>
      </c>
      <c r="L14" s="478"/>
      <c r="M14" s="452" t="str">
        <f>CONCATENATE('Configuration options'!E9, "-",'Configuration options'!G9*100," %")</f>
        <v>51-100 %</v>
      </c>
      <c r="N14" s="450">
        <f>'Configuration options'!E9/100</f>
        <v>0.51</v>
      </c>
      <c r="O14" s="453">
        <f>'Configuration options'!G9</f>
        <v>1</v>
      </c>
      <c r="AA14" s="278" t="s">
        <v>579</v>
      </c>
      <c r="AB14" s="278" t="s">
        <v>979</v>
      </c>
      <c r="AC14" s="278" t="s">
        <v>732</v>
      </c>
    </row>
    <row r="15" spans="1:29" ht="13.5" customHeight="1" thickBot="1" x14ac:dyDescent="0.25">
      <c r="A15" s="103" t="str">
        <f>HLOOKUP('Output (1)'!$H$11,Traduções_ResIndicadores,ROW(),FALSE)</f>
        <v>Indicadores operacionais</v>
      </c>
      <c r="B15" s="149"/>
      <c r="C15" s="149"/>
      <c r="D15" s="135"/>
      <c r="H15" s="438"/>
      <c r="I15" s="438"/>
      <c r="J15" s="306"/>
      <c r="K15" s="439"/>
      <c r="L15" s="477"/>
      <c r="M15" s="454" t="str">
        <f>CONCATENATE('Configuration options'!E10, "-",'Configuration options'!G10*100," %")</f>
        <v>101-300 %</v>
      </c>
      <c r="N15" s="455">
        <f>'Configuration options'!E10/100</f>
        <v>1.01</v>
      </c>
      <c r="O15" s="456">
        <f>'Configuration options'!G10</f>
        <v>3</v>
      </c>
      <c r="AA15" s="672" t="s">
        <v>507</v>
      </c>
      <c r="AB15" s="694" t="s">
        <v>989</v>
      </c>
      <c r="AC15" s="694" t="s">
        <v>733</v>
      </c>
    </row>
    <row r="16" spans="1:29" ht="12.75" customHeight="1" thickBot="1" x14ac:dyDescent="0.25">
      <c r="A16" s="124" t="str">
        <f>HLOOKUP('Output (1)'!$H$11,Traduções_ResIndicadores,ROW(),FALSE)</f>
        <v xml:space="preserve">Perdas de água por ramal </v>
      </c>
      <c r="B16" s="413" t="str">
        <f>IF(B19&gt;0,IF('Input (1)'!B10=1,"N/A",(B18*365/B20)/B19)," ")</f>
        <v xml:space="preserve"> </v>
      </c>
      <c r="C16" s="155" t="str">
        <f>'Output (2)'!C32</f>
        <v>m3/ramal/ano</v>
      </c>
      <c r="D16" s="136" t="str">
        <f>IF(B19&gt;0,IF('Input (1)'!A10=1,"N/A",CONCATENATE(F16*100,"-",G16*100," %"))," ")</f>
        <v xml:space="preserve"> </v>
      </c>
      <c r="F16" s="288" t="e">
        <f>IF('Configuration options'!$A$16=1,H16,IF('Configuration options'!$A$16=2,J16,"Erro"))</f>
        <v>#DIV/0!</v>
      </c>
      <c r="G16" s="289" t="e">
        <f>IF('Configuration options'!$A$16=1,I16,IF('Configuration options'!$A$16=2,K16,"Erro"))</f>
        <v>#DIV/0!</v>
      </c>
      <c r="H16" s="299" t="e">
        <f>H18+H19+H20</f>
        <v>#DIV/0!</v>
      </c>
      <c r="I16" s="301" t="e">
        <f>I18+I19+I20</f>
        <v>#DIV/0!</v>
      </c>
      <c r="J16" s="307" t="e">
        <f>INT(SQRT(J18^2+J19^2+J20^2)*100)/100</f>
        <v>#DIV/0!</v>
      </c>
      <c r="K16" s="300" t="e">
        <f>INT(SQRT(K18^2+K19^2+K20^2)*100)/100</f>
        <v>#DIV/0!</v>
      </c>
      <c r="L16" s="394"/>
      <c r="AA16" s="351" t="s">
        <v>581</v>
      </c>
      <c r="AB16" s="351" t="s">
        <v>981</v>
      </c>
      <c r="AC16" s="351" t="s">
        <v>241</v>
      </c>
    </row>
    <row r="17" spans="1:29" ht="12.75" customHeight="1" x14ac:dyDescent="0.2">
      <c r="A17" s="101" t="str">
        <f>HLOOKUP('Output (1)'!$H$11,Traduções_ResIndicadores,ROW(),FALSE)</f>
        <v>Op23 = (A15 x 365 / H1) / C24 (válido para sistemas de distribuição)</v>
      </c>
      <c r="B17" s="100"/>
      <c r="C17" s="117"/>
      <c r="D17" s="139"/>
      <c r="H17" s="436"/>
      <c r="I17" s="437"/>
      <c r="J17" s="440"/>
      <c r="K17" s="437"/>
      <c r="L17" s="296"/>
      <c r="AA17" s="278" t="s">
        <v>582</v>
      </c>
      <c r="AB17" s="278" t="s">
        <v>157</v>
      </c>
      <c r="AC17" s="278" t="s">
        <v>734</v>
      </c>
    </row>
    <row r="18" spans="1:29" ht="12.75" customHeight="1" x14ac:dyDescent="0.2">
      <c r="A18" s="101" t="str">
        <f>HLOOKUP('Output (1)'!$H$11,Traduções_ResIndicadores,ROW(),FALSE)</f>
        <v>A15 - Perdas de água</v>
      </c>
      <c r="B18" s="411">
        <f>'Output (2)'!B20</f>
        <v>0</v>
      </c>
      <c r="C18" s="152" t="str">
        <f>'Output (2)'!$C$9</f>
        <v>m3/ano</v>
      </c>
      <c r="D18" s="137" t="str">
        <f>'Output (2)'!D20</f>
        <v xml:space="preserve"> </v>
      </c>
      <c r="H18" s="302" t="e">
        <f>'Output (2)'!$F$20</f>
        <v>#DIV/0!</v>
      </c>
      <c r="I18" s="303" t="e">
        <f>'Output (2)'!$G$20</f>
        <v>#DIV/0!</v>
      </c>
      <c r="J18" s="302" t="e">
        <f>'Output (2)'!$F$20</f>
        <v>#DIV/0!</v>
      </c>
      <c r="K18" s="303" t="e">
        <f>'Output (2)'!$G$20</f>
        <v>#DIV/0!</v>
      </c>
      <c r="L18" s="438"/>
      <c r="M18" s="265" t="str">
        <f>'Configuration options'!A6</f>
        <v>***</v>
      </c>
      <c r="N18" s="265" t="str">
        <f>'Configuration options'!D6</f>
        <v>0-5%</v>
      </c>
      <c r="O18" s="265" t="str">
        <f>'Configuration options'!J6</f>
        <v>l/s</v>
      </c>
      <c r="AA18" s="278" t="s">
        <v>610</v>
      </c>
      <c r="AB18" s="278" t="s">
        <v>982</v>
      </c>
      <c r="AC18" s="278" t="s">
        <v>735</v>
      </c>
    </row>
    <row r="19" spans="1:29" ht="12.75" customHeight="1" x14ac:dyDescent="0.2">
      <c r="A19" s="101" t="str">
        <f>HLOOKUP('Output (1)'!$H$11,Traduções_ResIndicadores,ROW(),FALSE)</f>
        <v xml:space="preserve">C24 - Número de ramais </v>
      </c>
      <c r="B19" s="412">
        <f>'Input (1)'!B20</f>
        <v>0</v>
      </c>
      <c r="C19" s="156" t="s">
        <v>577</v>
      </c>
      <c r="D19" s="140" t="str">
        <f>IF(B19&gt;0,IF('Input (1)'!F20=N18,$M$11,IF('Input (1)'!F20=N19,$M$12,IF('Input (1)'!F20=N20,$M$13,IF('Input (1)'!F20=N21,$M$14,IF('Input (1)'!F20=N22,$M$15,"erro")))))," ")</f>
        <v xml:space="preserve"> </v>
      </c>
      <c r="H19" s="302">
        <f>IF('Input (1)'!$F20=N18,$N$11,IF('Input (1)'!$F20=N19,$N$12,IF('Input (1)'!$F20=N20,$N$13,IF('Input (1)'!$F20=N21,$N$14,IF('Input (1)'!$F20=N22,$N$15,"erro")))))</f>
        <v>0</v>
      </c>
      <c r="I19" s="435">
        <f>IF('Input (1)'!$F20=N18,$O$11,IF('Input (1)'!$F20=N19,$O$12,IF('Input (1)'!$F20=N20,$O$13,IF('Input (1)'!$F20=N21,$O$14,IF('Input (1)'!$F20=N22,$O$15,"erro")))))</f>
        <v>0.05</v>
      </c>
      <c r="J19" s="317">
        <f>IF('Input (1)'!$F20=N18,$N$11,IF('Input (1)'!$F20=N19,$N$12,IF('Input (1)'!$F20=N20,$N$13,IF('Input (1)'!$F20=N21,$N$14,IF('Input (1)'!$F20=N22,$N$15,"erro")))))</f>
        <v>0</v>
      </c>
      <c r="K19" s="314">
        <f>IF('Input (1)'!$F20=N18,$O$11,IF('Input (1)'!$F20=N19,$O$12,IF('Input (1)'!$F20=N20,$O$13,IF('Input (1)'!$F20=N21,$O$14,IF('Input (1)'!$F20=N22,$O$15,"erro")))))</f>
        <v>0.05</v>
      </c>
      <c r="L19" s="278"/>
      <c r="M19" s="265" t="str">
        <f>'Configuration options'!A7</f>
        <v>**</v>
      </c>
      <c r="N19" s="265" t="str">
        <f>'Configuration options'!D7</f>
        <v>6-20%</v>
      </c>
      <c r="O19" s="265" t="str">
        <f>'Configuration options'!J7</f>
        <v>m3/h</v>
      </c>
      <c r="AA19" s="278" t="s">
        <v>602</v>
      </c>
      <c r="AB19" s="278" t="s">
        <v>983</v>
      </c>
      <c r="AC19" s="278" t="s">
        <v>736</v>
      </c>
    </row>
    <row r="20" spans="1:29" ht="12.75" customHeight="1" thickBot="1" x14ac:dyDescent="0.25">
      <c r="A20" s="101" t="str">
        <f>HLOOKUP('Output (1)'!$H$11,Traduções_ResIndicadores,ROW(),FALSE)</f>
        <v xml:space="preserve">H1 - Duração do período de referência </v>
      </c>
      <c r="B20" s="412">
        <f>'Input (1)'!B24</f>
        <v>0</v>
      </c>
      <c r="C20" s="534" t="str">
        <f>HLOOKUP('Output (1)'!$H$11,Traduções_ResIndicadores,7,FALSE)</f>
        <v>dias</v>
      </c>
      <c r="D20" s="140" t="str">
        <f>IF(B20&gt;0,IF('Input (1)'!F24=N18,$M$11,IF('Input (1)'!F24=N19,"6-20",IF('Input (1)'!F24=N20,$M$13,IF('Input (1)'!F24=N21,$M$14,IF('Input (1)'!F24=N22,$M$15,"erro")))))," ")</f>
        <v xml:space="preserve"> </v>
      </c>
      <c r="H20" s="304">
        <f>IF('Input (1)'!F24=N18,'Configuration options'!$E$6,IF('Input (1)'!F24=N19,'Configuration options'!$E$7/100,IF('Input (1)'!F24=N20,'Configuration options'!$E$8/100,IF('Input (1)'!F24=N21,'Configuration options'!$E$9/100,IF('Input (1)'!F24=N22,'Configuration options'!$E$10/100,"erro")))))</f>
        <v>0</v>
      </c>
      <c r="I20" s="305">
        <f>IF('Input (1)'!F24=N18,'Configuration options'!$G$6,IF('Input (1)'!F24=N19,'Configuration options'!$G$7,IF('Input (1)'!F24=N20,'Configuration options'!$G$8,IF('Input (1)'!F24=N21,'Configuration options'!$G$9,IF('Input (1)'!F24=N22,'Configuration options'!$G$10,"erro")))))</f>
        <v>0.05</v>
      </c>
      <c r="J20" s="304">
        <f>IF('Input (1)'!F24=N18,'Configuration options'!$E$6,IF('Input (1)'!F24=N19,'Configuration options'!$E$7/100,IF('Input (1)'!F24=N20,'Configuration options'!$E$8/100,IF('Input (1)'!F24=N21,'Configuration options'!$E$9/100,IF('Input (1)'!F24=N22,'Configuration options'!$E$10/100,"erro")))))</f>
        <v>0</v>
      </c>
      <c r="K20" s="305">
        <f>IF('Input (1)'!F24=N18,'Configuration options'!$G$6,IF('Input (1)'!F24=N19,'Configuration options'!$G$7,IF('Input (1)'!F24=N20,'Configuration options'!$G$8,IF('Input (1)'!F24=N21,'Configuration options'!$G$9,IF('Input (1)'!F24=N22,'Configuration options'!$G$10,"erro")))))</f>
        <v>0.05</v>
      </c>
      <c r="L20" s="278"/>
      <c r="M20" s="265" t="str">
        <f>'Configuration options'!A8</f>
        <v>*</v>
      </c>
      <c r="N20" s="265" t="str">
        <f>'Configuration options'!D8</f>
        <v>21-50%</v>
      </c>
      <c r="O20" s="265" t="str">
        <f>'Configuration options'!J8</f>
        <v>l/dia</v>
      </c>
      <c r="AA20" s="278" t="s">
        <v>609</v>
      </c>
      <c r="AB20" s="278" t="s">
        <v>995</v>
      </c>
      <c r="AC20" s="278" t="s">
        <v>737</v>
      </c>
    </row>
    <row r="21" spans="1:29" ht="12.75" customHeight="1" thickBot="1" x14ac:dyDescent="0.25">
      <c r="A21" s="125" t="str">
        <f>HLOOKUP('Output (1)'!$H$11,Traduções_ResIndicadores,ROW(),FALSE)</f>
        <v>Perdas de água por comprimento de conduta</v>
      </c>
      <c r="B21" s="161" t="str">
        <f>IF(B24&gt;0,IF('Input (1)'!B10=2,"N/A",B23/365/B24)," ")</f>
        <v xml:space="preserve"> </v>
      </c>
      <c r="C21" s="155" t="str">
        <f>'Output (2)'!C31</f>
        <v>m3/km/dia</v>
      </c>
      <c r="D21" s="136" t="str">
        <f>IF(B24&gt;0,IF('Input (1)'!A10=2,"N/A",CONCATENATE(F21*100,"-",G21*100," %"))," ")</f>
        <v xml:space="preserve"> </v>
      </c>
      <c r="F21" s="288" t="e">
        <f>IF('Configuration options'!$A$16=1,H21,IF('Configuration options'!$A$16=2,J21,"Erro"))</f>
        <v>#DIV/0!</v>
      </c>
      <c r="G21" s="289" t="e">
        <f>IF('Configuration options'!$A$16=1,I21,IF('Configuration options'!$A$16=2,K21,"Erro"))</f>
        <v>#DIV/0!</v>
      </c>
      <c r="H21" s="299" t="e">
        <f>H23+H24</f>
        <v>#DIV/0!</v>
      </c>
      <c r="I21" s="301" t="e">
        <f>I23+I24</f>
        <v>#DIV/0!</v>
      </c>
      <c r="J21" s="299" t="e">
        <f>INT(SQRT(J23^2+J24^2)*100)/100</f>
        <v>#DIV/0!</v>
      </c>
      <c r="K21" s="301" t="e">
        <f>INT(SQRT(K23^2+K24^2)*100)/100</f>
        <v>#DIV/0!</v>
      </c>
      <c r="L21" s="394"/>
      <c r="N21" s="265" t="str">
        <f>'Configuration options'!D9</f>
        <v>51-100%</v>
      </c>
      <c r="O21" s="265" t="str">
        <f>'Configuration options'!J9</f>
        <v>m3/dia</v>
      </c>
      <c r="AA21" s="351" t="s">
        <v>102</v>
      </c>
      <c r="AB21" s="351" t="s">
        <v>984</v>
      </c>
      <c r="AC21" s="351" t="s">
        <v>240</v>
      </c>
    </row>
    <row r="22" spans="1:29" ht="12.75" customHeight="1" x14ac:dyDescent="0.2">
      <c r="A22" s="101" t="str">
        <f>HLOOKUP('Output (1)'!$H$11,Traduções_ResIndicadores,ROW(),FALSE)</f>
        <v>Op24 = (A15 / 365) / C8 (válido para sistemas de produção e adução)</v>
      </c>
      <c r="B22" s="100"/>
      <c r="C22" s="158"/>
      <c r="D22" s="141"/>
      <c r="H22" s="436"/>
      <c r="I22" s="437"/>
      <c r="J22" s="436"/>
      <c r="K22" s="437"/>
      <c r="L22" s="296"/>
      <c r="N22" s="265" t="str">
        <f>'Configuration options'!D10</f>
        <v>101-300%</v>
      </c>
      <c r="O22" s="265" t="str">
        <f>'Configuration options'!J10</f>
        <v>m3/mês</v>
      </c>
      <c r="AA22" s="278" t="s">
        <v>583</v>
      </c>
      <c r="AB22" s="278" t="s">
        <v>156</v>
      </c>
      <c r="AC22" s="278" t="s">
        <v>738</v>
      </c>
    </row>
    <row r="23" spans="1:29" ht="12.75" customHeight="1" x14ac:dyDescent="0.2">
      <c r="A23" s="101" t="str">
        <f>HLOOKUP('Output (1)'!$H$11,Traduções_ResIndicadores,ROW(),FALSE)</f>
        <v xml:space="preserve">A15 - Perdas de água </v>
      </c>
      <c r="B23" s="411">
        <f>'Output (2)'!B20</f>
        <v>0</v>
      </c>
      <c r="C23" s="152" t="str">
        <f>'Output (2)'!$C$9</f>
        <v>m3/ano</v>
      </c>
      <c r="D23" s="137" t="str">
        <f>'Output (2)'!D20</f>
        <v xml:space="preserve"> </v>
      </c>
      <c r="H23" s="302" t="e">
        <f>'Output (2)'!$F$20</f>
        <v>#DIV/0!</v>
      </c>
      <c r="I23" s="303" t="e">
        <f>'Output (2)'!$G$20</f>
        <v>#DIV/0!</v>
      </c>
      <c r="J23" s="310" t="e">
        <f>'Output (2)'!$F$20</f>
        <v>#DIV/0!</v>
      </c>
      <c r="K23" s="311" t="e">
        <f>'Output (2)'!$G$20</f>
        <v>#DIV/0!</v>
      </c>
      <c r="L23" s="438"/>
      <c r="O23" s="265" t="str">
        <f>'Configuration options'!J11</f>
        <v>m3/ano</v>
      </c>
      <c r="AA23" s="278" t="s">
        <v>608</v>
      </c>
      <c r="AB23" s="278" t="s">
        <v>982</v>
      </c>
      <c r="AC23" s="278" t="s">
        <v>735</v>
      </c>
    </row>
    <row r="24" spans="1:29" ht="12.75" customHeight="1" thickBot="1" x14ac:dyDescent="0.25">
      <c r="A24" s="101" t="str">
        <f>HLOOKUP('Output (1)'!$H$11,Traduções_ResIndicadores,ROW(),FALSE)</f>
        <v xml:space="preserve">C8 - Comprimento de condutas </v>
      </c>
      <c r="B24" s="412">
        <f>'Input (1)'!B19</f>
        <v>0</v>
      </c>
      <c r="C24" s="156" t="s">
        <v>511</v>
      </c>
      <c r="D24" s="140" t="str">
        <f>IF(B24&gt;0,IF('Input (1)'!F19=N18,$M$11,IF('Input (1)'!F19=N19,$M$12,IF('Input (1)'!F19=N20,$M$13,IF('Input (1)'!F19=N21,$M$14,IF('Input (1)'!F19=N22,$M$15,"erro")))))," ")</f>
        <v xml:space="preserve"> </v>
      </c>
      <c r="H24" s="302">
        <f>IF('Input (1)'!$F$19=N18,$N$11,IF('Input (1)'!$F$19=N19,$N$12,IF('Input (1)'!$F$19=N20,$N$13,IF('Input (1)'!$F$19=N21,$N$14,IF('Input (1)'!$F$19=N22,$N$15,"erro")))))</f>
        <v>0</v>
      </c>
      <c r="I24" s="435">
        <f>IF('Input (1)'!$F$19=N18,$O$11,IF('Input (1)'!$F$19=N19,$O$12,IF('Input (1)'!$F$19=N20,$O$13,IF('Input (1)'!$F$19=N21,$O$14,IF('Input (1)'!$F$19=N22,$O$15,"erro")))))</f>
        <v>0.05</v>
      </c>
      <c r="J24" s="302">
        <f>IF('Input (1)'!$F$19=N18,$N$11,IF('Input (1)'!$F$19=N19,$N$12,IF('Input (1)'!$F$19=N20,$N$13,IF('Input (1)'!$F$19=N21,$N$14,IF('Input (1)'!$F$19=N22,$N$15,"erro")))))</f>
        <v>0</v>
      </c>
      <c r="K24" s="318">
        <f>IF('Input (1)'!$F$19=N18,$O$11,IF('Input (1)'!$F$19=N19,$O$12,IF('Input (1)'!$F$19=N20,$O$13,IF('Input (1)'!$F$19=N21,$O$14,IF('Input (1)'!$F$19=N22,$O$15,"erro")))))</f>
        <v>0.05</v>
      </c>
      <c r="L24" s="386"/>
      <c r="AA24" s="278" t="s">
        <v>604</v>
      </c>
      <c r="AB24" s="278" t="s">
        <v>985</v>
      </c>
      <c r="AC24" s="278" t="s">
        <v>739</v>
      </c>
    </row>
    <row r="25" spans="1:29" ht="13.5" thickBot="1" x14ac:dyDescent="0.25">
      <c r="A25" s="125" t="str">
        <f>HLOOKUP('Output (1)'!$H$11,Traduções_ResIndicadores,ROW(),FALSE)</f>
        <v>Perdas aparentes por volume de água entrada no sistema</v>
      </c>
      <c r="B25" s="154" t="str">
        <f>IF(B27&gt;0,IF('Input (1)'!B10=2,"N/A",B28/B27*100)," ")</f>
        <v xml:space="preserve"> </v>
      </c>
      <c r="C25" s="155" t="s">
        <v>543</v>
      </c>
      <c r="D25" s="136" t="str">
        <f>IF(B27&gt;0,IF('Input (1)'!A10=2,"N/A",CONCATENATE(F25*100,"-",G25*100," %"))," ")</f>
        <v xml:space="preserve"> </v>
      </c>
      <c r="F25" s="288" t="e">
        <f>IF('Configuration options'!$A$16=1,H25,IF('Configuration options'!$A$16=2,J25,"Erro"))</f>
        <v>#DIV/0!</v>
      </c>
      <c r="G25" s="312" t="e">
        <f>IF('Configuration options'!$A$16=1,I25,IF('Configuration options'!$A$16=2,K25,"Erro"))</f>
        <v>#DIV/0!</v>
      </c>
      <c r="H25" s="307" t="e">
        <f>H27+H28</f>
        <v>#DIV/0!</v>
      </c>
      <c r="I25" s="313" t="e">
        <f>I27+I28</f>
        <v>#DIV/0!</v>
      </c>
      <c r="J25" s="307" t="e">
        <f>INT(SQRT(J27^2+J28^2)*100)/100</f>
        <v>#DIV/0!</v>
      </c>
      <c r="K25" s="313" t="e">
        <f>INT(SQRT(K27^2+K28^2)*100)/100</f>
        <v>#DIV/0!</v>
      </c>
      <c r="L25" s="394"/>
      <c r="AA25" s="631" t="s">
        <v>584</v>
      </c>
      <c r="AB25" s="631" t="s">
        <v>986</v>
      </c>
      <c r="AC25" s="631" t="s">
        <v>242</v>
      </c>
    </row>
    <row r="26" spans="1:29" x14ac:dyDescent="0.2">
      <c r="A26" s="101" t="str">
        <f>HLOOKUP('Output (1)'!$H$11,Traduções_ResIndicadores,ROW(),FALSE)</f>
        <v>Op26 = A18 / A3 x 100 (válido para sistemas de produção e adução)</v>
      </c>
      <c r="B26" s="100"/>
      <c r="C26" s="117"/>
      <c r="D26" s="142"/>
      <c r="H26" s="440"/>
      <c r="I26" s="441"/>
      <c r="J26" s="440"/>
      <c r="K26" s="441"/>
      <c r="L26" s="296"/>
      <c r="AA26" s="278" t="s">
        <v>585</v>
      </c>
      <c r="AB26" s="278" t="s">
        <v>147</v>
      </c>
      <c r="AC26" s="278" t="s">
        <v>740</v>
      </c>
    </row>
    <row r="27" spans="1:29" x14ac:dyDescent="0.2">
      <c r="A27" s="101" t="str">
        <f>HLOOKUP('Output (1)'!$H$11,Traduções_ResIndicadores,ROW(),FALSE)</f>
        <v>A3 - Água entrada no sistema</v>
      </c>
      <c r="B27" s="411">
        <f>'Output (2)'!B9</f>
        <v>0</v>
      </c>
      <c r="C27" s="178" t="str">
        <f>'Output (2)'!$C$9</f>
        <v>m3/ano</v>
      </c>
      <c r="D27" s="137" t="str">
        <f>'Output (2)'!D9</f>
        <v xml:space="preserve"> </v>
      </c>
      <c r="H27" s="302">
        <f>'Input (2)'!$H$11</f>
        <v>0</v>
      </c>
      <c r="I27" s="303">
        <f>'Input (2)'!$I$11</f>
        <v>0</v>
      </c>
      <c r="J27" s="302">
        <f>'Input (2)'!$H$11</f>
        <v>0</v>
      </c>
      <c r="K27" s="303">
        <f>'Input (2)'!$I$11</f>
        <v>0</v>
      </c>
      <c r="L27" s="438"/>
      <c r="S27" s="475"/>
      <c r="T27" s="475"/>
      <c r="U27" s="475"/>
      <c r="V27" s="475"/>
      <c r="AA27" s="278" t="s">
        <v>578</v>
      </c>
      <c r="AB27" s="278" t="s">
        <v>987</v>
      </c>
      <c r="AC27" s="278" t="s">
        <v>741</v>
      </c>
    </row>
    <row r="28" spans="1:29" ht="13.5" thickBot="1" x14ac:dyDescent="0.25">
      <c r="A28" s="101" t="str">
        <f>HLOOKUP('Output (1)'!$H$11,Traduções_ResIndicadores,ROW(),FALSE)</f>
        <v xml:space="preserve">A18 - Perdas aparentes </v>
      </c>
      <c r="B28" s="412">
        <f>'Output (2)'!B23</f>
        <v>0</v>
      </c>
      <c r="C28" s="534" t="str">
        <f>'Output (2)'!$C$9</f>
        <v>m3/ano</v>
      </c>
      <c r="D28" s="138" t="str">
        <f>'Output (2)'!D23</f>
        <v xml:space="preserve"> </v>
      </c>
      <c r="H28" s="304" t="e">
        <f>'Input (5)'!$J$19</f>
        <v>#DIV/0!</v>
      </c>
      <c r="I28" s="305" t="e">
        <f>'Input (5)'!$K$19</f>
        <v>#DIV/0!</v>
      </c>
      <c r="J28" s="304" t="e">
        <f>'Input (5)'!$J$19</f>
        <v>#DIV/0!</v>
      </c>
      <c r="K28" s="305" t="e">
        <f>'Input (5)'!$K$19</f>
        <v>#DIV/0!</v>
      </c>
      <c r="L28" s="278"/>
      <c r="S28" s="298"/>
      <c r="T28" s="298"/>
      <c r="U28" s="298"/>
      <c r="V28" s="298"/>
      <c r="AA28" s="278" t="s">
        <v>605</v>
      </c>
      <c r="AB28" s="278" t="s">
        <v>977</v>
      </c>
      <c r="AC28" s="278" t="s">
        <v>742</v>
      </c>
    </row>
    <row r="29" spans="1:29" ht="13.5" thickBot="1" x14ac:dyDescent="0.25">
      <c r="A29" s="125" t="str">
        <f>HLOOKUP('Output (1)'!$H$11,Traduções_ResIndicadores,ROW(),FALSE)</f>
        <v>Perdas aparentes</v>
      </c>
      <c r="B29" s="154" t="str">
        <f>IF(B31&gt;0,IF('Input (1)'!B10=1,"N/A",B34/(B31-B32-B33)*100)," ")</f>
        <v xml:space="preserve"> </v>
      </c>
      <c r="C29" s="155" t="s">
        <v>543</v>
      </c>
      <c r="D29" s="136" t="str">
        <f>IF(B31&gt;0,IF('Input (1)'!A10=1,"N/A",CONCATENATE(INT(F29*100),"-",INT(G29*100)," %"))," ")</f>
        <v xml:space="preserve"> </v>
      </c>
      <c r="F29" s="288" t="e">
        <f>IF('Configuration options'!$A$16=1,H29,IF('Configuration options'!$A$16=2,J29,"Erro"))</f>
        <v>#DIV/0!</v>
      </c>
      <c r="G29" s="289" t="e">
        <f>IF('Configuration options'!$A$16=1,I29,IF('Configuration options'!$A$16=2,K29,"Erro"))</f>
        <v>#DIV/0!</v>
      </c>
      <c r="H29" s="299" t="e">
        <f>M29/$B$29</f>
        <v>#DIV/0!</v>
      </c>
      <c r="I29" s="299" t="e">
        <f>N29/$B$29</f>
        <v>#DIV/0!</v>
      </c>
      <c r="J29" s="299" t="e">
        <f>O29/$B$29</f>
        <v>#DIV/0!</v>
      </c>
      <c r="K29" s="299" t="e">
        <f>P29/$B$29</f>
        <v>#DIV/0!</v>
      </c>
      <c r="L29" s="479"/>
      <c r="M29" s="320" t="e">
        <f>SUMPRODUCT($R$31:$R$34,$M$31:$M$34)</f>
        <v>#DIV/0!</v>
      </c>
      <c r="N29" s="474" t="e">
        <f>SUMPRODUCT($R$31:$R$34,$N$31:$N$34)</f>
        <v>#DIV/0!</v>
      </c>
      <c r="O29" s="320" t="e">
        <f>SQRT(($R$31*$O$31)^2+($R$32*$O$32)^2+($R$33*$O$33)^2+($R$34*$O$34)^2)</f>
        <v>#DIV/0!</v>
      </c>
      <c r="P29" s="474" t="e">
        <f>SQRT(($R$31*$P$31)^2+($R$32*$P$32)^2+($R$33*$P$33)^2+($R$34*$P$34)^2)</f>
        <v>#DIV/0!</v>
      </c>
      <c r="Q29" s="432"/>
      <c r="R29" s="473"/>
      <c r="AA29" s="631" t="s">
        <v>494</v>
      </c>
      <c r="AB29" s="631" t="s">
        <v>978</v>
      </c>
      <c r="AC29" s="631" t="s">
        <v>232</v>
      </c>
    </row>
    <row r="30" spans="1:29" ht="16.5" thickBot="1" x14ac:dyDescent="0.25">
      <c r="A30" s="127" t="str">
        <f>HLOOKUP('Output (1)'!$H$11,Traduções_ResIndicadores,ROW(),FALSE)</f>
        <v>Op25 = A18 / (A3-A5-A7) x 100 (válido para sistemas de distribuição ou completos)</v>
      </c>
      <c r="B30" s="100"/>
      <c r="C30" s="117"/>
      <c r="D30" s="141"/>
      <c r="H30" s="440"/>
      <c r="I30" s="441"/>
      <c r="J30" s="440"/>
      <c r="K30" s="441"/>
      <c r="L30" s="480"/>
      <c r="M30" s="270" t="s">
        <v>556</v>
      </c>
      <c r="N30" s="269" t="s">
        <v>555</v>
      </c>
      <c r="O30" s="270" t="s">
        <v>557</v>
      </c>
      <c r="P30" s="271" t="s">
        <v>558</v>
      </c>
      <c r="AA30" s="585" t="s">
        <v>586</v>
      </c>
      <c r="AB30" s="585" t="s">
        <v>145</v>
      </c>
      <c r="AC30" s="585" t="s">
        <v>743</v>
      </c>
    </row>
    <row r="31" spans="1:29" x14ac:dyDescent="0.2">
      <c r="A31" s="101" t="str">
        <f>HLOOKUP('Output (1)'!$H$11,Traduções_ResIndicadores,ROW(),FALSE)</f>
        <v>A3 - Água entrada no sistema</v>
      </c>
      <c r="B31" s="411">
        <f>'Output (2)'!B9</f>
        <v>0</v>
      </c>
      <c r="C31" s="178" t="str">
        <f>'Output (2)'!$C$9</f>
        <v>m3/ano</v>
      </c>
      <c r="D31" s="137" t="str">
        <f>'Output (2)'!D9</f>
        <v xml:space="preserve"> </v>
      </c>
      <c r="H31" s="302">
        <f>'Input (2)'!$H$11</f>
        <v>0</v>
      </c>
      <c r="I31" s="303">
        <f>'Input (2)'!$I$11</f>
        <v>0</v>
      </c>
      <c r="J31" s="302">
        <f>'Input (2)'!$H$11</f>
        <v>0</v>
      </c>
      <c r="K31" s="303">
        <f>'Input (2)'!$I$11</f>
        <v>0</v>
      </c>
      <c r="L31" s="438"/>
      <c r="M31" s="325">
        <f>$B31*$H31</f>
        <v>0</v>
      </c>
      <c r="N31" s="325">
        <f>B31*I31</f>
        <v>0</v>
      </c>
      <c r="O31" s="325">
        <f>B31*H31</f>
        <v>0</v>
      </c>
      <c r="P31" s="326">
        <f>B31*I31</f>
        <v>0</v>
      </c>
      <c r="Q31" s="331" t="s">
        <v>20</v>
      </c>
      <c r="R31" s="472" t="e">
        <f>ABS(-$B$34/($B$31-$B$32-$B$33)^2*100)</f>
        <v>#DIV/0!</v>
      </c>
      <c r="AA31" s="278" t="s">
        <v>578</v>
      </c>
      <c r="AB31" s="278" t="s">
        <v>987</v>
      </c>
      <c r="AC31" s="278" t="s">
        <v>741</v>
      </c>
    </row>
    <row r="32" spans="1:29" ht="13.5" thickBot="1" x14ac:dyDescent="0.25">
      <c r="A32" s="101" t="str">
        <f>HLOOKUP('Output (1)'!$H$11,Traduções_ResIndicadores,ROW(),FALSE)</f>
        <v>A5 - Água bruta exportada</v>
      </c>
      <c r="B32" s="412">
        <f>'Input (1)'!D22</f>
        <v>0</v>
      </c>
      <c r="C32" s="533" t="str">
        <f>'Output (2)'!$C$9</f>
        <v>m3/ano</v>
      </c>
      <c r="D32" s="138" t="str">
        <f>IF(B1&gt;0,IF('Input (1)'!$F22=1,$M$11,IF('Input (1)'!F22=2,$M$12,IF('Input (1)'!F22=3,$M$13,IF('Input (1)'!F22=4,$M$14,IF('Input (1)'!F22=5,$M$15,"erro")))))," ")</f>
        <v xml:space="preserve"> </v>
      </c>
      <c r="H32" s="302">
        <f>IF('Input (1)'!$F$22=N18,$N$11,IF('Input (1)'!$F$22=N19,$N$12,IF('Input (1)'!$F$22=N20,$N$13,IF('Input (1)'!$F$22=N21,$N$14,IF('Input (1)'!$F$22=N22,$N$15,"erro")))))</f>
        <v>0</v>
      </c>
      <c r="I32" s="435">
        <f>IF('Input (1)'!$F$22=N18,$O$11,IF('Input (1)'!$F$22=N19,$O$12,IF('Input (1)'!$F$22=N20,$O$13,IF('Input (1)'!$F$22=N21,$O$14,IF('Input (1)'!$F$22=N22,$O$15,"erro")))))</f>
        <v>0.05</v>
      </c>
      <c r="J32" s="317">
        <f>IF('Input (1)'!$F$22=N18,$N$11,IF('Input (1)'!$F$22=N19,$N$12,IF('Input (1)'!$F$22=N20,$N$13,IF('Input (1)'!$F$22=N21,$N$14,IF('Input (1)'!$F$22=N22,$N$15,"erro")))))</f>
        <v>0</v>
      </c>
      <c r="K32" s="315">
        <f>IF('Input (1)'!$F$22=N18,$O$11,IF('Input (1)'!$F$22=N19,$O$12,IF('Input (1)'!$F$22=N20,$O$13,IF('Input (1)'!$F$22=N21,$O$14,IF('Input (1)'!$F$22=N22,$O$15,"erro")))))</f>
        <v>0.05</v>
      </c>
      <c r="L32" s="481"/>
      <c r="M32" s="327">
        <f>$B32*$H32</f>
        <v>0</v>
      </c>
      <c r="N32" s="327">
        <f>B32*I32</f>
        <v>0</v>
      </c>
      <c r="O32" s="327">
        <f>B32*H32</f>
        <v>0</v>
      </c>
      <c r="P32" s="328">
        <f>B32*I32</f>
        <v>0</v>
      </c>
      <c r="Q32" s="331" t="s">
        <v>62</v>
      </c>
      <c r="R32" s="472" t="e">
        <f>ABS($B$34/($B$31-$B$32-$B$33)^2*100)</f>
        <v>#DIV/0!</v>
      </c>
      <c r="AA32" s="278" t="s">
        <v>607</v>
      </c>
      <c r="AB32" s="278" t="s">
        <v>996</v>
      </c>
      <c r="AC32" s="278" t="s">
        <v>744</v>
      </c>
    </row>
    <row r="33" spans="1:29" ht="13.5" thickBot="1" x14ac:dyDescent="0.25">
      <c r="A33" s="101" t="str">
        <f>HLOOKUP('Output (1)'!$H$11,Traduções_ResIndicadores,ROW(),FALSE)</f>
        <v>A7 - Água tratada exportada</v>
      </c>
      <c r="B33" s="412">
        <f>'Input (3)'!B13+'Input (4)'!B10</f>
        <v>0</v>
      </c>
      <c r="C33" s="533" t="str">
        <f>'Output (2)'!$C$9</f>
        <v>m3/ano</v>
      </c>
      <c r="D33" s="138" t="str">
        <f>IF(B33&gt;0,CONCATENATE(F33*100,"-",G33*100," %")," ")</f>
        <v xml:space="preserve"> </v>
      </c>
      <c r="F33" s="483">
        <f>IF('Configuration options'!$A$16=1,H33,IF('Configuration options'!$A$16=2,J33,"Erro"))</f>
        <v>0</v>
      </c>
      <c r="G33" s="484">
        <f>IF('Configuration options'!$A$16=1,I33,IF('Configuration options'!$A$16=2,K33,"Erro"))</f>
        <v>0</v>
      </c>
      <c r="H33" s="302">
        <f>IF(B33&gt;0,INT(('Input (3)'!J13+'Input (4)'!J10)/$B$33*100)/100,0)</f>
        <v>0</v>
      </c>
      <c r="I33" s="303">
        <f>IF(B33&gt;0,INT(('Input (3)'!K13+'Input (4)'!K10)/$B$33*100)/100,0)</f>
        <v>0</v>
      </c>
      <c r="J33" s="302">
        <f>IF(B33&gt;0,INT(SQRT('Input (3)'!L13^2+'Input (4)'!L10^2)/$B$33*100)/100,0)</f>
        <v>0</v>
      </c>
      <c r="K33" s="303">
        <f>IF(B33&gt;0,INT(SQRT('Input (3)'!M13^2+'Input (4)'!M10^2)/$B$33*100)/100,0)</f>
        <v>0</v>
      </c>
      <c r="L33" s="278"/>
      <c r="M33" s="329">
        <f>$B33*$H33</f>
        <v>0</v>
      </c>
      <c r="N33" s="329">
        <f>B33*I33</f>
        <v>0</v>
      </c>
      <c r="O33" s="329">
        <f>B33*H33</f>
        <v>0</v>
      </c>
      <c r="P33" s="330">
        <f>B33*I33</f>
        <v>0</v>
      </c>
      <c r="Q33" s="331" t="s">
        <v>63</v>
      </c>
      <c r="R33" s="472" t="e">
        <f>ABS($B$34/($B$31-$B$32-$B$33)^2*100)</f>
        <v>#DIV/0!</v>
      </c>
      <c r="AA33" s="278" t="s">
        <v>606</v>
      </c>
      <c r="AB33" s="278" t="s">
        <v>997</v>
      </c>
      <c r="AC33" s="278" t="s">
        <v>745</v>
      </c>
    </row>
    <row r="34" spans="1:29" ht="13.5" thickBot="1" x14ac:dyDescent="0.25">
      <c r="A34" s="102" t="str">
        <f>HLOOKUP('Output (1)'!$H$11,Traduções_ResIndicadores,ROW(),FALSE)</f>
        <v xml:space="preserve">A18 - Perdas aparentes </v>
      </c>
      <c r="B34" s="414">
        <f>'Output (2)'!B23</f>
        <v>0</v>
      </c>
      <c r="C34" s="534" t="str">
        <f>'Output (2)'!$C$9</f>
        <v>m3/ano</v>
      </c>
      <c r="D34" s="143" t="str">
        <f>'Output (2)'!D23</f>
        <v xml:space="preserve"> </v>
      </c>
      <c r="H34" s="304" t="e">
        <f>'Input (5)'!$J$19</f>
        <v>#DIV/0!</v>
      </c>
      <c r="I34" s="305" t="e">
        <f>'Input (5)'!$K$19</f>
        <v>#DIV/0!</v>
      </c>
      <c r="J34" s="304" t="e">
        <f>'Input (5)'!$J$19</f>
        <v>#DIV/0!</v>
      </c>
      <c r="K34" s="305" t="e">
        <f>'Input (5)'!$K$19</f>
        <v>#DIV/0!</v>
      </c>
      <c r="L34" s="278"/>
      <c r="M34" s="329" t="e">
        <f>$B34*H34</f>
        <v>#DIV/0!</v>
      </c>
      <c r="N34" s="329" t="e">
        <f>B34*I34</f>
        <v>#DIV/0!</v>
      </c>
      <c r="O34" s="329" t="e">
        <f>B34*H34</f>
        <v>#DIV/0!</v>
      </c>
      <c r="P34" s="330" t="e">
        <f>B34*I34</f>
        <v>#DIV/0!</v>
      </c>
      <c r="Q34" s="331" t="s">
        <v>16</v>
      </c>
      <c r="R34" s="472" t="e">
        <f>ABS(1/($B$31-$B$32-$B$33)*100)</f>
        <v>#DIV/0!</v>
      </c>
      <c r="AA34" s="278" t="s">
        <v>605</v>
      </c>
      <c r="AB34" s="278" t="s">
        <v>977</v>
      </c>
      <c r="AC34" s="278" t="s">
        <v>742</v>
      </c>
    </row>
    <row r="35" spans="1:29" ht="13.5" thickBot="1" x14ac:dyDescent="0.25">
      <c r="A35" s="124" t="str">
        <f>HLOOKUP('Output (1)'!$H$11,Traduções_ResIndicadores,ROW(),FALSE)</f>
        <v xml:space="preserve">Perdas reais por comprimento de conduta </v>
      </c>
      <c r="B35" s="415" t="str">
        <f>IF(B38&gt;0,IF('Input (1)'!B10=2,"N/A",B37*1000/(B38*B39*365/24))," ")</f>
        <v xml:space="preserve"> </v>
      </c>
      <c r="C35" s="155" t="str">
        <f>'Output (2)'!C35</f>
        <v>l/km/dia</v>
      </c>
      <c r="D35" s="136" t="str">
        <f>IF(B38&gt;0,IF('Input (1)'!A10=2,"N/A",CONCATENATE(F35*100,"-",G35*100," %"))," ")</f>
        <v xml:space="preserve"> </v>
      </c>
      <c r="F35" s="288" t="e">
        <f>IF('Configuration options'!$A$16=1,H35,IF('Configuration options'!$A$16=2,J35,"Erro"))</f>
        <v>#DIV/0!</v>
      </c>
      <c r="G35" s="289" t="e">
        <f>IF('Configuration options'!$A$16=1,I35,IF('Configuration options'!$A$16=2,K35,"Erro"))</f>
        <v>#DIV/0!</v>
      </c>
      <c r="H35" s="299" t="e">
        <f>H37+H38+H39</f>
        <v>#DIV/0!</v>
      </c>
      <c r="I35" s="301" t="e">
        <f>I37+I38+I39</f>
        <v>#DIV/0!</v>
      </c>
      <c r="J35" s="307" t="e">
        <f>INT(SQRT(J37^2+J38^2+J39^2)*100)/100</f>
        <v>#DIV/0!</v>
      </c>
      <c r="K35" s="300" t="e">
        <f>INT(SQRT(K37^2+K38^2+K39^2)*100)/100</f>
        <v>#DIV/0!</v>
      </c>
      <c r="L35" s="394"/>
      <c r="AA35" s="631" t="s">
        <v>589</v>
      </c>
      <c r="AB35" s="653" t="s">
        <v>974</v>
      </c>
      <c r="AC35" s="653" t="s">
        <v>243</v>
      </c>
    </row>
    <row r="36" spans="1:29" x14ac:dyDescent="0.2">
      <c r="A36" s="101" t="str">
        <f>HLOOKUP('Output (1)'!$H$11,Traduções_ResIndicadores,ROW(),FALSE)</f>
        <v>Op28 = A19 x 1000 / (C8 x H2 x 365 / 24) (válido para sistemas de produção e adução)</v>
      </c>
      <c r="B36" s="100"/>
      <c r="C36" s="159"/>
      <c r="D36" s="142"/>
      <c r="H36" s="440"/>
      <c r="I36" s="441"/>
      <c r="J36" s="440"/>
      <c r="K36" s="441"/>
      <c r="L36" s="296"/>
      <c r="AA36" s="278" t="s">
        <v>23</v>
      </c>
      <c r="AB36" s="278" t="s">
        <v>146</v>
      </c>
      <c r="AC36" s="278" t="s">
        <v>746</v>
      </c>
    </row>
    <row r="37" spans="1:29" x14ac:dyDescent="0.2">
      <c r="A37" s="101" t="str">
        <f>HLOOKUP('Output (1)'!$H$11,Traduções_ResIndicadores,ROW(),FALSE)</f>
        <v xml:space="preserve">A19 - Perdas reais </v>
      </c>
      <c r="B37" s="411">
        <f>'Output (2)'!B24</f>
        <v>0</v>
      </c>
      <c r="C37" s="178" t="str">
        <f>'Output (2)'!$C$9</f>
        <v>m3/ano</v>
      </c>
      <c r="D37" s="137" t="str">
        <f>'Output (2)'!D24</f>
        <v xml:space="preserve"> </v>
      </c>
      <c r="H37" s="302" t="e">
        <f>'Output (2)'!$F$24</f>
        <v>#DIV/0!</v>
      </c>
      <c r="I37" s="303" t="e">
        <f>'Output (2)'!$G$24</f>
        <v>#DIV/0!</v>
      </c>
      <c r="J37" s="302" t="e">
        <f>'Output (2)'!$F$24</f>
        <v>#DIV/0!</v>
      </c>
      <c r="K37" s="303" t="e">
        <f>'Output (2)'!$G$24</f>
        <v>#DIV/0!</v>
      </c>
      <c r="L37" s="438"/>
      <c r="AA37" s="278" t="s">
        <v>603</v>
      </c>
      <c r="AB37" s="278" t="s">
        <v>979</v>
      </c>
      <c r="AC37" s="278" t="s">
        <v>732</v>
      </c>
    </row>
    <row r="38" spans="1:29" x14ac:dyDescent="0.2">
      <c r="A38" s="101" t="str">
        <f>HLOOKUP('Output (1)'!$H$11,Traduções_ResIndicadores,ROW(),FALSE)</f>
        <v xml:space="preserve">C8 - Comprimento de condutas </v>
      </c>
      <c r="B38" s="412">
        <f>'Input (1)'!B19</f>
        <v>0</v>
      </c>
      <c r="C38" s="156" t="s">
        <v>511</v>
      </c>
      <c r="D38" s="138" t="str">
        <f>IF(B38&gt;0,IF('Input (1)'!F19=N18,$M$11,IF('Input (1)'!F19=N19,$M$12,IF('Input (1)'!F19=N20,$M$13,IF('Input (1)'!F19=N21,$M$14,IF('Input (1)'!F19=N22,$M$15,"erro")))))," ")</f>
        <v xml:space="preserve"> </v>
      </c>
      <c r="H38" s="302">
        <f>IF('Input (1)'!$F$19=N18,$N$11,IF('Input (1)'!$F$19=N19,$N$12,IF('Input (1)'!$F$19=N20,$N$13,IF('Input (1)'!$F$19=N21,$N$14,IF('Input (1)'!$F$19=N22,$N$15,"erro")))))</f>
        <v>0</v>
      </c>
      <c r="I38" s="435">
        <f>IF('Input (1)'!$F$19=N18,$O$11,IF('Input (1)'!$F$19=N19,$O$12,IF('Input (1)'!$F$19=N20,$O$13,IF('Input (1)'!$F$19=N21,$O$14,IF('Input (1)'!$F$19=N22,$O$15,"erro")))))</f>
        <v>0.05</v>
      </c>
      <c r="J38" s="317">
        <f>IF('Input (1)'!$F$19=N18,$N$11,IF('Input (1)'!$F$19=N19,$N$12,IF('Input (1)'!$F$19=N20,$N$13,IF('Input (1)'!$F$19=N21,$N$14,IF('Input (1)'!$F$19=N22,$N$15,"erro")))))</f>
        <v>0</v>
      </c>
      <c r="K38" s="315">
        <f>IF('Input (1)'!$F$19=N18,$O$11,IF('Input (1)'!$F$19=N19,$O$12,IF('Input (1)'!$F$19=N20,$O$13,IF('Input (1)'!$F$19=N21,$O$14,IF('Input (1)'!$F$19=N22,$O$15,"erro")))))</f>
        <v>0.05</v>
      </c>
      <c r="L38" s="386"/>
      <c r="AA38" s="278" t="s">
        <v>604</v>
      </c>
      <c r="AB38" s="278" t="s">
        <v>991</v>
      </c>
      <c r="AC38" s="278" t="s">
        <v>739</v>
      </c>
    </row>
    <row r="39" spans="1:29" ht="13.5" thickBot="1" x14ac:dyDescent="0.25">
      <c r="A39" s="101" t="str">
        <f>HLOOKUP('Output (1)'!$H$11,Traduções_ResIndicadores,ROW(),FALSE)</f>
        <v xml:space="preserve">H2 - Tempo de pressurização do sistema </v>
      </c>
      <c r="B39" s="412">
        <f>'Input (1)'!B25</f>
        <v>0</v>
      </c>
      <c r="C39" s="534" t="str">
        <f>HLOOKUP('Output (1)'!$H$11,Traduções_ResIndicadores,4,FALSE)</f>
        <v>horas/dia</v>
      </c>
      <c r="D39" s="138" t="str">
        <f>IF(B39&gt;0,IF('Input (1)'!$F25=N18,$M$11,IF('Input (1)'!F25=N19,$M$12,IF('Input (1)'!F25=N20,$M$13,IF('Input (1)'!F25=N21,$M$14,IF('Input (1)'!F25=N22,$M$15,"erro")))))," ")</f>
        <v xml:space="preserve"> </v>
      </c>
      <c r="H39" s="302">
        <f>IF('Input (1)'!$F$25=N18,'Configuration options'!$E$6,IF('Input (1)'!$F$25=N19,'Configuration options'!$E$7/100,IF('Input (1)'!$F$25=N20,'Configuration options'!$E$8/100,IF('Input (1)'!$F$25=N21,'Configuration options'!$E$9/100,IF('Input (1)'!$F$25=N22,'Configuration options'!$E$10/100,"erro")))))</f>
        <v>0</v>
      </c>
      <c r="I39" s="303">
        <f>IF('Input (1)'!$F$25=N18,'Configuration options'!$G$6,IF('Input (1)'!$F$25=N19,'Configuration options'!$G$7,IF('Input (1)'!$F$25=N20,'Configuration options'!$G$8,IF('Input (1)'!$F$25=N21,'Configuration options'!$G$9,IF('Input (1)'!$F$25=N22,'Configuration options'!$G$10,"erro")))))</f>
        <v>0.05</v>
      </c>
      <c r="J39" s="302">
        <f>IF('Input (1)'!$F$25=N18,'Configuration options'!$E$6,IF('Input (1)'!$F$25=N19,'Configuration options'!$E$7/100,IF('Input (1)'!$F$25=N20,'Configuration options'!$E$8/100,IF('Input (1)'!$F$25=N21,'Configuration options'!$E$9/100,IF('Input (1)'!$F$25=N22,'Configuration options'!$E$10/100,"erro")))))</f>
        <v>0</v>
      </c>
      <c r="K39" s="303">
        <f>IF('Input (1)'!$F$25=N18,'Configuration options'!$G$6,IF('Input (1)'!$F$25=N19,'Configuration options'!$G$7,IF('Input (1)'!$F$25=N20,'Configuration options'!$G$8,IF('Input (1)'!$F$25=N21,'Configuration options'!$G$9,IF('Input (1)'!$F$25=N22,'Configuration options'!$G$10,"erro")))))</f>
        <v>0.05</v>
      </c>
      <c r="L39" s="278"/>
      <c r="AA39" s="278" t="s">
        <v>601</v>
      </c>
      <c r="AB39" s="278" t="s">
        <v>1003</v>
      </c>
      <c r="AC39" s="278" t="s">
        <v>747</v>
      </c>
    </row>
    <row r="40" spans="1:29" ht="13.5" thickBot="1" x14ac:dyDescent="0.25">
      <c r="A40" s="125" t="str">
        <f>HLOOKUP('Output (1)'!$H$11,Traduções_ResIndicadores,ROW(),FALSE)</f>
        <v>Perdas reais por ramal</v>
      </c>
      <c r="B40" s="413" t="str">
        <f>IF(B43&gt;0,IF('Input (1)'!B10=1,"N/A",B42*1000/365/(B43*B44/24))," ")</f>
        <v xml:space="preserve"> </v>
      </c>
      <c r="C40" s="155" t="str">
        <f>'Output (2)'!C36</f>
        <v>l/ramal/dia</v>
      </c>
      <c r="D40" s="136" t="str">
        <f>IF(B43&gt;0,IF('Input (1)'!A10=1,"N/A",CONCATENATE(F40*100,"-",G40*100," %"))," ")</f>
        <v xml:space="preserve"> </v>
      </c>
      <c r="F40" s="288" t="e">
        <f>IF('Configuration options'!$A$16=1,H40,IF('Configuration options'!$A$16=2,J40,"Erro"))</f>
        <v>#DIV/0!</v>
      </c>
      <c r="G40" s="289" t="e">
        <f>IF('Configuration options'!$A$16=1,I40,IF('Configuration options'!$A$16=2,K40,"Erro"))</f>
        <v>#DIV/0!</v>
      </c>
      <c r="H40" s="299" t="e">
        <f>H42+H43+H44</f>
        <v>#DIV/0!</v>
      </c>
      <c r="I40" s="301" t="e">
        <f>I42+I43+I44</f>
        <v>#DIV/0!</v>
      </c>
      <c r="J40" s="307" t="e">
        <f>INT(SQRT(J42^2+J43^2+J44^2)*100)/100</f>
        <v>#DIV/0!</v>
      </c>
      <c r="K40" s="300" t="e">
        <f>INT(SQRT(K42^2+K43^2+K44^2)*100)/100</f>
        <v>#DIV/0!</v>
      </c>
      <c r="L40" s="394"/>
      <c r="AA40" s="631" t="s">
        <v>590</v>
      </c>
      <c r="AB40" s="653" t="s">
        <v>992</v>
      </c>
      <c r="AC40" s="653" t="s">
        <v>244</v>
      </c>
    </row>
    <row r="41" spans="1:29" x14ac:dyDescent="0.2">
      <c r="A41" s="101" t="str">
        <f>HLOOKUP('Output (1)'!$H$11,Traduções_ResIndicadores,ROW(),FALSE)</f>
        <v>Op27 = A19 x 1000 / (C24 x H2 / 24) (válido para sistemas de distribuição ou completos)</v>
      </c>
      <c r="B41" s="100"/>
      <c r="C41" s="117"/>
      <c r="D41" s="142"/>
      <c r="H41" s="440"/>
      <c r="I41" s="441"/>
      <c r="J41" s="440"/>
      <c r="K41" s="441"/>
      <c r="L41" s="296"/>
      <c r="AA41" s="278" t="s">
        <v>591</v>
      </c>
      <c r="AB41" s="278" t="s">
        <v>369</v>
      </c>
      <c r="AC41" s="278" t="s">
        <v>748</v>
      </c>
    </row>
    <row r="42" spans="1:29" x14ac:dyDescent="0.2">
      <c r="A42" s="101" t="str">
        <f>HLOOKUP('Output (1)'!$H$11,Traduções_ResIndicadores,ROW(),FALSE)</f>
        <v xml:space="preserve">A19 - Perdas reais </v>
      </c>
      <c r="B42" s="411">
        <f>'Output (2)'!B24</f>
        <v>0</v>
      </c>
      <c r="C42" s="178" t="str">
        <f>'Output (2)'!$C$9</f>
        <v>m3/ano</v>
      </c>
      <c r="D42" s="137" t="str">
        <f>'Output (2)'!D24</f>
        <v xml:space="preserve"> </v>
      </c>
      <c r="H42" s="302" t="e">
        <f>'Output (2)'!$F$24</f>
        <v>#DIV/0!</v>
      </c>
      <c r="I42" s="303" t="e">
        <f>'Output (2)'!$G$24</f>
        <v>#DIV/0!</v>
      </c>
      <c r="J42" s="302" t="e">
        <f>'Output (2)'!$F$24</f>
        <v>#DIV/0!</v>
      </c>
      <c r="K42" s="303" t="e">
        <f>'Output (2)'!$G$24</f>
        <v>#DIV/0!</v>
      </c>
      <c r="L42" s="438"/>
      <c r="AA42" s="278" t="s">
        <v>603</v>
      </c>
      <c r="AB42" s="278" t="s">
        <v>979</v>
      </c>
      <c r="AC42" s="278" t="s">
        <v>732</v>
      </c>
    </row>
    <row r="43" spans="1:29" x14ac:dyDescent="0.2">
      <c r="A43" s="101" t="str">
        <f>HLOOKUP('Output (1)'!$H$11,Traduções_ResIndicadores,ROW(),FALSE)</f>
        <v xml:space="preserve">C24 - Número de ramais </v>
      </c>
      <c r="B43" s="412">
        <f>'Input (1)'!B20</f>
        <v>0</v>
      </c>
      <c r="C43" s="153" t="s">
        <v>577</v>
      </c>
      <c r="D43" s="140" t="str">
        <f>IF(B43&gt;0,IF('Input (1)'!F20=N18,$M$11,IF('Input (1)'!F20=N19,$M$12,IF('Input (1)'!F20=N20,$M$13,IF('Input (1)'!F20=N21,$M$14,IF('Input (1)'!F20=N22,$M$15,"erro")))))," ")</f>
        <v xml:space="preserve"> </v>
      </c>
      <c r="H43" s="302">
        <f>IF('Input (1)'!$F$20=N18,$N$11,IF('Input (1)'!$F$20=N19,$N$12,IF('Input (1)'!$F$20=N20,$N$13,IF('Input (1)'!$F$20=N21,$N$14,IF('Input (1)'!$F$20=N22,$N$15,"erro")))))</f>
        <v>0</v>
      </c>
      <c r="I43" s="435">
        <f>IF('Input (1)'!$F$20=N18,$O$11,IF('Input (1)'!$F$20=N19,$O$12,IF('Input (1)'!$F$20=N20,$O$13,IF('Input (1)'!$F$20=N21,$O$14,IF('Input (1)'!$F$20=N22,$O$15,"erro")))))</f>
        <v>0.05</v>
      </c>
      <c r="J43" s="317">
        <f>IF('Input (1)'!$F$20=N18,$N$11,IF('Input (1)'!$F$20=N19,$N$12,IF('Input (1)'!$F$20=N20,$N$13,IF('Input (1)'!$F$20=N21,$N$14,IF('Input (1)'!$F$20=N22,$N$15,"erro")))))</f>
        <v>0</v>
      </c>
      <c r="K43" s="314">
        <f>IF('Input (1)'!$F$20=N18,$O$11,IF('Input (1)'!$F$20=N19,$O$12,IF('Input (1)'!$F$20=N20,$O$13,IF('Input (1)'!$F$20=N21,$O$14,IF('Input (1)'!$F$20=N22,$O$15,"erro")))))</f>
        <v>0.05</v>
      </c>
      <c r="L43" s="278"/>
      <c r="AA43" s="278" t="s">
        <v>602</v>
      </c>
      <c r="AB43" s="278" t="s">
        <v>983</v>
      </c>
      <c r="AC43" s="278" t="s">
        <v>749</v>
      </c>
    </row>
    <row r="44" spans="1:29" ht="13.5" thickBot="1" x14ac:dyDescent="0.25">
      <c r="A44" s="101" t="str">
        <f>HLOOKUP('Output (1)'!$H$11,Traduções_ResIndicadores,ROW(),FALSE)</f>
        <v xml:space="preserve">H2 - Tempo de pressurização do sistema </v>
      </c>
      <c r="B44" s="157">
        <f>'Input (1)'!B25</f>
        <v>0</v>
      </c>
      <c r="C44" s="534" t="str">
        <f>HLOOKUP('Output (1)'!$H$11,Traduções_ResIndicadores,4,FALSE)</f>
        <v>horas/dia</v>
      </c>
      <c r="D44" s="138" t="str">
        <f>IF(B44&gt;0,IF('Input (1)'!F25=N18,$M$11,IF('Input (1)'!F25=N19,$M$12,IF('Input (1)'!F25=N20,$M$13,IF('Input (1)'!F25=N21,$M$14,IF('Input (1)'!F25=N22,$M$15,"erro")))))," ")</f>
        <v xml:space="preserve"> </v>
      </c>
      <c r="H44" s="302">
        <f>IF('Input (1)'!$F$25=N18,$N$11,IF('Input (1)'!$F$25=N19,$N$12,IF('Input (1)'!$F$25=N20,$N$13,IF('Input (1)'!$F$25=N21,$N$14,IF('Input (1)'!$F$25=N22,$N$15,"erro")))))</f>
        <v>0</v>
      </c>
      <c r="I44" s="435">
        <f>IF('Input (1)'!$F$25=N18,$O$11,IF('Input (1)'!$F$25=N19,$O$12,IF('Input (1)'!$F$25=N20,$O$13,IF('Input (1)'!$F$25=N21,$O$14,IF('Input (1)'!$F$25=N22,$O$15,"erro")))))</f>
        <v>0.05</v>
      </c>
      <c r="J44" s="317">
        <f>IF('Input (1)'!$F$25=N18,$N$11,IF('Input (1)'!$F$25=N19,$N$12,IF('Input (1)'!$F$25=N20,$N$13,IF('Input (1)'!$F$25=N21,$N$14,IF('Input (1)'!$F$25=N22,$N$15,"erro")))))</f>
        <v>0</v>
      </c>
      <c r="K44" s="442">
        <f>IF('Input (1)'!$F$25=N18,$O$11,IF('Input (1)'!$F$25=N19,$O$12,IF('Input (1)'!$F$25=N20,$O$13,IF('Input (1)'!$F$25=N21,$O$14,IF('Input (1)'!$F$25=N22,$O$15,"erro")))))</f>
        <v>0.05</v>
      </c>
      <c r="L44" s="278"/>
      <c r="M44" s="316"/>
      <c r="AA44" s="278" t="s">
        <v>601</v>
      </c>
      <c r="AB44" s="278" t="s">
        <v>1003</v>
      </c>
      <c r="AC44" s="278" t="s">
        <v>750</v>
      </c>
    </row>
    <row r="45" spans="1:29" ht="13.5" thickBot="1" x14ac:dyDescent="0.25">
      <c r="A45" s="125" t="str">
        <f>HLOOKUP('Output (1)'!$H$11,Traduções_ResIndicadores,ROW(),FALSE)</f>
        <v xml:space="preserve">Índice infra-estrutural de fugas (-) </v>
      </c>
      <c r="B45" s="161" t="str">
        <f>IF(B50&gt;0,IF('Input (1)'!B10=1,"N/A",B40/(18*B48/B49+0.8+0.025*B50)/(B51/10))," ")</f>
        <v xml:space="preserve"> </v>
      </c>
      <c r="C45" s="155" t="s">
        <v>580</v>
      </c>
      <c r="D45" s="136" t="str">
        <f>IF(B45=" "," ",IF('Input (1)'!A10=1,"N/A",CONCATENATE(F45*100,"-",G45*100," %")))</f>
        <v xml:space="preserve"> </v>
      </c>
      <c r="F45" s="288" t="e">
        <f>IF('Configuration options'!$A$16=1,H45,IF('Configuration options'!$A$16=2,J45,"Erro"))</f>
        <v>#VALUE!</v>
      </c>
      <c r="G45" s="289" t="e">
        <f>IF('Configuration options'!$A$16=1,I45,IF('Configuration options'!$A$16=2,K45,"Erro"))</f>
        <v>#VALUE!</v>
      </c>
      <c r="H45" s="299" t="e">
        <f>INT(($S$48)*100)/100</f>
        <v>#VALUE!</v>
      </c>
      <c r="I45" s="301" t="e">
        <f>INT(($T$48)*100)/100</f>
        <v>#VALUE!</v>
      </c>
      <c r="J45" s="307" t="e">
        <f>INT($U$48*100)/100</f>
        <v>#VALUE!</v>
      </c>
      <c r="K45" s="300" t="e">
        <f>INT(V48*100)/100</f>
        <v>#VALUE!</v>
      </c>
      <c r="L45" s="394"/>
      <c r="S45" s="764" t="s">
        <v>1</v>
      </c>
      <c r="T45" s="764"/>
      <c r="U45" s="765" t="s">
        <v>2</v>
      </c>
      <c r="V45" s="765"/>
      <c r="AA45" s="631" t="s">
        <v>545</v>
      </c>
      <c r="AB45" s="653" t="s">
        <v>993</v>
      </c>
      <c r="AC45" s="653" t="s">
        <v>751</v>
      </c>
    </row>
    <row r="46" spans="1:29" x14ac:dyDescent="0.2">
      <c r="A46" s="101" t="str">
        <f>HLOOKUP('Output (1)'!$H$11,Traduções_ResIndicadores,ROW(),FALSE)</f>
        <v>Op29 = Op27 / (18 x C8 / C24 + 0,8 + 0,025 x C25) / (D34/10)</v>
      </c>
      <c r="B46" s="100"/>
      <c r="C46" s="159"/>
      <c r="D46" s="141"/>
      <c r="H46" s="440"/>
      <c r="I46" s="441"/>
      <c r="J46" s="440"/>
      <c r="K46" s="441"/>
      <c r="L46" s="296"/>
      <c r="AA46" s="278" t="s">
        <v>37</v>
      </c>
      <c r="AB46" s="278" t="s">
        <v>37</v>
      </c>
      <c r="AC46" s="278" t="s">
        <v>37</v>
      </c>
    </row>
    <row r="47" spans="1:29" x14ac:dyDescent="0.2">
      <c r="A47" s="101" t="str">
        <f>HLOOKUP('Output (1)'!$H$11,Traduções_ResIndicadores,ROW(),FALSE)</f>
        <v>Op27 - Perdas reais por ramal</v>
      </c>
      <c r="B47" s="411" t="str">
        <f>B40</f>
        <v xml:space="preserve"> </v>
      </c>
      <c r="C47" s="178" t="str">
        <f>C40</f>
        <v>l/ramal/dia</v>
      </c>
      <c r="D47" s="137" t="str">
        <f>D40</f>
        <v xml:space="preserve"> </v>
      </c>
      <c r="H47" s="302" t="e">
        <f>H40</f>
        <v>#DIV/0!</v>
      </c>
      <c r="I47" s="314" t="e">
        <f>I40</f>
        <v>#DIV/0!</v>
      </c>
      <c r="J47" s="302" t="e">
        <f>J40</f>
        <v>#DIV/0!</v>
      </c>
      <c r="K47" s="303" t="e">
        <f>K40</f>
        <v>#DIV/0!</v>
      </c>
      <c r="L47" s="438"/>
      <c r="M47" s="331" t="s">
        <v>9</v>
      </c>
      <c r="N47" s="331" t="s">
        <v>10</v>
      </c>
      <c r="O47" s="331" t="s">
        <v>13</v>
      </c>
      <c r="P47" s="331" t="s">
        <v>11</v>
      </c>
      <c r="Q47" s="469" t="s">
        <v>12</v>
      </c>
      <c r="R47" s="333"/>
      <c r="S47" s="334"/>
      <c r="T47" s="334"/>
      <c r="U47" s="471"/>
      <c r="V47" s="471"/>
      <c r="AA47" s="278" t="s">
        <v>593</v>
      </c>
      <c r="AB47" s="278" t="s">
        <v>994</v>
      </c>
      <c r="AC47" s="278" t="s">
        <v>752</v>
      </c>
    </row>
    <row r="48" spans="1:29" x14ac:dyDescent="0.2">
      <c r="A48" s="101" t="str">
        <f>HLOOKUP('Output (1)'!$H$11,Traduções_ResIndicadores,ROW(),FALSE)</f>
        <v>C8 - Comprimento de condutas</v>
      </c>
      <c r="B48" s="412">
        <f>'Input (1)'!B19</f>
        <v>0</v>
      </c>
      <c r="C48" s="153" t="s">
        <v>511</v>
      </c>
      <c r="D48" s="138" t="str">
        <f>IF(B48&gt;0,IF('Input (1)'!F19=N18,$M$11,IF('Input (1)'!F19=N19,$M$12,IF('Input (1)'!F19=N20,$M$13,IF('Input (1)'!F19=N21,$M$14,IF('Input (1)'!F19=N22,$M$15,"erro")))))," ")</f>
        <v xml:space="preserve"> </v>
      </c>
      <c r="H48" s="302">
        <f>IF('Input (1)'!$F$19=N18,$N$11,IF('Input (1)'!$F$19=N19,$N$12,IF('Input (1)'!$F$19=N20,$N$13,IF('Input (1)'!$F$19=N21,$N$14,IF('Input (1)'!$F$19=N22,$N$15,"erro")))))</f>
        <v>0</v>
      </c>
      <c r="I48" s="435">
        <f>IF('Input (1)'!$F$19=N18,$O$11,IF('Input (1)'!$F$19=N19,$O$12,IF('Input (1)'!$F$19=N20,$O$13,IF('Input (1)'!$F$19=N21,$O$14,IF('Input (1)'!$F$19=N22,$O$15,"erro")))))</f>
        <v>0.05</v>
      </c>
      <c r="J48" s="317">
        <f>IF('Input (1)'!$F$19=N18,$N$11,IF('Input (1)'!$F$19=N19,$N$12,IF('Input (1)'!$F$19=N20,$N$13,IF('Input (1)'!$F$19=N21,$N$14,IF('Input (1)'!$F$19=N22,$N$15,"erro")))))</f>
        <v>0</v>
      </c>
      <c r="K48" s="314">
        <f>IF('Input (1)'!$F$19=N18,$O$11,IF('Input (1)'!$F$19=N19,$O$12,IF('Input (1)'!$F$19=N20,$O$13,IF('Input (1)'!$F$19=N21,$O$14,IF('Input (1)'!$F$19=N22,$O$15,"erro")))))</f>
        <v>0.05</v>
      </c>
      <c r="L48" s="438"/>
      <c r="M48" s="331" t="e">
        <f>($B$47*10*18*$B$51/$B$49)/((18*$B$48*$B$51/$B$49+0.8*$B$51+0.025*$B$50*$B$51)^2)</f>
        <v>#VALUE!</v>
      </c>
      <c r="N48" s="331" t="e">
        <f>($B$47*10*18*$B$51*$B$48/($B$49^2))/((18*$B$48*$B$51/$B$49+0.8*$B$51+0.025*$B$50*$B$51)^2)</f>
        <v>#VALUE!</v>
      </c>
      <c r="O48" s="331" t="e">
        <f>($B$47*10*(18*$B$48/$B$49+0.7+0.025*$B$50))/((18*$B$48*$B$51/$B$49+0.8*$B$51+0.025*$B$50*$B$51)^2)</f>
        <v>#VALUE!</v>
      </c>
      <c r="P48" s="331" t="e">
        <f>($B$47*10*0.025*$B$51)/((18*$B$48*$B$51/$B$49+0.8*$B$51+0.025*$B$50*$B$51)^2)</f>
        <v>#VALUE!</v>
      </c>
      <c r="Q48" s="331" t="e">
        <f>10/((18*$B$48*$B$51/$B$49+0.8*$B$51+0.025*$B$50*$B$51))</f>
        <v>#DIV/0!</v>
      </c>
      <c r="R48" s="336"/>
      <c r="S48" s="334" t="e">
        <f>($M$48*H48*$B$48+$N$48*H49*$B$49+$O$48*H51*$B$51+$P$48*H50*$B$50+$Q$48*H47*$B$47)/$B$45</f>
        <v>#VALUE!</v>
      </c>
      <c r="T48" s="334" t="e">
        <f>($M$48*I48*$B$48+$N$48*I49*$B$49+$O$48*I51*$B$51+$P$48*I50*$B$50+$Q$48*I47*$B$47)/$B$45</f>
        <v>#VALUE!</v>
      </c>
      <c r="U48" s="471" t="e">
        <f>SQRT(($M$48*J48*$B$48)^2+($N$48*J49*$B$49)^2+($O$48*J51*$B$51)^2+($P$48*J50*$B$50)^2+($Q$48*J47*$B$47)^2)/$B$45</f>
        <v>#VALUE!</v>
      </c>
      <c r="V48" s="471" t="e">
        <f>SQRT(($M$48*K48*$B$48)^2+($N$48*K49*$B$49)^2+($O$48*K51*$B$51)^2+($P$48*K50*$B$50)^2+($Q$48*K47*$B$47)^2)/$B$45</f>
        <v>#VALUE!</v>
      </c>
      <c r="AA48" s="278" t="s">
        <v>598</v>
      </c>
      <c r="AB48" s="278" t="s">
        <v>985</v>
      </c>
      <c r="AC48" s="278" t="s">
        <v>739</v>
      </c>
    </row>
    <row r="49" spans="1:36" x14ac:dyDescent="0.2">
      <c r="A49" s="101" t="str">
        <f>HLOOKUP('Output (1)'!$H$11,Traduções_ResIndicadores,ROW(),FALSE)</f>
        <v>C24 - Número de ramais</v>
      </c>
      <c r="B49" s="412">
        <f>'Input (1)'!B20</f>
        <v>0</v>
      </c>
      <c r="C49" s="156" t="s">
        <v>577</v>
      </c>
      <c r="D49" s="140" t="str">
        <f>IF(B49&gt;0,IF('Input (1)'!F20=N18,$M$11,IF('Input (1)'!F20=N19,$M$12,IF('Input (1)'!F20=N20,$M$13,IF('Input (1)'!F20=N21,$M$14,IF('Input (1)'!F20=N22,$M$15,"erro")))))," ")</f>
        <v xml:space="preserve"> </v>
      </c>
      <c r="H49" s="302">
        <f>IF('Input (1)'!$F$20=N18,$N$11,IF('Input (1)'!$F$20=N19,$N$12,IF('Input (1)'!$F$20=N20,$N$13,IF('Input (1)'!$F$20=N21,$N$14,IF('Input (1)'!$F$20=N22,$N$15,"erro")))))</f>
        <v>0</v>
      </c>
      <c r="I49" s="435">
        <f>IF('Input (1)'!$F$20=N18,$O$11,IF('Input (1)'!$F$20=N19,$O$12,IF('Input (1)'!$F$20=N20,$O$13,IF('Input (1)'!$F$20=N21,$O$14,IF('Input (1)'!$F$20=N22,$O$15,"erro")))))</f>
        <v>0.05</v>
      </c>
      <c r="J49" s="317">
        <f>IF('Input (1)'!$F$20=N18,$N$11,IF('Input (1)'!$F$20=N19,$N$12,IF('Input (1)'!$F$20=N20,$N$13,IF('Input (1)'!$F$20=N21,$N$14,IF('Input (1)'!$F$20=N22,$N$15,"erro")))))</f>
        <v>0</v>
      </c>
      <c r="K49" s="314">
        <f>IF('Input (1)'!$F$20=N18,$O$11,IF('Input (1)'!$F$20=N19,$O$12,IF('Input (1)'!$F$20=N20,$O$13,IF('Input (1)'!$F$20=N21,$O$14,IF('Input (1)'!$F$20=N22,$O$15,"erro")))))</f>
        <v>0.05</v>
      </c>
      <c r="L49" s="278"/>
      <c r="M49" s="331"/>
      <c r="N49" s="331"/>
      <c r="O49" s="331"/>
      <c r="P49" s="331"/>
      <c r="Q49" s="470"/>
      <c r="R49" s="336"/>
      <c r="S49" s="334"/>
      <c r="T49" s="334"/>
      <c r="U49" s="471"/>
      <c r="V49" s="471"/>
      <c r="AA49" s="278" t="s">
        <v>597</v>
      </c>
      <c r="AB49" s="278" t="s">
        <v>983</v>
      </c>
      <c r="AC49" s="278" t="s">
        <v>736</v>
      </c>
    </row>
    <row r="50" spans="1:36" x14ac:dyDescent="0.2">
      <c r="A50" s="101" t="str">
        <f>HLOOKUP('Output (1)'!$H$11,Traduções_ResIndicadores,ROW(),FALSE)</f>
        <v>C25 - Comprimento médio dos ramais prediais</v>
      </c>
      <c r="B50" s="412">
        <f>'Input (1)'!B23</f>
        <v>0</v>
      </c>
      <c r="C50" s="153" t="s">
        <v>509</v>
      </c>
      <c r="D50" s="138" t="str">
        <f>IF(B50&gt;0,IF('Input (1)'!F23=N18,$M$11,IF('Input (1)'!F23=N19,$M$12,IF('Input (1)'!F23=N20,"21-50 %",IF('Input (1)'!F23=N21,$M$14,IF('Input (1)'!F23=N22,$M$15,"erro")))))," ")</f>
        <v xml:space="preserve"> </v>
      </c>
      <c r="H50" s="302">
        <f>IF('Input (1)'!$F$23=N18,$N$11,IF('Input (1)'!$F$23=N19,$N$12,IF('Input (1)'!$F$23=N20,$N$13,IF('Input (1)'!$F$23=N21,$N$14,IF('Input (1)'!$F$23=N22,$N$15,"erro")))))</f>
        <v>0.21000000000000005</v>
      </c>
      <c r="I50" s="435">
        <f>IF('Input (1)'!$F$23=N18,$O$11,IF('Input (1)'!$F$23=N19,$O$12,IF('Input (1)'!$F$23=N20,$O$13,IF('Input (1)'!$F$23=N21,$O$14,IF('Input (1)'!$F$23=N22,$O$15,"erro")))))</f>
        <v>0.5</v>
      </c>
      <c r="J50" s="317">
        <f>IF('Input (1)'!$F$23=N18,$N$11,IF('Input (1)'!$F$23=N19,$N$12,IF('Input (1)'!$F$23=N20,$N$13,IF('Input (1)'!$F$23=N21,$N$14,IF('Input (1)'!$F$23=N22,$N$15,"erro")))))</f>
        <v>0.21000000000000005</v>
      </c>
      <c r="K50" s="314">
        <f>IF('Input (1)'!$F$22=N18,$O$11,IF('Input (1)'!$F$22=N19,$O$12,IF('Input (1)'!$F$22=N20,$O$13,IF('Input (1)'!$F$22=N21,$O$14,IF('Input (1)'!$F$22=N22,$O$15,"erro")))))</f>
        <v>0.05</v>
      </c>
      <c r="L50" s="278"/>
      <c r="AA50" s="278" t="s">
        <v>60</v>
      </c>
      <c r="AB50" s="278" t="s">
        <v>1004</v>
      </c>
      <c r="AC50" s="278" t="s">
        <v>753</v>
      </c>
    </row>
    <row r="51" spans="1:36" ht="13.5" thickBot="1" x14ac:dyDescent="0.25">
      <c r="A51" s="101" t="str">
        <f>HLOOKUP('Output (1)'!$H$11,Traduções_ResIndicadores,ROW(),FALSE)</f>
        <v>D34 - Pressão média de operação</v>
      </c>
      <c r="B51" s="412">
        <f>'Input (1)'!B21*10</f>
        <v>0</v>
      </c>
      <c r="C51" s="156" t="s">
        <v>595</v>
      </c>
      <c r="D51" s="138" t="str">
        <f>IF(B51&gt;0,IF('Input (1)'!F21=N18,$M$11,IF('Input (1)'!F21=N19,$M$12,IF('Input (1)'!F21=N20,$M$13,IF('Input (1)'!F21=N21,$M$14,IF('Input (1)'!F21=N22,$M$15,"erro")))))," ")</f>
        <v xml:space="preserve"> </v>
      </c>
      <c r="H51" s="304">
        <f>IF('Input (1)'!$F$21=N18,$N$11,IF('Input (1)'!$F$21=N19,$N$12,IF('Input (1)'!$F$21=N20,$N$13,IF('Input (1)'!$F$21=N21,$N$14,IF('Input (1)'!$F$21=N22,$N$15,"erro")))))</f>
        <v>0</v>
      </c>
      <c r="I51" s="443">
        <f>IF('Input (1)'!$F$21=N18,$O$11,IF('Input (1)'!$F$21=N19,$O$12,IF('Input (1)'!$F$21=N20,$O$13,IF('Input (1)'!$F$21=N21,$O$14,IF('Input (1)'!$F$21=N22,$O$15,"erro")))))</f>
        <v>0.05</v>
      </c>
      <c r="J51" s="444">
        <f>IF('Input (1)'!$F$21=N18,$N$11,IF('Input (1)'!$F$21=N19,$N$12,IF('Input (1)'!$F$21=N20,$N$13,IF('Input (1)'!$F$21=N21,$N$14,IF('Input (1)'!$F$21=N22,$N$15,"erro")))))</f>
        <v>0</v>
      </c>
      <c r="K51" s="442">
        <f>IF('Input (1)'!$F$21=N18,$O$11,IF('Input (1)'!$F$21=N19,$O$12,IF('Input (1)'!$F$21=N20,$O$13,IF('Input (1)'!$F$21=N21,$O$14,IF('Input (1)'!$F$21=N22,$O$15,"erro")))))</f>
        <v>0.05</v>
      </c>
      <c r="L51" s="438"/>
      <c r="M51" s="316"/>
      <c r="AA51" s="278" t="s">
        <v>596</v>
      </c>
      <c r="AB51" s="278" t="s">
        <v>1005</v>
      </c>
      <c r="AC51" s="278" t="s">
        <v>754</v>
      </c>
    </row>
    <row r="52" spans="1:36" ht="13.5" thickBot="1" x14ac:dyDescent="0.25">
      <c r="A52" s="126" t="str">
        <f>HLOOKUP('Output (1)'!$H$11,Traduções_ResIndicadores,ROW(),FALSE)</f>
        <v>Indicadores financeiros</v>
      </c>
      <c r="B52" s="162"/>
      <c r="C52" s="163"/>
      <c r="D52" s="135"/>
      <c r="H52" s="439"/>
      <c r="I52" s="439"/>
      <c r="J52" s="306"/>
      <c r="K52" s="439"/>
      <c r="AA52" s="673" t="s">
        <v>508</v>
      </c>
      <c r="AB52" s="673" t="s">
        <v>697</v>
      </c>
      <c r="AC52" s="673" t="s">
        <v>196</v>
      </c>
    </row>
    <row r="53" spans="1:36" ht="13.5" thickBot="1" x14ac:dyDescent="0.25">
      <c r="A53" s="124" t="str">
        <f>HLOOKUP('Output (1)'!$H$11,Traduções_ResIndicadores,ROW(),FALSE)</f>
        <v xml:space="preserve">Água não facturada em termos de volume (%) </v>
      </c>
      <c r="B53" s="164" t="str">
        <f>IF(B55&gt;0,B56/B55*100," ")</f>
        <v xml:space="preserve"> </v>
      </c>
      <c r="C53" s="165" t="s">
        <v>543</v>
      </c>
      <c r="D53" s="136" t="str">
        <f>IF(B55&gt;0,CONCATENATE(F53*100,"-",G53*100," %")," ")</f>
        <v xml:space="preserve"> </v>
      </c>
      <c r="E53" s="23"/>
      <c r="F53" s="288" t="e">
        <f>IF('Configuration options'!$A$16=1,H53,IF('Configuration options'!$A$16=2,J53,"Erro"))</f>
        <v>#DIV/0!</v>
      </c>
      <c r="G53" s="289" t="e">
        <f>IF('Configuration options'!$A$16=1,I53,IF('Configuration options'!$A$16=2,K53,"Erro"))</f>
        <v>#DIV/0!</v>
      </c>
      <c r="H53" s="307" t="e">
        <f>H55+H56</f>
        <v>#DIV/0!</v>
      </c>
      <c r="I53" s="313" t="e">
        <f>I55+I56</f>
        <v>#DIV/0!</v>
      </c>
      <c r="J53" s="307" t="e">
        <f>INT(SQRT(J55^2+J56^2)*100)/100</f>
        <v>#DIV/0!</v>
      </c>
      <c r="K53" s="313" t="e">
        <f>INT(SQRT(K55^2+K56^2)*100)/100</f>
        <v>#DIV/0!</v>
      </c>
      <c r="L53" s="394"/>
      <c r="AA53" s="631" t="s">
        <v>531</v>
      </c>
      <c r="AB53" s="631" t="s">
        <v>1008</v>
      </c>
      <c r="AC53" s="631" t="s">
        <v>755</v>
      </c>
    </row>
    <row r="54" spans="1:36" x14ac:dyDescent="0.2">
      <c r="A54" s="101" t="str">
        <f>HLOOKUP('Output (1)'!$H$11,Traduções_ResIndicadores,ROW(),FALSE)</f>
        <v>Fi46 = A21 / A3 x 100</v>
      </c>
      <c r="B54" s="166"/>
      <c r="C54" s="158"/>
      <c r="D54" s="142"/>
      <c r="H54" s="440"/>
      <c r="I54" s="441"/>
      <c r="J54" s="440"/>
      <c r="K54" s="441"/>
      <c r="L54" s="296"/>
      <c r="AA54" s="278" t="s">
        <v>568</v>
      </c>
      <c r="AB54" s="278" t="s">
        <v>568</v>
      </c>
      <c r="AC54" s="278" t="s">
        <v>568</v>
      </c>
    </row>
    <row r="55" spans="1:36" x14ac:dyDescent="0.2">
      <c r="A55" s="101" t="str">
        <f>HLOOKUP('Output (1)'!$H$11,Traduções_ResIndicadores,ROW(),FALSE)</f>
        <v>A3 - Água entrada no sistema</v>
      </c>
      <c r="B55" s="411">
        <f>'Output (2)'!B9</f>
        <v>0</v>
      </c>
      <c r="C55" s="178" t="str">
        <f>'Output (2)'!$C$9</f>
        <v>m3/ano</v>
      </c>
      <c r="D55" s="137" t="str">
        <f>'Output (2)'!D10</f>
        <v xml:space="preserve"> </v>
      </c>
      <c r="H55" s="302">
        <f>'Input (2)'!$H$12</f>
        <v>0</v>
      </c>
      <c r="I55" s="303">
        <f>'Input (2)'!$I$12</f>
        <v>0</v>
      </c>
      <c r="J55" s="302">
        <f>'Input (2)'!$H$12</f>
        <v>0</v>
      </c>
      <c r="K55" s="303">
        <f>'Input (2)'!$I$12</f>
        <v>0</v>
      </c>
      <c r="L55" s="438"/>
      <c r="AA55" s="278" t="s">
        <v>578</v>
      </c>
      <c r="AB55" s="278" t="s">
        <v>998</v>
      </c>
      <c r="AC55" s="278" t="s">
        <v>756</v>
      </c>
    </row>
    <row r="56" spans="1:36" ht="13.5" thickBot="1" x14ac:dyDescent="0.25">
      <c r="A56" s="101" t="str">
        <f>HLOOKUP('Output (1)'!$H$11,Traduções_ResIndicadores,ROW(),FALSE)</f>
        <v>A21 - Água não facturada</v>
      </c>
      <c r="B56" s="414">
        <f>'Output (2)'!B15</f>
        <v>0</v>
      </c>
      <c r="C56" s="534" t="str">
        <f>'Output (2)'!$C$9</f>
        <v>m3/ano</v>
      </c>
      <c r="D56" s="143" t="str">
        <f>'Output (2)'!D15</f>
        <v xml:space="preserve"> </v>
      </c>
      <c r="H56" s="304" t="e">
        <f>'Output (2)'!$F$15</f>
        <v>#DIV/0!</v>
      </c>
      <c r="I56" s="305" t="e">
        <f>'Output (2)'!$G$15</f>
        <v>#DIV/0!</v>
      </c>
      <c r="J56" s="304" t="e">
        <f>'Output (2)'!$F$15</f>
        <v>#DIV/0!</v>
      </c>
      <c r="K56" s="305" t="e">
        <f>'Output (2)'!$G$15</f>
        <v>#DIV/0!</v>
      </c>
      <c r="L56" s="438"/>
      <c r="AA56" s="278" t="s">
        <v>599</v>
      </c>
      <c r="AB56" s="278" t="s">
        <v>999</v>
      </c>
      <c r="AC56" s="278" t="s">
        <v>757</v>
      </c>
    </row>
    <row r="57" spans="1:36" ht="13.5" thickBot="1" x14ac:dyDescent="0.25">
      <c r="A57" s="125" t="str">
        <f>HLOOKUP('Output (1)'!$H$11,Traduções_ResIndicadores,ROW(),FALSE)</f>
        <v xml:space="preserve">Água não facturada em termos de custo (%) </v>
      </c>
      <c r="B57" s="416" t="str">
        <f>IF(B64&gt;0,((B59+B60)*B61+B62*B63)/B64*100," ")</f>
        <v xml:space="preserve"> </v>
      </c>
      <c r="C57" s="160" t="s">
        <v>543</v>
      </c>
      <c r="D57" s="136" t="str">
        <f>IF(B64&gt;0,CONCATENATE(F57*100,"-",G57*100," %")," ")</f>
        <v xml:space="preserve"> </v>
      </c>
      <c r="F57" s="288" t="e">
        <f>IF('Configuration options'!$A$16=1,INT(H57*100)/100,IF('Configuration options'!$A$16=2,INT(J57*100)/100,"Erro"))</f>
        <v>#DIV/0!</v>
      </c>
      <c r="G57" s="312" t="e">
        <f>IF('Configuration options'!$A$16=1,INT(I57*100)/100,IF('Configuration options'!$A$16=2,INT(K57*100)/100,"Erro"))</f>
        <v>#DIV/0!</v>
      </c>
      <c r="H57" s="307" t="e">
        <f>S59</f>
        <v>#DIV/0!</v>
      </c>
      <c r="I57" s="307" t="e">
        <f>T59</f>
        <v>#DIV/0!</v>
      </c>
      <c r="J57" s="307" t="e">
        <f>U59</f>
        <v>#DIV/0!</v>
      </c>
      <c r="K57" s="434" t="e">
        <f>V59</f>
        <v>#DIV/0!</v>
      </c>
      <c r="L57" s="482"/>
      <c r="S57" s="764" t="s">
        <v>1</v>
      </c>
      <c r="T57" s="764"/>
      <c r="U57" s="765" t="s">
        <v>2</v>
      </c>
      <c r="V57" s="765"/>
      <c r="AA57" s="631" t="s">
        <v>532</v>
      </c>
      <c r="AB57" s="631" t="s">
        <v>976</v>
      </c>
      <c r="AC57" s="631" t="s">
        <v>758</v>
      </c>
    </row>
    <row r="58" spans="1:36" x14ac:dyDescent="0.2">
      <c r="A58" s="101" t="str">
        <f>HLOOKUP('Output (1)'!$H$11,Traduções_ResIndicadores,ROW(),FALSE)</f>
        <v>Fi47 = ((A13 + A18) x G57 + A19 x G58) / G5 x 100</v>
      </c>
      <c r="B58" s="100"/>
      <c r="C58" s="117"/>
      <c r="D58" s="144"/>
      <c r="E58" s="238"/>
      <c r="H58" s="440"/>
      <c r="I58" s="441"/>
      <c r="J58" s="440"/>
      <c r="K58" s="441"/>
      <c r="L58" s="296"/>
      <c r="AA58" s="278" t="s">
        <v>570</v>
      </c>
      <c r="AB58" s="278" t="s">
        <v>570</v>
      </c>
      <c r="AC58" s="278" t="s">
        <v>570</v>
      </c>
    </row>
    <row r="59" spans="1:36" ht="13.5" x14ac:dyDescent="0.25">
      <c r="A59" s="101" t="str">
        <f>HLOOKUP('Output (1)'!$H$11,Traduções_ResIndicadores,ROW(),FALSE)</f>
        <v>A13 - Consumo autorizado não facturado</v>
      </c>
      <c r="B59" s="411">
        <f>'Output (2)'!B18</f>
        <v>0</v>
      </c>
      <c r="C59" s="178" t="str">
        <f>'Output (2)'!$C$9</f>
        <v>m3/ano</v>
      </c>
      <c r="D59" s="138" t="str">
        <f>'Output (2)'!D22</f>
        <v xml:space="preserve"> </v>
      </c>
      <c r="E59" s="238"/>
      <c r="G59" s="316"/>
      <c r="H59" s="317">
        <f>'Input (4)'!$H$43</f>
        <v>0</v>
      </c>
      <c r="I59" s="311">
        <f>'Input (4)'!$I$43</f>
        <v>0</v>
      </c>
      <c r="J59" s="310">
        <f>'Input (4)'!$H$43</f>
        <v>0</v>
      </c>
      <c r="K59" s="303">
        <f>'Input (4)'!$I$43</f>
        <v>0</v>
      </c>
      <c r="L59" s="438"/>
      <c r="M59" s="338" t="s">
        <v>14</v>
      </c>
      <c r="N59" s="338" t="s">
        <v>15</v>
      </c>
      <c r="O59" s="337" t="s">
        <v>16</v>
      </c>
      <c r="P59" s="339" t="s">
        <v>17</v>
      </c>
      <c r="Q59" s="332" t="s">
        <v>18</v>
      </c>
      <c r="R59" s="340" t="s">
        <v>19</v>
      </c>
      <c r="S59" s="334" t="e">
        <f>($M$60*H59*$B$59+$N$60*H61*$B$61+$O$60*H60*$B$60+$P$60*H64*$B$64+$Q$60*H62*$B$62+$R$60*H63*$B$63)/$B$57</f>
        <v>#DIV/0!</v>
      </c>
      <c r="T59" s="334" t="e">
        <f>($M$60*I59*$B$59+$N$60*I61*$B$61+$O$60*I60*$B$60+$P$60*I64*$B$64+$Q$60*I62*$B$62+$R$60*I63*$B$63)/$B$57</f>
        <v>#DIV/0!</v>
      </c>
      <c r="U59" s="334" t="e">
        <f>SQRT(($M$60*J59*$B$59)^2+($N$60*J61*$B$61)^2+($O$60*J60*$B$60)^2+($P$60*J64*$B$64)^2+($Q$60*J62*$B$62)^2+($R$60*J63*$B$63)^2)/$B$57</f>
        <v>#DIV/0!</v>
      </c>
      <c r="V59" s="334" t="e">
        <f>SQRT(($M$60*K59*$B$59)^2+($N$60*K61*$B$61)^2+($O$60*K60*$B$60)^2+($P$60*K64*$B$64)^2+($Q$60*K62*$B$62)^2+($R$60*K63*$B$63)^2)/$B$57</f>
        <v>#DIV/0!</v>
      </c>
      <c r="AA59" s="278" t="s">
        <v>571</v>
      </c>
      <c r="AB59" s="278" t="s">
        <v>1000</v>
      </c>
      <c r="AC59" s="278" t="s">
        <v>759</v>
      </c>
    </row>
    <row r="60" spans="1:36" x14ac:dyDescent="0.2">
      <c r="A60" s="101" t="str">
        <f>HLOOKUP('Output (1)'!$H$11,Traduções_ResIndicadores,ROW(),FALSE)</f>
        <v>A18 - Perdas aparentes</v>
      </c>
      <c r="B60" s="412">
        <f>'Output (2)'!B23</f>
        <v>0</v>
      </c>
      <c r="C60" s="533" t="str">
        <f>'Output (2)'!$C$9</f>
        <v>m3/ano</v>
      </c>
      <c r="D60" s="138" t="str">
        <f>'Output (2)'!D23</f>
        <v xml:space="preserve"> </v>
      </c>
      <c r="E60" s="238"/>
      <c r="G60" s="316"/>
      <c r="H60" s="302" t="e">
        <f>'Input (5)'!$J$19</f>
        <v>#DIV/0!</v>
      </c>
      <c r="I60" s="314" t="e">
        <f>'Input (5)'!$K$19</f>
        <v>#DIV/0!</v>
      </c>
      <c r="J60" s="302" t="e">
        <f>'Input (5)'!$J$19</f>
        <v>#DIV/0!</v>
      </c>
      <c r="K60" s="303" t="e">
        <f>'Input (5)'!$K$19</f>
        <v>#DIV/0!</v>
      </c>
      <c r="L60" s="278"/>
      <c r="M60" s="338" t="e">
        <f>100*B61/B64</f>
        <v>#DIV/0!</v>
      </c>
      <c r="N60" s="338" t="e">
        <f>100*(B59+B60)/B64</f>
        <v>#DIV/0!</v>
      </c>
      <c r="O60" s="337" t="e">
        <f>100*B61/B64</f>
        <v>#DIV/0!</v>
      </c>
      <c r="P60" s="339" t="e">
        <f>100*((B59+B60)*B61+B62*B63)/(B64^2)</f>
        <v>#DIV/0!</v>
      </c>
      <c r="Q60" s="337" t="e">
        <f>100*B63/B64</f>
        <v>#DIV/0!</v>
      </c>
      <c r="R60" s="341" t="e">
        <f>100*B62/B64</f>
        <v>#DIV/0!</v>
      </c>
      <c r="S60" s="334"/>
      <c r="T60" s="334"/>
      <c r="U60" s="335"/>
      <c r="V60" s="335"/>
      <c r="AA60" s="278" t="s">
        <v>600</v>
      </c>
      <c r="AB60" s="278" t="s">
        <v>977</v>
      </c>
      <c r="AC60" s="278" t="s">
        <v>742</v>
      </c>
    </row>
    <row r="61" spans="1:36" s="530" customFormat="1" x14ac:dyDescent="0.2">
      <c r="A61" s="681" t="str">
        <f>HLOOKUP('Output (1)'!$H$11,Traduções_ResIndicadores,ROW(),FALSE)</f>
        <v>G57 -Tarifa média para consumidores directos</v>
      </c>
      <c r="B61" s="682">
        <f>'Input (1)'!B27</f>
        <v>0</v>
      </c>
      <c r="C61" s="153" t="s">
        <v>613</v>
      </c>
      <c r="D61" s="138" t="str">
        <f>IF(B61&gt;0,IF('Input (1)'!F27=N18,$M$11,IF('Input (1)'!F27=N19,$M$12,IF('Input (1)'!F27=N20,"21-50 %)",IF('Input (1)'!F27=N21,$M$14,IF('Input (1)'!F27=N22,$M$15,"erro")))))," ")</f>
        <v xml:space="preserve"> </v>
      </c>
      <c r="E61" s="683"/>
      <c r="F61" s="531"/>
      <c r="G61" s="531"/>
      <c r="H61" s="684">
        <f>IF('Input (1)'!$F$27=N18,$N$11,IF('Input (1)'!$F$27=N19,$N$12,IF('Input (1)'!$F$27=N20,$N$13,IF('Input (1)'!$F$27=N21,$N$14,IF('Input (1)'!$F$27=N22,$N$15,"erro")))))</f>
        <v>0</v>
      </c>
      <c r="I61" s="685">
        <f>IF('Input (1)'!$F$27=N18,$O$11,IF('Input (1)'!$F$27=N19,$O$12,IF('Input (1)'!$F$27=N20,$O$13,IF('Input (1)'!$F$27=N21,$O$14,IF('Input (1)'!$F$27=N22,$O$15,"erro")))))</f>
        <v>0.05</v>
      </c>
      <c r="J61" s="686">
        <f>IF('Input (1)'!$F$27=N18,$N$11,IF('Input (1)'!$F$27=N19,$N$12,IF('Input (1)'!$F$27=N20,$N$13,IF('Input (1)'!$F$27=N21,$N$14,IF('Input (1)'!$F$27=N22,$N$15,"erro")))))</f>
        <v>0</v>
      </c>
      <c r="K61" s="687">
        <f>IF('Input (1)'!$F$27=N18,$O$11,IF('Input (1)'!$F$27=N19,$O$12,IF('Input (1)'!$F$27=N20,$O$13,IF('Input (1)'!$F$27=N21,$O$14,IF('Input (1)'!$F$27=N22,$O$15,"erro")))))</f>
        <v>0.05</v>
      </c>
      <c r="L61" s="688"/>
      <c r="M61" s="689"/>
      <c r="N61" s="689"/>
      <c r="O61" s="690"/>
      <c r="P61" s="339"/>
      <c r="Q61" s="690"/>
      <c r="R61" s="341"/>
      <c r="S61" s="691"/>
      <c r="T61" s="691"/>
      <c r="U61" s="692"/>
      <c r="V61" s="692"/>
      <c r="W61" s="531"/>
      <c r="X61" s="531"/>
      <c r="Y61" s="531"/>
      <c r="Z61" s="531"/>
      <c r="AA61" s="688" t="s">
        <v>572</v>
      </c>
      <c r="AB61" s="688" t="s">
        <v>372</v>
      </c>
      <c r="AC61" s="688" t="s">
        <v>760</v>
      </c>
      <c r="AD61" s="531"/>
      <c r="AE61" s="531"/>
      <c r="AF61" s="531"/>
      <c r="AG61" s="531"/>
      <c r="AH61" s="531"/>
      <c r="AI61" s="531"/>
      <c r="AJ61" s="531"/>
    </row>
    <row r="62" spans="1:36" x14ac:dyDescent="0.2">
      <c r="A62" s="101" t="str">
        <f>HLOOKUP('Output (1)'!$H$11,Traduções_ResIndicadores,ROW(),FALSE)</f>
        <v>A19 - Perdas reais</v>
      </c>
      <c r="B62" s="412">
        <f>'Output (2)'!B24</f>
        <v>0</v>
      </c>
      <c r="C62" s="533" t="str">
        <f>'Output (2)'!$C$9</f>
        <v>m3/ano</v>
      </c>
      <c r="D62" s="138" t="str">
        <f>'Output (2)'!D24</f>
        <v xml:space="preserve"> </v>
      </c>
      <c r="E62" s="23"/>
      <c r="H62" s="302" t="e">
        <f>'Output (2)'!$F$24</f>
        <v>#DIV/0!</v>
      </c>
      <c r="I62" s="303" t="e">
        <f>'Output (2)'!$G$24</f>
        <v>#DIV/0!</v>
      </c>
      <c r="J62" s="302" t="e">
        <f>'Output (2)'!$F$24</f>
        <v>#DIV/0!</v>
      </c>
      <c r="K62" s="303" t="e">
        <f>'Output (2)'!$G$24</f>
        <v>#DIV/0!</v>
      </c>
      <c r="L62" s="278"/>
      <c r="M62" s="338"/>
      <c r="N62" s="338"/>
      <c r="O62" s="337"/>
      <c r="P62" s="339"/>
      <c r="Q62" s="337"/>
      <c r="R62" s="342"/>
      <c r="S62" s="334"/>
      <c r="T62" s="334"/>
      <c r="U62" s="335"/>
      <c r="V62" s="335"/>
      <c r="AA62" s="278" t="s">
        <v>579</v>
      </c>
      <c r="AB62" s="278" t="s">
        <v>979</v>
      </c>
      <c r="AC62" s="278" t="s">
        <v>732</v>
      </c>
    </row>
    <row r="63" spans="1:36" x14ac:dyDescent="0.2">
      <c r="A63" s="101" t="str">
        <f>HLOOKUP('Output (1)'!$H$11,Traduções_ResIndicadores,ROW(),FALSE)</f>
        <v>G58 - Custo unitário assumido das perdas reais</v>
      </c>
      <c r="B63" s="157">
        <f>'Input (1)'!B28</f>
        <v>0</v>
      </c>
      <c r="C63" s="533" t="str">
        <f>'Output (2)'!$C$9</f>
        <v>m3/ano</v>
      </c>
      <c r="D63" s="138" t="str">
        <f>IF(B63&gt;0,IF('Input (1)'!F28=N18,$M$11,IF('Input (1)'!F28=N19,$M$12,IF('Input (1)'!F28=N20,"21-50 %)",IF('Input (1)'!F28=N21,$M$14,IF('Input (1)'!F28=N22,$M$15,"erro")))))," ")</f>
        <v xml:space="preserve"> </v>
      </c>
      <c r="E63" s="23"/>
      <c r="H63" s="302">
        <f>IF('Input (1)'!$F$28=N18,$N$11,IF('Input (1)'!$F$28=N19,$N$12,IF('Input (1)'!$F$28=N20,$N$13,IF('Input (1)'!$F$28=N21,$N$14,IF('Input (1)'!$F$28=N22,$N$15,"erro")))))</f>
        <v>0</v>
      </c>
      <c r="I63" s="435">
        <f>IF('Input (1)'!$F$28=N18,$O$11,IF('Input (1)'!$F$28=N19,$O$12,IF('Input (1)'!$F$28=N20,$O$13,IF('Input (1)'!$F$28=N21,$O$14,IF('Input (1)'!$F$28=N22,$O$15,"erro")))))</f>
        <v>0.05</v>
      </c>
      <c r="J63" s="317">
        <f>IF('Input (1)'!$F$28=N18,$N$11,IF('Input (1)'!$F$28=N19,$N$12,IF('Input (1)'!$F$28=N20,$N$13,IF('Input (1)'!$F$28=N21,$N$14,IF('Input (1)'!$F$28=N22,$N$15,"erro")))))</f>
        <v>0</v>
      </c>
      <c r="K63" s="314">
        <f>IF('Input (1)'!$F$28=N18,$O$11,IF('Input (1)'!$F$28=N19,$O$12,IF('Input (1)'!$F$28=N20,$O$13,IF('Input (1)'!$F$28=N21,$O$14,IF('Input (1)'!$F$28=N22,$O$15,"erro")))))</f>
        <v>0.05</v>
      </c>
      <c r="L63" s="278"/>
      <c r="M63" s="338"/>
      <c r="N63" s="338"/>
      <c r="O63" s="337"/>
      <c r="P63" s="339"/>
      <c r="Q63" s="337"/>
      <c r="R63" s="342"/>
      <c r="S63" s="334"/>
      <c r="T63" s="334"/>
      <c r="U63" s="335"/>
      <c r="V63" s="335"/>
      <c r="AA63" s="278" t="s">
        <v>0</v>
      </c>
      <c r="AB63" s="278" t="s">
        <v>1007</v>
      </c>
      <c r="AC63" s="278" t="s">
        <v>761</v>
      </c>
    </row>
    <row r="64" spans="1:36" ht="13.5" thickBot="1" x14ac:dyDescent="0.25">
      <c r="A64" s="102" t="str">
        <f>HLOOKUP('Output (1)'!$H$11,Traduções_ResIndicadores,ROW(),FALSE)</f>
        <v>G5 - Custos correntes</v>
      </c>
      <c r="B64" s="414">
        <f>'Input (1)'!B26</f>
        <v>0</v>
      </c>
      <c r="C64" s="534" t="str">
        <f>HLOOKUP('Output (1)'!$H$11,Traduções_ResIndicadores,5,FALSE)</f>
        <v>€/ano</v>
      </c>
      <c r="D64" s="143" t="str">
        <f>IF(B64&gt;0,IF('Input (1)'!F26=N18,$M$11,IF('Input (1)'!F26=N19,$M$12,IF('Input (1)'!F26=N20,$M$13,IF('Input (1)'!F26=N21,$M$14,IF('Input (1)'!F26=N22,$M$15,"erro")))))," ")</f>
        <v xml:space="preserve"> </v>
      </c>
      <c r="E64" s="23"/>
      <c r="H64" s="304">
        <f>IF('Input (1)'!$F$26=N18,$N$11,IF('Input (1)'!$F$26=N19,$N$12,IF('Input (1)'!$F$26=N20,$N$13,IF('Input (1)'!$F$26=N21,$N$14,IF('Input (1)'!$F$26=N22,$N$15,"erro")))))</f>
        <v>0</v>
      </c>
      <c r="I64" s="443">
        <f>IF('Input (1)'!$F$26=N18,$O$11,IF('Input (1)'!$F$26=N19,$O$12,IF('Input (1)'!$F$26=N20,$O$13,IF('Input (1)'!$F$26=N21,$O$14,IF('Input (1)'!$F$26=N22,$O$15,"erro")))))</f>
        <v>0.05</v>
      </c>
      <c r="J64" s="444">
        <f>IF('Input (1)'!$F$26=N18,$N$11,IF('Input (1)'!$F$26=N19,$N$12,IF('Input (1)'!$F$26=N20,$N$13,IF('Input (1)'!$F$26=N21,$N$14,IF('Input (1)'!$F$26=N22,$N$15,"erro")))))</f>
        <v>0</v>
      </c>
      <c r="K64" s="442">
        <f>IF('Input (1)'!$F$26=N18,$O$11,IF('Input (1)'!$F$26=N19,$O$12,IF('Input (1)'!$F$26=N20,$O$13,IF('Input (1)'!$F$26=N21,$O$14,IF('Input (1)'!$F$26=N22,$O$15,"erro")))))</f>
        <v>0.05</v>
      </c>
      <c r="L64" s="278"/>
      <c r="AA64" s="278" t="s">
        <v>573</v>
      </c>
      <c r="AB64" s="278" t="s">
        <v>1006</v>
      </c>
      <c r="AC64" s="278" t="s">
        <v>762</v>
      </c>
    </row>
    <row r="65" spans="1:36" ht="13.5" thickBot="1" x14ac:dyDescent="0.25">
      <c r="B65" s="18"/>
      <c r="C65" s="167"/>
      <c r="D65" s="145"/>
      <c r="E65" s="23"/>
      <c r="H65" s="439"/>
      <c r="I65" s="439"/>
      <c r="J65" s="306"/>
      <c r="K65" s="439"/>
      <c r="AA65" s="296"/>
      <c r="AB65" s="296"/>
      <c r="AC65" s="296"/>
    </row>
    <row r="66" spans="1:36" ht="18.75" thickBot="1" x14ac:dyDescent="0.3">
      <c r="A66" s="129" t="str">
        <f>HLOOKUP('Output (1)'!$H$11,Traduções_ResIndicadores,ROW(),FALSE)</f>
        <v>Indicador de água não medida</v>
      </c>
      <c r="B66" s="168"/>
      <c r="C66" s="169"/>
      <c r="D66" s="135"/>
      <c r="E66" s="23"/>
      <c r="H66" s="439"/>
      <c r="I66" s="439"/>
      <c r="J66" s="306"/>
      <c r="K66" s="438"/>
      <c r="L66" s="278"/>
      <c r="M66" s="278"/>
      <c r="S66" s="764" t="s">
        <v>1</v>
      </c>
      <c r="T66" s="764"/>
      <c r="U66" s="765" t="s">
        <v>2</v>
      </c>
      <c r="V66" s="765"/>
      <c r="AA66" s="674" t="s">
        <v>30</v>
      </c>
      <c r="AB66" s="674" t="s">
        <v>1011</v>
      </c>
      <c r="AC66" s="674" t="s">
        <v>199</v>
      </c>
    </row>
    <row r="67" spans="1:36" ht="13.5" thickBot="1" x14ac:dyDescent="0.25">
      <c r="A67" s="123" t="str">
        <f>HLOOKUP('Output (1)'!$H$11,Traduções_ResIndicadores,ROW(),FALSE)</f>
        <v>Indicador operacional</v>
      </c>
      <c r="B67" s="168"/>
      <c r="C67" s="170"/>
      <c r="D67" s="135"/>
      <c r="E67" s="23"/>
      <c r="H67" s="439"/>
      <c r="I67" s="439"/>
      <c r="J67" s="306"/>
      <c r="K67" s="439"/>
      <c r="AA67" s="672" t="s">
        <v>515</v>
      </c>
      <c r="AB67" s="672" t="s">
        <v>1009</v>
      </c>
      <c r="AC67" s="672" t="s">
        <v>515</v>
      </c>
    </row>
    <row r="68" spans="1:36" ht="13.5" thickBot="1" x14ac:dyDescent="0.25">
      <c r="A68" s="124" t="str">
        <f>HLOOKUP('Output (1)'!$H$11,Traduções_ResIndicadores,ROW(),FALSE)</f>
        <v>Água não medida</v>
      </c>
      <c r="B68" s="150" t="str">
        <f>IF(B70&gt;0,(B70-B71-B72)/B70*100," ")</f>
        <v xml:space="preserve"> </v>
      </c>
      <c r="C68" s="155" t="s">
        <v>543</v>
      </c>
      <c r="D68" s="136" t="str">
        <f>IF(B70&gt;0,CONCATENATE(F68*100,"-",G68*100," %")," ")</f>
        <v xml:space="preserve"> </v>
      </c>
      <c r="E68" s="23"/>
      <c r="F68" s="288" t="e">
        <f>IF('Configuration options'!$A$16=1,INT(H68*100)/100,IF('Configuration options'!$A$16=2,INT(J68*100)/100,"Erro"))</f>
        <v>#DIV/0!</v>
      </c>
      <c r="G68" s="289" t="e">
        <f>IF('Configuration options'!$A$16=1,INT(I68*100)/100,IF('Configuration options'!$A$16=2,INT(K68*100)/100,"Erro"))</f>
        <v>#DIV/0!</v>
      </c>
      <c r="H68" s="320" t="e">
        <f>S68</f>
        <v>#DIV/0!</v>
      </c>
      <c r="I68" s="300" t="e">
        <f>T68</f>
        <v>#DIV/0!</v>
      </c>
      <c r="J68" s="299" t="e">
        <f>U68</f>
        <v>#DIV/0!</v>
      </c>
      <c r="K68" s="366" t="e">
        <f>V68</f>
        <v>#DIV/0!</v>
      </c>
      <c r="L68" s="482"/>
      <c r="M68" s="343" t="s">
        <v>20</v>
      </c>
      <c r="N68" s="343" t="s">
        <v>21</v>
      </c>
      <c r="O68" s="343" t="s">
        <v>22</v>
      </c>
      <c r="P68" s="343"/>
      <c r="Q68" s="343"/>
      <c r="R68" s="343"/>
      <c r="S68" s="343" t="e">
        <f>($M$69*H70*$B$70+$N$69*H71*$B$71+$O$69*H72*$B$72)/$B$68</f>
        <v>#DIV/0!</v>
      </c>
      <c r="T68" s="343" t="e">
        <f>($M$69*I70*$B$70+$N$69*I71*$B$71+$O$69*I72*$B$72)/$B$68</f>
        <v>#DIV/0!</v>
      </c>
      <c r="U68" s="343" t="e">
        <f>SQRT(($M$69*J70*$B$70)^2+($N$69*J71*$B$71)^2+($O$69*J72*$B$72)^2)/$B$68</f>
        <v>#DIV/0!</v>
      </c>
      <c r="V68" s="343" t="e">
        <f>SQRT((($M$69*K70*$B$70)^2+($N$69*K71*$B$71)^2+($O$69*K72*$B$72)^2))/$B$68</f>
        <v>#DIV/0!</v>
      </c>
      <c r="AA68" s="631" t="s">
        <v>592</v>
      </c>
      <c r="AB68" s="631" t="s">
        <v>1010</v>
      </c>
      <c r="AC68" s="631" t="s">
        <v>248</v>
      </c>
    </row>
    <row r="69" spans="1:36" x14ac:dyDescent="0.2">
      <c r="A69" s="101" t="str">
        <f>HLOOKUP('Output (1)'!$H$11,Traduções_ResIndicadores,ROW(),FALSE)</f>
        <v>Op39 = (A3 - A8 - A11) / A3 x 100</v>
      </c>
      <c r="B69" s="100"/>
      <c r="C69" s="159"/>
      <c r="D69" s="144"/>
      <c r="E69" s="23"/>
      <c r="H69" s="440"/>
      <c r="I69" s="441"/>
      <c r="J69" s="440"/>
      <c r="K69" s="441"/>
      <c r="L69" s="296"/>
      <c r="M69" s="343" t="e">
        <f>100*(B71+B72)/(B70^2)</f>
        <v>#DIV/0!</v>
      </c>
      <c r="N69" s="343" t="e">
        <f>100/B70</f>
        <v>#DIV/0!</v>
      </c>
      <c r="O69" s="343" t="e">
        <f>100/B70</f>
        <v>#DIV/0!</v>
      </c>
      <c r="P69" s="343"/>
      <c r="Q69" s="343"/>
      <c r="R69" s="343"/>
      <c r="S69" s="343"/>
      <c r="T69" s="343"/>
      <c r="U69" s="343"/>
      <c r="V69" s="343"/>
      <c r="AA69" s="278" t="s">
        <v>567</v>
      </c>
      <c r="AB69" s="278" t="s">
        <v>567</v>
      </c>
      <c r="AC69" s="278" t="s">
        <v>567</v>
      </c>
    </row>
    <row r="70" spans="1:36" x14ac:dyDescent="0.2">
      <c r="A70" s="101" t="str">
        <f>HLOOKUP('Output (1)'!$H$11,Traduções_ResIndicadores,ROW(),FALSE)</f>
        <v xml:space="preserve">A3 - Água entrada no sistema </v>
      </c>
      <c r="B70" s="411">
        <f>'Output (2)'!B9</f>
        <v>0</v>
      </c>
      <c r="C70" s="178" t="str">
        <f>'Output (2)'!$C$9</f>
        <v>m3/ano</v>
      </c>
      <c r="D70" s="137" t="str">
        <f>'Output (2)'!D9</f>
        <v xml:space="preserve"> </v>
      </c>
      <c r="E70" s="23"/>
      <c r="H70" s="302">
        <f>'Input (2)'!$H$11</f>
        <v>0</v>
      </c>
      <c r="I70" s="303">
        <f>'Input (2)'!$I$11</f>
        <v>0</v>
      </c>
      <c r="J70" s="302">
        <f>'Input (2)'!$H$11</f>
        <v>0</v>
      </c>
      <c r="K70" s="311">
        <f>'Input (2)'!$I$11</f>
        <v>0</v>
      </c>
      <c r="L70" s="438"/>
      <c r="M70" s="343"/>
      <c r="N70" s="343"/>
      <c r="O70" s="343"/>
      <c r="P70" s="343"/>
      <c r="Q70" s="343"/>
      <c r="R70" s="343"/>
      <c r="S70" s="343"/>
      <c r="T70" s="343"/>
      <c r="U70" s="343"/>
      <c r="V70" s="343"/>
      <c r="AA70" s="278" t="s">
        <v>64</v>
      </c>
      <c r="AB70" s="278" t="s">
        <v>998</v>
      </c>
      <c r="AC70" s="278" t="s">
        <v>756</v>
      </c>
    </row>
    <row r="71" spans="1:36" x14ac:dyDescent="0.2">
      <c r="A71" s="101" t="str">
        <f>HLOOKUP('Output (1)'!$H$11,Traduções_ResIndicadores,ROW(),FALSE)</f>
        <v xml:space="preserve">A8 - Consumo facturado medido </v>
      </c>
      <c r="B71" s="412">
        <f>'Output (2)'!B11</f>
        <v>0</v>
      </c>
      <c r="C71" s="533" t="str">
        <f>'Output (2)'!$C$9</f>
        <v>m3/ano</v>
      </c>
      <c r="D71" s="138" t="str">
        <f>'Output (2)'!D11</f>
        <v xml:space="preserve"> </v>
      </c>
      <c r="E71" s="23"/>
      <c r="H71" s="317">
        <f>'Input (3)'!$H$17</f>
        <v>0</v>
      </c>
      <c r="I71" s="314">
        <f>'Input (3)'!$I$17</f>
        <v>0</v>
      </c>
      <c r="J71" s="317">
        <f>'Input (3)'!$H$17</f>
        <v>0</v>
      </c>
      <c r="K71" s="314">
        <f>'Input (3)'!$I$17</f>
        <v>0</v>
      </c>
      <c r="L71" s="438"/>
      <c r="M71" s="343"/>
      <c r="N71" s="343"/>
      <c r="O71" s="343"/>
      <c r="P71" s="343"/>
      <c r="Q71" s="343"/>
      <c r="R71" s="343"/>
      <c r="S71" s="343"/>
      <c r="T71" s="343"/>
      <c r="U71" s="343"/>
      <c r="V71" s="343"/>
      <c r="AA71" s="278" t="s">
        <v>65</v>
      </c>
      <c r="AB71" s="278" t="s">
        <v>1001</v>
      </c>
      <c r="AC71" s="278" t="s">
        <v>763</v>
      </c>
    </row>
    <row r="72" spans="1:36" ht="13.5" thickBot="1" x14ac:dyDescent="0.25">
      <c r="A72" s="102" t="str">
        <f>HLOOKUP('Output (1)'!$H$11,Traduções_ResIndicadores,ROW(),FALSE)</f>
        <v>A11 - Consumo não facturado medido</v>
      </c>
      <c r="B72" s="414">
        <f>'Output (2)'!B16</f>
        <v>0</v>
      </c>
      <c r="C72" s="534" t="str">
        <f>'Output (2)'!$C$9</f>
        <v>m3/ano</v>
      </c>
      <c r="D72" s="143" t="str">
        <f>'Output (2)'!D12</f>
        <v xml:space="preserve"> </v>
      </c>
      <c r="H72" s="304">
        <f>'Input (4)'!$H$14</f>
        <v>0</v>
      </c>
      <c r="I72" s="305">
        <f>'Input (4)'!$I$14</f>
        <v>0</v>
      </c>
      <c r="J72" s="304">
        <f>'Input (4)'!$H$14</f>
        <v>0</v>
      </c>
      <c r="K72" s="442">
        <f>'Input (4)'!$I$14</f>
        <v>0</v>
      </c>
      <c r="L72" s="278"/>
      <c r="M72" s="343"/>
      <c r="N72" s="343"/>
      <c r="O72" s="343"/>
      <c r="P72" s="343"/>
      <c r="Q72" s="343"/>
      <c r="R72" s="343"/>
      <c r="S72" s="343"/>
      <c r="T72" s="343"/>
      <c r="U72" s="343"/>
      <c r="V72" s="343"/>
      <c r="AA72" s="278" t="s">
        <v>66</v>
      </c>
      <c r="AB72" s="278" t="s">
        <v>1002</v>
      </c>
      <c r="AC72" s="278" t="s">
        <v>764</v>
      </c>
    </row>
    <row r="74" spans="1:36" x14ac:dyDescent="0.2">
      <c r="Z74" s="632" t="s">
        <v>901</v>
      </c>
      <c r="AA74" s="576" t="s">
        <v>912</v>
      </c>
      <c r="AB74" s="631" t="s">
        <v>913</v>
      </c>
      <c r="AC74" s="631" t="s">
        <v>251</v>
      </c>
    </row>
    <row r="75" spans="1:36" s="639" customFormat="1" ht="25.5" x14ac:dyDescent="0.2">
      <c r="B75" s="648"/>
      <c r="D75" s="649"/>
      <c r="F75" s="640"/>
      <c r="G75" s="650"/>
      <c r="H75" s="640"/>
      <c r="I75" s="640"/>
      <c r="J75" s="635"/>
      <c r="K75" s="640"/>
      <c r="L75" s="647"/>
      <c r="M75" s="640"/>
      <c r="N75" s="640"/>
      <c r="O75" s="640"/>
      <c r="P75" s="640"/>
      <c r="Q75" s="640"/>
      <c r="R75" s="640"/>
      <c r="S75" s="640"/>
      <c r="T75" s="640"/>
      <c r="U75" s="640"/>
      <c r="V75" s="640"/>
      <c r="W75" s="640"/>
      <c r="X75" s="640"/>
      <c r="Y75" s="640"/>
      <c r="Z75" s="651" t="s">
        <v>917</v>
      </c>
      <c r="AA75" s="640" t="s">
        <v>918</v>
      </c>
      <c r="AB75" s="278" t="s">
        <v>127</v>
      </c>
      <c r="AC75" s="278" t="s">
        <v>765</v>
      </c>
      <c r="AD75" s="640"/>
      <c r="AE75" s="640"/>
      <c r="AF75" s="640"/>
      <c r="AG75" s="640"/>
      <c r="AH75" s="640"/>
      <c r="AI75" s="640"/>
      <c r="AJ75" s="640"/>
    </row>
    <row r="76" spans="1:36" x14ac:dyDescent="0.2">
      <c r="C76" s="179"/>
      <c r="D76" s="1"/>
    </row>
    <row r="77" spans="1:36" x14ac:dyDescent="0.2">
      <c r="C77" s="179"/>
      <c r="D77" s="1"/>
    </row>
    <row r="78" spans="1:36" x14ac:dyDescent="0.2">
      <c r="C78" s="179"/>
      <c r="D78" s="180"/>
    </row>
    <row r="79" spans="1:36" x14ac:dyDescent="0.2">
      <c r="C79" s="179"/>
      <c r="D79" s="180"/>
    </row>
    <row r="82" spans="3:7" x14ac:dyDescent="0.2">
      <c r="C82" s="179"/>
      <c r="D82" s="180"/>
      <c r="G82" s="323"/>
    </row>
    <row r="83" spans="3:7" x14ac:dyDescent="0.2">
      <c r="C83" s="179"/>
      <c r="D83" s="1"/>
    </row>
    <row r="84" spans="3:7" x14ac:dyDescent="0.2">
      <c r="C84" s="179"/>
      <c r="D84" s="1"/>
    </row>
    <row r="85" spans="3:7" x14ac:dyDescent="0.2">
      <c r="C85" s="179"/>
      <c r="D85" s="180"/>
    </row>
    <row r="86" spans="3:7" x14ac:dyDescent="0.2">
      <c r="C86" s="179"/>
      <c r="D86" s="180"/>
    </row>
  </sheetData>
  <mergeCells count="11">
    <mergeCell ref="A1:D1"/>
    <mergeCell ref="A2:D2"/>
    <mergeCell ref="S57:T57"/>
    <mergeCell ref="U57:V57"/>
    <mergeCell ref="S45:T45"/>
    <mergeCell ref="U45:V45"/>
    <mergeCell ref="S66:T66"/>
    <mergeCell ref="U66:V66"/>
    <mergeCell ref="A6:B6"/>
    <mergeCell ref="A3:D3"/>
    <mergeCell ref="M10:O10"/>
  </mergeCells>
  <phoneticPr fontId="8" type="noConversion"/>
  <conditionalFormatting sqref="A21 A16">
    <cfRule type="expression" dxfId="0" priority="1" stopIfTrue="1">
      <formula>IF($A$10=1,2,1)</formula>
    </cfRule>
  </conditionalFormatting>
  <pageMargins left="0.74803149606299213" right="0.74803149606299213" top="0.51" bottom="0.98425196850393704" header="0.32" footer="0.51181102362204722"/>
  <pageSetup paperSize="9" scale="75" orientation="portrait"/>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7"/>
  </sheetPr>
  <dimension ref="A1:AJ49"/>
  <sheetViews>
    <sheetView showRowColHeaders="0" topLeftCell="A7" zoomScale="125" zoomScaleNormal="125" zoomScalePageLayoutView="125" workbookViewId="0">
      <selection activeCell="E16" sqref="E16"/>
    </sheetView>
  </sheetViews>
  <sheetFormatPr defaultColWidth="8.85546875" defaultRowHeight="12.75" x14ac:dyDescent="0.2"/>
  <cols>
    <col min="1" max="2" width="17.42578125" customWidth="1"/>
    <col min="3" max="3" width="17.7109375" customWidth="1"/>
    <col min="4" max="5" width="17.42578125" customWidth="1"/>
    <col min="6" max="6" width="9.140625" style="265" hidden="1" customWidth="1"/>
    <col min="7" max="7" width="28.42578125" style="265" hidden="1" customWidth="1"/>
    <col min="8" max="26" width="9.140625" style="265" hidden="1" customWidth="1"/>
    <col min="27" max="27" width="32.7109375" style="265" hidden="1" customWidth="1"/>
    <col min="28" max="28" width="29.7109375" style="265" hidden="1" customWidth="1"/>
    <col min="29" max="29" width="29" style="265" hidden="1" customWidth="1"/>
    <col min="30" max="36" width="9.140625" style="265" hidden="1" customWidth="1"/>
  </cols>
  <sheetData>
    <row r="1" spans="1:29" ht="18" x14ac:dyDescent="0.25">
      <c r="A1" s="756">
        <f>'Input (1)'!B4</f>
        <v>0</v>
      </c>
      <c r="B1" s="756"/>
      <c r="C1" s="756"/>
      <c r="D1" s="756"/>
      <c r="E1" s="756"/>
      <c r="Z1" s="265" t="str">
        <f>'Output (1)'!H11</f>
        <v>Português</v>
      </c>
      <c r="AA1" s="661" t="str">
        <f>'Output (1)'!AA1</f>
        <v>Português</v>
      </c>
      <c r="AB1" s="661" t="str">
        <f>'Output (1)'!AB1</f>
        <v>English</v>
      </c>
      <c r="AC1" s="661" t="str">
        <f>'Output (1)'!AC1</f>
        <v>Español</v>
      </c>
    </row>
    <row r="2" spans="1:29" ht="15.75" x14ac:dyDescent="0.25">
      <c r="A2" s="757">
        <f>'Input (1)'!B5</f>
        <v>0</v>
      </c>
      <c r="B2" s="757"/>
      <c r="C2" s="757"/>
      <c r="D2" s="757"/>
      <c r="E2" s="757"/>
    </row>
    <row r="3" spans="1:29" ht="29.25" customHeight="1" x14ac:dyDescent="0.25">
      <c r="A3" s="763" t="str">
        <f>'Output (2)'!A3:D3</f>
        <v xml:space="preserve">COMPONENTES DO BALANÇO HÍDRICO (m3/ano) </v>
      </c>
      <c r="B3" s="763"/>
      <c r="C3" s="763"/>
      <c r="D3" s="763"/>
      <c r="E3" s="763"/>
    </row>
    <row r="4" spans="1:29" ht="15.75" customHeight="1" x14ac:dyDescent="0.25">
      <c r="A4" s="12"/>
      <c r="B4" s="12"/>
      <c r="C4" s="12"/>
      <c r="D4" s="12"/>
      <c r="E4" s="12"/>
    </row>
    <row r="5" spans="1:29" ht="18" customHeight="1" x14ac:dyDescent="0.2">
      <c r="A5" s="21">
        <f>'Input (1)'!B8</f>
        <v>0</v>
      </c>
      <c r="C5" s="21"/>
    </row>
    <row r="6" spans="1:29" x14ac:dyDescent="0.2">
      <c r="A6" s="766" t="str">
        <f>CONCATENATE('Input (1)'!A13,'Input (1)'!B13)</f>
        <v>Período a que se refere o cálculo:</v>
      </c>
      <c r="B6" s="766"/>
      <c r="C6" s="766"/>
    </row>
    <row r="7" spans="1:29" x14ac:dyDescent="0.2">
      <c r="A7" s="194"/>
      <c r="B7" s="194"/>
      <c r="C7" s="21"/>
    </row>
    <row r="8" spans="1:29" x14ac:dyDescent="0.2">
      <c r="A8" t="str">
        <f>C15</f>
        <v>Consumo facturado</v>
      </c>
      <c r="B8" s="218">
        <f>'Output (2)'!B19</f>
        <v>0</v>
      </c>
      <c r="C8" s="218"/>
    </row>
    <row r="9" spans="1:29" x14ac:dyDescent="0.2">
      <c r="A9" t="str">
        <f>C21</f>
        <v>Consumo autorizado não facturado</v>
      </c>
      <c r="B9" s="66">
        <f>'Output (2)'!B18</f>
        <v>0</v>
      </c>
      <c r="C9" s="66"/>
    </row>
    <row r="10" spans="1:29" x14ac:dyDescent="0.2">
      <c r="A10" t="str">
        <f>C27</f>
        <v>Perdas aparentes</v>
      </c>
      <c r="B10" s="66">
        <f>'Output (2)'!B23</f>
        <v>0</v>
      </c>
      <c r="C10" s="66"/>
    </row>
    <row r="11" spans="1:29" x14ac:dyDescent="0.2">
      <c r="A11" t="str">
        <f>'Input (6)'!A9</f>
        <v>Perdas reais</v>
      </c>
      <c r="B11" s="219">
        <f>'Output (2)'!B24</f>
        <v>0</v>
      </c>
      <c r="C11" s="219"/>
    </row>
    <row r="12" spans="1:29" ht="61.5" customHeight="1" thickBot="1" x14ac:dyDescent="0.25"/>
    <row r="13" spans="1:29" x14ac:dyDescent="0.2">
      <c r="A13" s="705" t="str">
        <f>HLOOKUP('Output (1)'!$H$11,Traduções_ResBalanço,ROW(),FALSE)</f>
        <v xml:space="preserve">    Consumo autorizado facturado</v>
      </c>
      <c r="B13" s="703"/>
      <c r="C13" s="706" t="str">
        <f>HLOOKUP('Output (1)'!$H$11,Traduções_ResBalanço,15,FALSE)</f>
        <v>Perdas totais</v>
      </c>
      <c r="D13" s="771" t="str">
        <f>HLOOKUP('Output (1)'!$H$11,Traduções_ResBalanço,17,FALSE)</f>
        <v xml:space="preserve">                   Perdas aparentes</v>
      </c>
      <c r="E13" s="772"/>
      <c r="AA13" s="265" t="s">
        <v>654</v>
      </c>
      <c r="AB13" s="265" t="s">
        <v>662</v>
      </c>
      <c r="AC13" s="265" t="s">
        <v>766</v>
      </c>
    </row>
    <row r="14" spans="1:29" ht="18.75" customHeight="1" thickBot="1" x14ac:dyDescent="0.25">
      <c r="A14" s="707" t="str">
        <f>HLOOKUP('Output (1)'!$H$11,Traduções_ResBalanço,ROW(),FALSE)</f>
        <v xml:space="preserve">    Consumo autorizado não facturado</v>
      </c>
      <c r="B14" s="704"/>
      <c r="C14" s="708" t="str">
        <f>HLOOKUP('Output (1)'!$H$11,Traduções_ResBalanço,16,FALSE)</f>
        <v>Água não facturada</v>
      </c>
      <c r="D14" s="773" t="str">
        <f>HLOOKUP('Output (1)'!$H$11,Traduções_ResBalanço,18,FALSE)</f>
        <v xml:space="preserve">                   Perdas reais</v>
      </c>
      <c r="E14" s="774"/>
      <c r="AA14" s="265" t="s">
        <v>656</v>
      </c>
      <c r="AB14" s="265" t="s">
        <v>661</v>
      </c>
      <c r="AC14" s="265" t="s">
        <v>228</v>
      </c>
    </row>
    <row r="15" spans="1:29" ht="22.5" customHeight="1" x14ac:dyDescent="0.2">
      <c r="A15" s="90" t="str">
        <f>'Input (2)'!A2</f>
        <v>Água entrada no sistema</v>
      </c>
      <c r="B15" s="91" t="str">
        <f>'Output (2)'!A19</f>
        <v>Consumo autorizado</v>
      </c>
      <c r="C15" s="90" t="str">
        <f>'Input (3)'!A31</f>
        <v>Consumo facturado</v>
      </c>
      <c r="D15" s="90" t="str">
        <f>'Output (2)'!A11</f>
        <v>Consumo facturado medido</v>
      </c>
      <c r="E15" s="90" t="str">
        <f>'Input (3)'!A31</f>
        <v>Consumo facturado</v>
      </c>
      <c r="AA15" s="265" t="s">
        <v>655</v>
      </c>
      <c r="AB15" s="265" t="s">
        <v>663</v>
      </c>
      <c r="AC15" s="265" t="s">
        <v>767</v>
      </c>
    </row>
    <row r="16" spans="1:29" x14ac:dyDescent="0.2">
      <c r="A16" s="69" t="str">
        <f>CONCATENATE(INT('Output (2)'!B9+0.5)," ",'Output (2)'!C9)</f>
        <v>0 m3/ano</v>
      </c>
      <c r="B16" s="69" t="str">
        <f>CONCATENATE(INT('Output (2)'!B19+0.5)," ",'Output (2)'!C19)</f>
        <v>0 m3/ano</v>
      </c>
      <c r="C16" s="69" t="str">
        <f>CONCATENATE(INT('Output (2)'!B13+0.5)," ",'Output (2)'!C13)</f>
        <v>0 m3/ano</v>
      </c>
      <c r="D16" s="69" t="str">
        <f>CONCATENATE(INT('Output (2)'!B11+0.5)," ",'Output (2)'!C11)</f>
        <v>0 m3/ano</v>
      </c>
      <c r="E16" s="69" t="str">
        <f>CONCATENATE(INT('Output (2)'!B13+0.5)," ",'Output (2)'!C13)</f>
        <v>0 m3/ano</v>
      </c>
      <c r="AA16" s="265" t="s">
        <v>503</v>
      </c>
      <c r="AB16" s="668" t="s">
        <v>1036</v>
      </c>
      <c r="AC16" s="265" t="s">
        <v>225</v>
      </c>
    </row>
    <row r="17" spans="1:29" ht="13.5" thickBot="1" x14ac:dyDescent="0.25">
      <c r="A17" s="71" t="str">
        <f>IF('Configuration options'!B16=1,CONCATENATE(HLOOKUP('Output (1)'!$H$11,Traduções_ResBalanço,21,FALSE),'Input (2)'!F11),IF('Configuration options'!B16=2,CONCATENATE(HLOOKUP('Output (1)'!$H$11,Traduções_ResBalanço,21,FALSE),'Input (2)'!F11),"Erro"))</f>
        <v>Erro</v>
      </c>
      <c r="B17" s="71" t="str">
        <f>CONCATENATE(HLOOKUP('Output (1)'!$H$11,Traduções_ResBalanço,21,FALSE),'Output (2)'!$D19)</f>
        <v xml:space="preserve">Incerteza  </v>
      </c>
      <c r="C17" s="71" t="str">
        <f>CONCATENATE(HLOOKUP('Output (1)'!$H$11,Traduções_ResBalanço,21,FALSE),'Output (2)'!$D14)</f>
        <v xml:space="preserve">Incerteza  </v>
      </c>
      <c r="D17" s="71" t="str">
        <f>CONCATENATE(HLOOKUP('Output (1)'!$H$11,Traduções_ResBalanço,21,FALSE),'Output (2)'!$D11)</f>
        <v xml:space="preserve">Incerteza  </v>
      </c>
      <c r="E17" s="71" t="str">
        <f>CONCATENATE(HLOOKUP('Output (1)'!$H$11,Traduções_ResBalanço,21,FALSE),'Output (2)'!$D13)</f>
        <v>Incerteza  0-5%</v>
      </c>
      <c r="AA17" s="265" t="s">
        <v>657</v>
      </c>
      <c r="AB17" s="265" t="s">
        <v>659</v>
      </c>
      <c r="AC17" s="732" t="s">
        <v>232</v>
      </c>
    </row>
    <row r="18" spans="1:29" ht="22.5" x14ac:dyDescent="0.2">
      <c r="A18" s="71"/>
      <c r="B18" s="73"/>
      <c r="C18" s="2"/>
      <c r="D18" s="68" t="str">
        <f>'Output (2)'!A12</f>
        <v>Consumo facturado não medido</v>
      </c>
      <c r="E18" s="9"/>
      <c r="AA18" s="265" t="s">
        <v>658</v>
      </c>
      <c r="AB18" s="265" t="s">
        <v>660</v>
      </c>
      <c r="AC18" s="732" t="s">
        <v>768</v>
      </c>
    </row>
    <row r="19" spans="1:29" x14ac:dyDescent="0.2">
      <c r="A19" s="71"/>
      <c r="B19" s="73"/>
      <c r="C19" s="69"/>
      <c r="D19" s="69" t="str">
        <f>CONCATENATE(INT('Output (2)'!B12+0.5)," ",'Output (2)'!C12)</f>
        <v>0 m3/ano</v>
      </c>
      <c r="E19" s="9"/>
    </row>
    <row r="20" spans="1:29" ht="13.5" thickBot="1" x14ac:dyDescent="0.25">
      <c r="A20" s="76"/>
      <c r="B20" s="74"/>
      <c r="C20" s="72"/>
      <c r="D20" s="71" t="str">
        <f>CONCATENATE(HLOOKUP('Output (1)'!$H$11,Traduções_ResBalanço,21,FALSE),'Output (2)'!$D12)</f>
        <v xml:space="preserve">Incerteza  </v>
      </c>
      <c r="E20" s="70"/>
    </row>
    <row r="21" spans="1:29" ht="22.5" x14ac:dyDescent="0.2">
      <c r="A21" s="76"/>
      <c r="B21" s="74"/>
      <c r="C21" s="207" t="str">
        <f>'Output (2)'!A18</f>
        <v>Consumo autorizado não facturado</v>
      </c>
      <c r="D21" s="84" t="str">
        <f>'Output (2)'!A16</f>
        <v>Consumo não facturado medido</v>
      </c>
      <c r="E21" s="211" t="str">
        <f>'Output (2)'!A15</f>
        <v>Água não facturada</v>
      </c>
      <c r="AA21" s="711" t="s">
        <v>177</v>
      </c>
      <c r="AB21" s="711" t="s">
        <v>178</v>
      </c>
      <c r="AC21" s="711" t="s">
        <v>729</v>
      </c>
    </row>
    <row r="22" spans="1:29" x14ac:dyDescent="0.2">
      <c r="A22" s="76"/>
      <c r="B22" s="74"/>
      <c r="C22" s="208" t="str">
        <f>CONCATENATE(INT('Output (2)'!B18+0.5)," ",'Output (2)'!C18)</f>
        <v>0 m3/ano</v>
      </c>
      <c r="D22" s="85" t="str">
        <f>CONCATENATE(INT('Output (2)'!B16+0.5)," ",'Output (2)'!C16)</f>
        <v>0 m3/ano</v>
      </c>
      <c r="E22" s="212" t="str">
        <f>CONCATENATE(INT('Output (2)'!B15+0.5)," ",'Output (2)'!C15)</f>
        <v>0 m3/ano</v>
      </c>
    </row>
    <row r="23" spans="1:29" ht="13.5" thickBot="1" x14ac:dyDescent="0.25">
      <c r="A23" s="76"/>
      <c r="B23" s="74"/>
      <c r="C23" s="209" t="str">
        <f>CONCATENATE(HLOOKUP('Output (1)'!$H$11,Traduções_ResBalanço,21,FALSE),'Output (2)'!$D18)</f>
        <v xml:space="preserve">Incerteza  </v>
      </c>
      <c r="D23" s="87" t="str">
        <f>CONCATENATE(HLOOKUP('Output (1)'!$H$11,Traduções_ResBalanço,21,FALSE),'Output (2)'!$D16)</f>
        <v xml:space="preserve">Incerteza  </v>
      </c>
      <c r="E23" s="213" t="str">
        <f>CONCATENATE(HLOOKUP('Output (1)'!$H$11,Traduções_ResBalanço,21,FALSE),'Output (2)'!$D15)</f>
        <v xml:space="preserve">Incerteza  </v>
      </c>
    </row>
    <row r="24" spans="1:29" ht="22.5" x14ac:dyDescent="0.2">
      <c r="A24" s="76"/>
      <c r="B24" s="74"/>
      <c r="C24" s="208"/>
      <c r="D24" s="84" t="str">
        <f>'Output (2)'!A17</f>
        <v>Consumo não facturado não medido</v>
      </c>
      <c r="E24" s="214"/>
    </row>
    <row r="25" spans="1:29" x14ac:dyDescent="0.2">
      <c r="A25" s="76"/>
      <c r="B25" s="74"/>
      <c r="C25" s="208"/>
      <c r="D25" s="85" t="str">
        <f>CONCATENATE(INT('Output (2)'!B17+0.5)," ",'Output (2)'!C17)</f>
        <v>0 m3/ano</v>
      </c>
      <c r="E25" s="215"/>
    </row>
    <row r="26" spans="1:29" ht="13.5" thickBot="1" x14ac:dyDescent="0.25">
      <c r="A26" s="76"/>
      <c r="B26" s="75"/>
      <c r="C26" s="210"/>
      <c r="D26" s="87" t="str">
        <f>CONCATENATE(HLOOKUP('Output (1)'!$H$11,Traduções_ResBalanço,21,FALSE),'Output (2)'!$D17)</f>
        <v xml:space="preserve">Incerteza  </v>
      </c>
      <c r="E26" s="216"/>
    </row>
    <row r="27" spans="1:29" ht="21" customHeight="1" x14ac:dyDescent="0.2">
      <c r="A27" s="76"/>
      <c r="B27" s="78" t="str">
        <f>'Output (2)'!A20</f>
        <v>Perdas de água</v>
      </c>
      <c r="C27" s="199" t="str">
        <f>'Output (2)'!A23</f>
        <v>Perdas aparentes</v>
      </c>
      <c r="D27" s="84" t="str">
        <f>'Output (2)'!A21</f>
        <v>Uso não autorizado</v>
      </c>
      <c r="E27" s="216"/>
    </row>
    <row r="28" spans="1:29" x14ac:dyDescent="0.2">
      <c r="A28" s="76"/>
      <c r="B28" s="79" t="str">
        <f>CONCATENATE(INT('Output (2)'!B20+0.5)," ",'Output (2)'!C20)</f>
        <v>0 m3/ano</v>
      </c>
      <c r="C28" s="200" t="str">
        <f>CONCATENATE(INT('Output (2)'!B23+0.5)," ",'Output (2)'!C23)</f>
        <v>0 m3/ano</v>
      </c>
      <c r="D28" s="85" t="str">
        <f>CONCATENATE(INT('Output (2)'!B21+0.5)," ",'Output (2)'!C21)</f>
        <v>0 m3/ano</v>
      </c>
      <c r="E28" s="216"/>
    </row>
    <row r="29" spans="1:29" ht="13.5" thickBot="1" x14ac:dyDescent="0.25">
      <c r="A29" s="76"/>
      <c r="B29" s="83" t="str">
        <f>CONCATENATE("Incerteza: ",'Output (2)'!$D20)</f>
        <v xml:space="preserve">Incerteza:  </v>
      </c>
      <c r="C29" s="201" t="str">
        <f>CONCATENATE("Incerteza: ",'Output (2)'!$D23)</f>
        <v xml:space="preserve">Incerteza:  </v>
      </c>
      <c r="D29" s="86" t="str">
        <f>CONCATENATE(HLOOKUP('Output (1)'!$H$11,Traduções_ResBalanço,21,FALSE),'Output (2)'!$D21)</f>
        <v xml:space="preserve">Incerteza  </v>
      </c>
      <c r="E29" s="216"/>
    </row>
    <row r="30" spans="1:29" x14ac:dyDescent="0.2">
      <c r="A30" s="76"/>
      <c r="B30" s="97"/>
      <c r="C30" s="202"/>
      <c r="D30" s="84" t="str">
        <f>'Output (2)'!A22</f>
        <v>Erros de medição</v>
      </c>
      <c r="E30" s="216"/>
    </row>
    <row r="31" spans="1:29" x14ac:dyDescent="0.2">
      <c r="A31" s="76"/>
      <c r="B31" s="80"/>
      <c r="C31" s="203"/>
      <c r="D31" s="85" t="str">
        <f>CONCATENATE(INT('Output (2)'!B22+0.5)," ",'Output (2)'!C22)</f>
        <v>0 m3/ano</v>
      </c>
      <c r="E31" s="216"/>
    </row>
    <row r="32" spans="1:29" ht="13.5" thickBot="1" x14ac:dyDescent="0.25">
      <c r="A32" s="76"/>
      <c r="B32" s="81"/>
      <c r="C32" s="204"/>
      <c r="D32" s="86" t="str">
        <f>CONCATENATE(HLOOKUP('Output (1)'!$H$11,Traduções_ResBalanço,21,FALSE),'Output (2)'!$D22)</f>
        <v xml:space="preserve">Incerteza  </v>
      </c>
      <c r="E32" s="216"/>
    </row>
    <row r="33" spans="1:5" ht="26.25" customHeight="1" x14ac:dyDescent="0.2">
      <c r="A33" s="76"/>
      <c r="B33" s="80"/>
      <c r="C33" s="205" t="str">
        <f>'Output (2)'!A24</f>
        <v>Perdas reais (1)</v>
      </c>
      <c r="D33" s="84" t="str">
        <f>'Output (2)'!A25</f>
        <v>Fugas nas condutas de adução e/ou distribuição</v>
      </c>
      <c r="E33" s="216"/>
    </row>
    <row r="34" spans="1:5" x14ac:dyDescent="0.2">
      <c r="A34" s="76"/>
      <c r="B34" s="80"/>
      <c r="C34" s="445" t="str">
        <f>CONCATENATE(INT('Output (2)'!B24+0.5)," ",'Output (2)'!C24)</f>
        <v>0 m3/ano</v>
      </c>
      <c r="D34" s="85" t="str">
        <f>CONCATENATE(INT('Output (2)'!B25+0.5)," ",'Output (2)'!C25)</f>
        <v>0 m3/ano</v>
      </c>
      <c r="E34" s="216"/>
    </row>
    <row r="35" spans="1:5" ht="13.5" thickBot="1" x14ac:dyDescent="0.25">
      <c r="A35" s="76"/>
      <c r="B35" s="81"/>
      <c r="C35" s="206" t="str">
        <f>CONCATENATE("Incerteza: ",'Output (2)'!$D24)</f>
        <v xml:space="preserve">Incerteza:  </v>
      </c>
      <c r="D35" s="86" t="str">
        <f>CONCATENATE(HLOOKUP('Output (1)'!$H$11,Traduções_ResBalanço,21,FALSE),'Output (2)'!$D25)</f>
        <v xml:space="preserve">Incerteza  </v>
      </c>
      <c r="E35" s="216"/>
    </row>
    <row r="36" spans="1:5" ht="45.75" customHeight="1" x14ac:dyDescent="0.2">
      <c r="A36" s="76"/>
      <c r="B36" s="81"/>
      <c r="C36" s="700" t="str">
        <f>'Output (2)'!A28</f>
        <v>Perdas reais (2)</v>
      </c>
      <c r="D36" s="84" t="str">
        <f>'Output (2)'!A26</f>
        <v>Fugas e extravasamentos nos reservatórios de adução e/ou distribuição</v>
      </c>
      <c r="E36" s="216"/>
    </row>
    <row r="37" spans="1:5" x14ac:dyDescent="0.2">
      <c r="A37" s="76"/>
      <c r="B37" s="81"/>
      <c r="C37" s="196" t="str">
        <f>CONCATENATE(INT('Output (2)'!B28+0.5)," ",'Output (2)'!C28)</f>
        <v>0 m3/ano</v>
      </c>
      <c r="D37" s="85" t="str">
        <f>CONCATENATE(INT('Output (2)'!B26+0.5)," ",'Output (2)'!C26)</f>
        <v>0 m3/ano</v>
      </c>
      <c r="E37" s="216"/>
    </row>
    <row r="38" spans="1:5" ht="13.5" thickBot="1" x14ac:dyDescent="0.25">
      <c r="A38" s="76"/>
      <c r="B38" s="81"/>
      <c r="C38" s="195" t="str">
        <f>CONCATENATE("Incerteza: ",'Output (2)'!$D28)</f>
        <v xml:space="preserve">Incerteza:  </v>
      </c>
      <c r="D38" s="86" t="str">
        <f>CONCATENATE(HLOOKUP('Output (1)'!$H$11,Traduções_ResBalanço,21,FALSE),'Output (2)'!$D26)</f>
        <v xml:space="preserve">Incerteza  </v>
      </c>
      <c r="E38" s="216"/>
    </row>
    <row r="39" spans="1:5" ht="33.75" x14ac:dyDescent="0.2">
      <c r="A39" s="76"/>
      <c r="B39" s="81"/>
      <c r="C39" s="195"/>
      <c r="D39" s="84" t="str">
        <f>'Output (2)'!A27</f>
        <v>Fugas nos ramais (a montante do ponto de medição)</v>
      </c>
      <c r="E39" s="216"/>
    </row>
    <row r="40" spans="1:5" x14ac:dyDescent="0.2">
      <c r="A40" s="76"/>
      <c r="B40" s="81"/>
      <c r="C40" s="197"/>
      <c r="D40" s="85" t="str">
        <f>CONCATENATE(INT('Output (2)'!B27+0.5)," ",'Output (2)'!C27)</f>
        <v>0 m3/ano</v>
      </c>
      <c r="E40" s="216"/>
    </row>
    <row r="41" spans="1:5" ht="13.5" thickBot="1" x14ac:dyDescent="0.25">
      <c r="A41" s="77"/>
      <c r="B41" s="82"/>
      <c r="C41" s="198"/>
      <c r="D41" s="86" t="str">
        <f>CONCATENATE(HLOOKUP('Output (1)'!$H$11,Traduções_ResBalanço,21,FALSE),'Output (2)'!$D27)</f>
        <v xml:space="preserve">Incerteza  </v>
      </c>
      <c r="E41" s="217"/>
    </row>
    <row r="44" spans="1:5" x14ac:dyDescent="0.2">
      <c r="A44" s="17"/>
      <c r="B44" s="48"/>
    </row>
    <row r="45" spans="1:5" x14ac:dyDescent="0.2">
      <c r="A45" s="17"/>
      <c r="B45" s="17"/>
    </row>
    <row r="46" spans="1:5" x14ac:dyDescent="0.2">
      <c r="A46" s="17"/>
      <c r="B46" s="48"/>
    </row>
    <row r="47" spans="1:5" x14ac:dyDescent="0.2">
      <c r="A47" s="17"/>
      <c r="B47" s="17"/>
    </row>
    <row r="48" spans="1:5" x14ac:dyDescent="0.2">
      <c r="A48" s="17"/>
      <c r="B48" s="48"/>
    </row>
    <row r="49" spans="1:2" x14ac:dyDescent="0.2">
      <c r="A49" s="17"/>
      <c r="B49" s="17"/>
    </row>
  </sheetData>
  <sheetProtection sheet="1" objects="1" scenarios="1"/>
  <mergeCells count="6">
    <mergeCell ref="D13:E13"/>
    <mergeCell ref="D14:E14"/>
    <mergeCell ref="A1:E1"/>
    <mergeCell ref="A2:E2"/>
    <mergeCell ref="A3:E3"/>
    <mergeCell ref="A6:C6"/>
  </mergeCells>
  <phoneticPr fontId="8" type="noConversion"/>
  <pageMargins left="0.75" right="0.75" top="0.61" bottom="1" header="0.5" footer="0.5"/>
  <pageSetup paperSize="9" orientation="portrait"/>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44"/>
  </sheetPr>
  <dimension ref="A1:AJ70"/>
  <sheetViews>
    <sheetView showRowColHeaders="0" topLeftCell="A13" zoomScale="125" zoomScaleNormal="125" zoomScalePageLayoutView="125" workbookViewId="0">
      <selection activeCell="B13" sqref="B13:F13"/>
    </sheetView>
  </sheetViews>
  <sheetFormatPr defaultColWidth="8.85546875" defaultRowHeight="12.75" x14ac:dyDescent="0.2"/>
  <cols>
    <col min="1" max="1" width="47.7109375" customWidth="1"/>
    <col min="2" max="2" width="13" customWidth="1"/>
    <col min="3" max="3" width="11" customWidth="1"/>
    <col min="4" max="4" width="11" style="265" hidden="1" customWidth="1"/>
    <col min="5" max="5" width="11.140625" customWidth="1"/>
    <col min="7" max="7" width="40.42578125" style="223" customWidth="1"/>
    <col min="10" max="10" width="8.42578125" style="265" hidden="1" customWidth="1"/>
    <col min="11" max="11" width="32" style="265" hidden="1" customWidth="1"/>
    <col min="12" max="12" width="33.42578125" style="265" hidden="1" customWidth="1"/>
    <col min="13" max="13" width="21" style="265" hidden="1" customWidth="1"/>
    <col min="14" max="26" width="9.140625" hidden="1" customWidth="1"/>
    <col min="27" max="28" width="80.42578125" hidden="1" customWidth="1"/>
    <col min="29" max="29" width="81.140625" hidden="1" customWidth="1"/>
    <col min="30" max="36" width="11.7109375" hidden="1" customWidth="1"/>
  </cols>
  <sheetData>
    <row r="1" spans="1:34" ht="35.25" customHeight="1" x14ac:dyDescent="0.2">
      <c r="Z1" t="str">
        <f>'Output (1)'!H11</f>
        <v>Português</v>
      </c>
      <c r="AA1" s="661" t="str">
        <f>'Output (1)'!AA1</f>
        <v>Português</v>
      </c>
      <c r="AB1" s="661" t="str">
        <f>'Output (1)'!AB1</f>
        <v>English</v>
      </c>
      <c r="AC1" s="661" t="str">
        <f>'Output (1)'!AC1</f>
        <v>Español</v>
      </c>
      <c r="AD1" s="265"/>
      <c r="AE1" s="265"/>
      <c r="AF1" s="265"/>
      <c r="AG1" s="265"/>
      <c r="AH1" s="265"/>
    </row>
    <row r="2" spans="1:34" x14ac:dyDescent="0.2">
      <c r="A2" s="3" t="str">
        <f>HLOOKUP('Output (1)'!$H$11,Traduções_1,ROW(),FALSE)</f>
        <v>Dados gerais sobre o sistema a que se refere o balanço hídrico</v>
      </c>
      <c r="B2" s="2"/>
      <c r="C2" s="2"/>
      <c r="D2" s="344"/>
      <c r="E2" s="2"/>
      <c r="F2" s="2"/>
      <c r="J2" s="351" t="s">
        <v>456</v>
      </c>
      <c r="AA2" t="s">
        <v>433</v>
      </c>
      <c r="AB2" t="s">
        <v>827</v>
      </c>
      <c r="AC2" t="s">
        <v>769</v>
      </c>
    </row>
    <row r="3" spans="1:34" ht="13.5" thickBot="1" x14ac:dyDescent="0.25">
      <c r="G3" s="224" t="str">
        <f>G18</f>
        <v>Observações</v>
      </c>
    </row>
    <row r="4" spans="1:34" ht="13.5" thickBot="1" x14ac:dyDescent="0.25">
      <c r="A4" s="8" t="str">
        <f>HLOOKUP('Output (1)'!$H$11,Traduções_1,ROW(),FALSE)</f>
        <v>Designação da entidade gestora</v>
      </c>
      <c r="B4" s="778"/>
      <c r="C4" s="779"/>
      <c r="D4" s="779"/>
      <c r="E4" s="779"/>
      <c r="F4" s="779"/>
      <c r="G4" s="775"/>
      <c r="AA4" t="s">
        <v>434</v>
      </c>
      <c r="AB4" t="s">
        <v>373</v>
      </c>
      <c r="AC4" t="s">
        <v>770</v>
      </c>
    </row>
    <row r="5" spans="1:34" ht="13.5" thickBot="1" x14ac:dyDescent="0.25">
      <c r="A5" s="9" t="str">
        <f>HLOOKUP('Output (1)'!$H$11,Traduções_1,ROW(),FALSE)</f>
        <v xml:space="preserve">Designação da unidade operacional </v>
      </c>
      <c r="B5" s="778"/>
      <c r="C5" s="779"/>
      <c r="D5" s="779"/>
      <c r="E5" s="779"/>
      <c r="F5" s="779"/>
      <c r="G5" s="776"/>
      <c r="AA5" t="s">
        <v>435</v>
      </c>
      <c r="AB5" t="s">
        <v>828</v>
      </c>
      <c r="AC5" t="s">
        <v>771</v>
      </c>
    </row>
    <row r="6" spans="1:34" ht="13.5" thickBot="1" x14ac:dyDescent="0.25">
      <c r="A6" s="9" t="str">
        <f>HLOOKUP('Output (1)'!$H$11,Traduções_1,ROW(),FALSE)</f>
        <v>Nome do responsável pelo balanço hídrico</v>
      </c>
      <c r="B6" s="780"/>
      <c r="C6" s="779"/>
      <c r="D6" s="779"/>
      <c r="E6" s="779"/>
      <c r="F6" s="779"/>
      <c r="G6" s="776"/>
      <c r="AA6" t="s">
        <v>3</v>
      </c>
      <c r="AB6" t="s">
        <v>829</v>
      </c>
      <c r="AC6" t="s">
        <v>772</v>
      </c>
    </row>
    <row r="7" spans="1:34" ht="13.5" thickBot="1" x14ac:dyDescent="0.25">
      <c r="A7" s="9" t="str">
        <f>HLOOKUP('Output (1)'!$H$11,Traduções_1,ROW(),FALSE)</f>
        <v>E-mail do responsável pelo balanço hídrico</v>
      </c>
      <c r="B7" s="781"/>
      <c r="C7" s="779"/>
      <c r="D7" s="779"/>
      <c r="E7" s="779"/>
      <c r="F7" s="779"/>
      <c r="G7" s="776"/>
      <c r="AA7" t="s">
        <v>436</v>
      </c>
      <c r="AB7" t="s">
        <v>374</v>
      </c>
      <c r="AC7" t="s">
        <v>773</v>
      </c>
    </row>
    <row r="8" spans="1:34" ht="13.5" thickBot="1" x14ac:dyDescent="0.25">
      <c r="A8" s="10" t="str">
        <f>HLOOKUP('Output (1)'!$H$11,Traduções_1,ROW(),FALSE)</f>
        <v>Designação do sistema ou subsistema</v>
      </c>
      <c r="B8" s="778"/>
      <c r="C8" s="779"/>
      <c r="D8" s="779"/>
      <c r="E8" s="779"/>
      <c r="F8" s="779"/>
      <c r="G8" s="777"/>
      <c r="AA8" t="s">
        <v>437</v>
      </c>
      <c r="AB8" t="s">
        <v>375</v>
      </c>
      <c r="AC8" t="s">
        <v>774</v>
      </c>
    </row>
    <row r="9" spans="1:34" x14ac:dyDescent="0.2">
      <c r="A9" s="46"/>
      <c r="B9" s="19"/>
      <c r="C9" s="19"/>
      <c r="D9" s="345"/>
      <c r="E9" s="19"/>
      <c r="F9" s="19"/>
      <c r="Z9" t="s">
        <v>103</v>
      </c>
      <c r="AA9" t="s">
        <v>447</v>
      </c>
      <c r="AB9" t="s">
        <v>89</v>
      </c>
      <c r="AC9" t="s">
        <v>775</v>
      </c>
    </row>
    <row r="10" spans="1:34" ht="18" customHeight="1" x14ac:dyDescent="0.2">
      <c r="A10" s="726" t="str">
        <f>HLOOKUP('Output (1)'!$H$11,Traduções_1,37,FALSE)</f>
        <v xml:space="preserve">             Sistema de produção e adução</v>
      </c>
      <c r="B10" s="727">
        <v>2</v>
      </c>
      <c r="C10" s="19"/>
      <c r="D10" s="345"/>
      <c r="E10" s="19"/>
      <c r="F10" s="19"/>
      <c r="G10" s="775"/>
      <c r="Z10" t="s">
        <v>104</v>
      </c>
      <c r="AA10" t="s">
        <v>8</v>
      </c>
      <c r="AB10" t="s">
        <v>88</v>
      </c>
      <c r="AC10" t="s">
        <v>8</v>
      </c>
    </row>
    <row r="11" spans="1:34" ht="18" customHeight="1" x14ac:dyDescent="0.2">
      <c r="A11" s="726" t="str">
        <f>HLOOKUP('Output (1)'!$H$11,Traduções_1,38,FALSE)</f>
        <v xml:space="preserve">             Sistema de distribuição ou completo</v>
      </c>
      <c r="B11" s="725"/>
      <c r="C11" s="19"/>
      <c r="D11" s="345"/>
      <c r="E11" s="19"/>
      <c r="F11" s="19"/>
      <c r="G11" s="777"/>
      <c r="Z11" t="s">
        <v>105</v>
      </c>
      <c r="AA11" t="s">
        <v>422</v>
      </c>
      <c r="AB11" t="s">
        <v>893</v>
      </c>
      <c r="AC11" t="s">
        <v>776</v>
      </c>
    </row>
    <row r="12" spans="1:34" ht="13.5" thickBot="1" x14ac:dyDescent="0.25">
      <c r="Z12" t="s">
        <v>106</v>
      </c>
      <c r="AA12" t="s">
        <v>423</v>
      </c>
      <c r="AB12" t="s">
        <v>894</v>
      </c>
      <c r="AC12" t="s">
        <v>729</v>
      </c>
    </row>
    <row r="13" spans="1:34" ht="13.5" thickBot="1" x14ac:dyDescent="0.25">
      <c r="A13" s="20" t="str">
        <f>HLOOKUP('Output (1)'!$H$11,Traduções_1,ROW(),FALSE)</f>
        <v>Período a que se refere o cálculo:</v>
      </c>
      <c r="B13" s="782"/>
      <c r="C13" s="783"/>
      <c r="D13" s="783"/>
      <c r="E13" s="783"/>
      <c r="F13" s="783"/>
      <c r="G13" s="225"/>
      <c r="AA13" t="s">
        <v>457</v>
      </c>
      <c r="AB13" t="s">
        <v>138</v>
      </c>
      <c r="AC13" t="s">
        <v>777</v>
      </c>
    </row>
    <row r="14" spans="1:34" s="17" customFormat="1" x14ac:dyDescent="0.2">
      <c r="A14" s="46"/>
      <c r="B14" s="53"/>
      <c r="C14" s="46"/>
      <c r="D14" s="296"/>
      <c r="E14" s="46"/>
      <c r="F14" s="46"/>
      <c r="G14" s="226"/>
      <c r="J14" s="298"/>
      <c r="K14" s="298"/>
      <c r="L14" s="298"/>
      <c r="M14" s="298"/>
    </row>
    <row r="15" spans="1:34" ht="13.5" thickBot="1" x14ac:dyDescent="0.25"/>
    <row r="16" spans="1:34" x14ac:dyDescent="0.2">
      <c r="A16" s="49" t="str">
        <f>HLOOKUP('Output (1)'!$H$11,Traduções_1,ROW(),FALSE)</f>
        <v>Dados complementares do balanço hídrico necessários ao cálculo dos indicadores de perdas</v>
      </c>
      <c r="B16" s="2"/>
      <c r="C16" s="2"/>
      <c r="D16" s="346" t="str">
        <f>HLOOKUP('Output (1)'!$H$11,Traduções_1,10,FALSE)</f>
        <v>Valor</v>
      </c>
      <c r="E16" s="2"/>
      <c r="F16" s="2"/>
      <c r="J16" s="265" t="str">
        <f>'Configuration options'!J6</f>
        <v>l/s</v>
      </c>
      <c r="K16" s="265" t="str">
        <f>'Configuration options'!A6</f>
        <v>***</v>
      </c>
      <c r="L16" s="265" t="str">
        <f>'Configuration options'!D6</f>
        <v>0-5%</v>
      </c>
      <c r="AA16" t="s">
        <v>4</v>
      </c>
      <c r="AB16" t="s">
        <v>376</v>
      </c>
      <c r="AC16" t="s">
        <v>778</v>
      </c>
    </row>
    <row r="17" spans="1:29" s="530" customFormat="1" ht="13.5" thickBot="1" x14ac:dyDescent="0.25">
      <c r="D17" s="595">
        <f>HLOOKUP('Output (1)'!$H$11,Traduções_1,31,FALSE)</f>
        <v>0</v>
      </c>
      <c r="J17" s="531" t="str">
        <f>'Configuration options'!J7</f>
        <v>m3/h</v>
      </c>
      <c r="K17" s="531" t="str">
        <f>'Configuration options'!A7</f>
        <v>**</v>
      </c>
      <c r="L17" s="531" t="str">
        <f>'Configuration options'!D7</f>
        <v>6-20%</v>
      </c>
      <c r="M17" s="531"/>
    </row>
    <row r="18" spans="1:29" ht="13.5" thickBot="1" x14ac:dyDescent="0.25">
      <c r="B18" s="179" t="str">
        <f>D16</f>
        <v>Valor</v>
      </c>
      <c r="C18" s="561" t="str">
        <f>HLOOKUP('Output (1)'!$H$11,Traduções_1,9,FALSE)</f>
        <v>Unidade</v>
      </c>
      <c r="D18" s="347"/>
      <c r="E18" t="str">
        <f>HLOOKUP('Output (1)'!$H$11,Traduções_1,11,FALSE)</f>
        <v>Fiabilidade</v>
      </c>
      <c r="F18" t="str">
        <f>HLOOKUP('Output (1)'!$H$11,Traduções_1,12,FALSE)</f>
        <v>Exactidão</v>
      </c>
      <c r="G18" s="224" t="str">
        <f>HLOOKUP('Output (1)'!$H$11,Traduções_1,30,FALSE)</f>
        <v>Observações</v>
      </c>
      <c r="J18" s="265" t="str">
        <f>'Configuration options'!J8</f>
        <v>l/dia</v>
      </c>
      <c r="K18" s="265" t="str">
        <f>'Configuration options'!A8</f>
        <v>*</v>
      </c>
      <c r="L18" s="265" t="str">
        <f>'Configuration options'!D8</f>
        <v>21-50%</v>
      </c>
    </row>
    <row r="19" spans="1:29" ht="15" customHeight="1" x14ac:dyDescent="0.2">
      <c r="A19" s="8" t="str">
        <f>HLOOKUP('Output (1)'!$H$11,Traduções_1,ROW(),FALSE)</f>
        <v>Comprimento total da rede</v>
      </c>
      <c r="B19" s="736"/>
      <c r="C19" s="50" t="s">
        <v>511</v>
      </c>
      <c r="D19" s="348"/>
      <c r="E19" s="513" t="s">
        <v>426</v>
      </c>
      <c r="F19" s="734" t="s">
        <v>58</v>
      </c>
      <c r="G19" s="775"/>
      <c r="J19" s="265" t="str">
        <f>'Configuration options'!J9</f>
        <v>m3/dia</v>
      </c>
      <c r="L19" s="265" t="str">
        <f>'Configuration options'!D9</f>
        <v>51-100%</v>
      </c>
      <c r="AA19" t="s">
        <v>512</v>
      </c>
      <c r="AB19" s="695" t="s">
        <v>1018</v>
      </c>
      <c r="AC19" t="s">
        <v>779</v>
      </c>
    </row>
    <row r="20" spans="1:29" ht="15" customHeight="1" x14ac:dyDescent="0.2">
      <c r="A20" s="9" t="str">
        <f>HLOOKUP('Output (1)'!$H$11,Traduções_1,ROW(),FALSE)</f>
        <v>Número total de ramais</v>
      </c>
      <c r="B20" s="737"/>
      <c r="C20" s="51" t="s">
        <v>471</v>
      </c>
      <c r="D20" s="348"/>
      <c r="E20" s="513" t="s">
        <v>426</v>
      </c>
      <c r="F20" s="734" t="s">
        <v>58</v>
      </c>
      <c r="G20" s="776"/>
      <c r="J20" s="265" t="str">
        <f>'Configuration options'!J10</f>
        <v>m3/mês</v>
      </c>
      <c r="L20" s="265" t="str">
        <f>'Configuration options'!D10</f>
        <v>101-300%</v>
      </c>
      <c r="AA20" t="s">
        <v>513</v>
      </c>
      <c r="AB20" s="106" t="s">
        <v>1019</v>
      </c>
      <c r="AC20" t="s">
        <v>780</v>
      </c>
    </row>
    <row r="21" spans="1:29" ht="15" customHeight="1" thickBot="1" x14ac:dyDescent="0.25">
      <c r="A21" s="9" t="str">
        <f>HLOOKUP('Output (1)'!$H$11,Traduções_1,ROW(),FALSE)</f>
        <v>Altura piezométrica média de serviço</v>
      </c>
      <c r="B21" s="737"/>
      <c r="C21" s="63" t="s">
        <v>510</v>
      </c>
      <c r="D21" s="348"/>
      <c r="E21" s="513" t="s">
        <v>426</v>
      </c>
      <c r="F21" s="734" t="s">
        <v>58</v>
      </c>
      <c r="G21" s="776"/>
      <c r="J21" s="265" t="str">
        <f>'Configuration options'!J11</f>
        <v>m3/ano</v>
      </c>
      <c r="AA21" t="s">
        <v>514</v>
      </c>
      <c r="AB21" t="s">
        <v>377</v>
      </c>
      <c r="AC21" t="s">
        <v>781</v>
      </c>
    </row>
    <row r="22" spans="1:29" ht="15" customHeight="1" thickBot="1" x14ac:dyDescent="0.25">
      <c r="A22" s="9" t="str">
        <f>HLOOKUP('Output (1)'!$H$11,Traduções_1,ROW(),FALSE)</f>
        <v>Água bruta exportada</v>
      </c>
      <c r="B22" s="738"/>
      <c r="C22" s="544"/>
      <c r="D22" s="349">
        <f>IF(C22=J16,'Configuration options'!$K$6,IF(C22=J17,'Configuration options'!$K$7,IF(C22=J18,'Configuration options'!$K$8,IF(C22=J19,'Configuration options'!$K$9,IF(C22=J20,'Configuration options'!$K$10,IF(C22=J21,'Configuration options'!$K$11,0))))))*B22</f>
        <v>0</v>
      </c>
      <c r="E22" s="513" t="s">
        <v>426</v>
      </c>
      <c r="F22" s="734" t="s">
        <v>58</v>
      </c>
      <c r="G22" s="776"/>
      <c r="AA22" t="s">
        <v>594</v>
      </c>
      <c r="AB22" s="695" t="s">
        <v>1017</v>
      </c>
      <c r="AC22" t="s">
        <v>782</v>
      </c>
    </row>
    <row r="23" spans="1:29" ht="26.25" customHeight="1" x14ac:dyDescent="0.2">
      <c r="A23" s="464" t="str">
        <f>HLOOKUP('Output (1)'!$H$11,Traduções_1,ROW(),FALSE)</f>
        <v>Comprimento médio dos ramais prediais (entre o limite de propriedade e o contador)</v>
      </c>
      <c r="B23" s="738"/>
      <c r="C23" s="560" t="s">
        <v>509</v>
      </c>
      <c r="D23" s="348"/>
      <c r="E23" s="513" t="s">
        <v>425</v>
      </c>
      <c r="F23" s="734" t="s">
        <v>69</v>
      </c>
      <c r="G23" s="776"/>
      <c r="J23" s="296"/>
      <c r="K23" s="296"/>
      <c r="L23" s="296"/>
      <c r="M23" s="296"/>
      <c r="N23" s="46"/>
      <c r="AA23" t="s">
        <v>57</v>
      </c>
      <c r="AB23" t="s">
        <v>831</v>
      </c>
      <c r="AC23" t="s">
        <v>783</v>
      </c>
    </row>
    <row r="24" spans="1:29" ht="15" customHeight="1" x14ac:dyDescent="0.2">
      <c r="A24" s="9" t="str">
        <f>HLOOKUP('Output (1)'!$H$11,Traduções_1,ROW(),FALSE)</f>
        <v>Duração do período a que se refere o balanço hídrico</v>
      </c>
      <c r="B24" s="739"/>
      <c r="C24" s="51" t="str">
        <f>HLOOKUP('Output (1)'!$H$11,Traduções_1,33,FALSE)</f>
        <v>dias</v>
      </c>
      <c r="D24" s="348"/>
      <c r="E24" s="513" t="s">
        <v>426</v>
      </c>
      <c r="F24" s="734" t="s">
        <v>58</v>
      </c>
      <c r="G24" s="776"/>
      <c r="N24" s="296"/>
      <c r="AA24" t="s">
        <v>534</v>
      </c>
      <c r="AB24" t="s">
        <v>832</v>
      </c>
      <c r="AC24" t="s">
        <v>784</v>
      </c>
    </row>
    <row r="25" spans="1:29" ht="15" customHeight="1" x14ac:dyDescent="0.2">
      <c r="A25" s="9" t="str">
        <f>HLOOKUP('Output (1)'!$H$11,Traduções_1,ROW(),FALSE)</f>
        <v>Tempo de pressurização do sistema</v>
      </c>
      <c r="B25" s="739"/>
      <c r="C25" s="51" t="str">
        <f>HLOOKUP('Output (1)'!$H$11,Traduções_1,35,FALSE)</f>
        <v>horas/dia</v>
      </c>
      <c r="D25" s="348"/>
      <c r="E25" s="513" t="s">
        <v>426</v>
      </c>
      <c r="F25" s="734" t="s">
        <v>58</v>
      </c>
      <c r="G25" s="776"/>
      <c r="N25" s="296"/>
      <c r="AA25" t="s">
        <v>611</v>
      </c>
      <c r="AB25" s="695" t="s">
        <v>1020</v>
      </c>
      <c r="AC25" t="s">
        <v>785</v>
      </c>
    </row>
    <row r="26" spans="1:29" ht="15" customHeight="1" x14ac:dyDescent="0.2">
      <c r="A26" s="64" t="str">
        <f>HLOOKUP('Output (1)'!$H$11,Traduções_1,ROW(),FALSE)</f>
        <v>Custos correntes</v>
      </c>
      <c r="B26" s="737"/>
      <c r="C26" s="51" t="str">
        <f>HLOOKUP('Output (1)'!$H$11,Traduções_1,36,FALSE)</f>
        <v>€/ano</v>
      </c>
      <c r="D26" s="348"/>
      <c r="E26" s="513" t="s">
        <v>426</v>
      </c>
      <c r="F26" s="734" t="s">
        <v>58</v>
      </c>
      <c r="G26" s="776"/>
      <c r="N26" s="296"/>
      <c r="AA26" t="s">
        <v>536</v>
      </c>
      <c r="AB26" s="695" t="s">
        <v>1016</v>
      </c>
      <c r="AC26" t="s">
        <v>786</v>
      </c>
    </row>
    <row r="27" spans="1:29" ht="15" customHeight="1" x14ac:dyDescent="0.2">
      <c r="A27" s="64" t="str">
        <f>HLOOKUP('Output (1)'!$H$11,Traduções_1,ROW(),FALSE)</f>
        <v>Tarifa média para consumidores directos</v>
      </c>
      <c r="B27" s="740"/>
      <c r="C27" s="51" t="s">
        <v>539</v>
      </c>
      <c r="D27" s="348"/>
      <c r="E27" s="513" t="s">
        <v>426</v>
      </c>
      <c r="F27" s="734" t="s">
        <v>58</v>
      </c>
      <c r="G27" s="776"/>
      <c r="N27" s="46"/>
      <c r="AA27" t="s">
        <v>537</v>
      </c>
      <c r="AB27" s="695" t="s">
        <v>1014</v>
      </c>
      <c r="AC27" t="s">
        <v>787</v>
      </c>
    </row>
    <row r="28" spans="1:29" ht="15" customHeight="1" thickBot="1" x14ac:dyDescent="0.25">
      <c r="A28" s="65" t="str">
        <f>HLOOKUP('Output (1)'!$H$11,Traduções_1,ROW(),FALSE)</f>
        <v>Custo unitário assumido das perdas reais</v>
      </c>
      <c r="B28" s="740"/>
      <c r="C28" s="52" t="s">
        <v>539</v>
      </c>
      <c r="D28" s="348"/>
      <c r="E28" s="513" t="s">
        <v>426</v>
      </c>
      <c r="F28" s="734" t="s">
        <v>58</v>
      </c>
      <c r="G28" s="777"/>
      <c r="AA28" t="s">
        <v>538</v>
      </c>
      <c r="AB28" s="695" t="s">
        <v>1015</v>
      </c>
      <c r="AC28" t="s">
        <v>788</v>
      </c>
    </row>
    <row r="29" spans="1:29" x14ac:dyDescent="0.2">
      <c r="A29" s="46"/>
    </row>
    <row r="30" spans="1:29" s="639" customFormat="1" x14ac:dyDescent="0.2">
      <c r="D30" s="640"/>
      <c r="Z30" s="639" t="s">
        <v>107</v>
      </c>
      <c r="AA30" s="639" t="s">
        <v>35</v>
      </c>
      <c r="AB30" s="639" t="s">
        <v>394</v>
      </c>
      <c r="AC30" s="639" t="s">
        <v>789</v>
      </c>
    </row>
    <row r="31" spans="1:29" s="642" customFormat="1" ht="27.75" customHeight="1" x14ac:dyDescent="0.2">
      <c r="D31" s="643"/>
    </row>
    <row r="32" spans="1:29" x14ac:dyDescent="0.2">
      <c r="Z32" t="s">
        <v>108</v>
      </c>
      <c r="AA32" t="s">
        <v>67</v>
      </c>
      <c r="AB32" t="s">
        <v>830</v>
      </c>
      <c r="AC32" t="s">
        <v>790</v>
      </c>
    </row>
    <row r="33" spans="4:29" s="223" customFormat="1" x14ac:dyDescent="0.2">
      <c r="D33" s="596"/>
      <c r="Z33" t="s">
        <v>109</v>
      </c>
      <c r="AA33" s="223" t="s">
        <v>535</v>
      </c>
      <c r="AB33" s="223" t="s">
        <v>83</v>
      </c>
      <c r="AC33" s="223" t="s">
        <v>728</v>
      </c>
    </row>
    <row r="34" spans="4:29" x14ac:dyDescent="0.2">
      <c r="AA34" t="s">
        <v>700</v>
      </c>
      <c r="AB34" t="s">
        <v>701</v>
      </c>
      <c r="AC34" t="s">
        <v>700</v>
      </c>
    </row>
    <row r="35" spans="4:29" x14ac:dyDescent="0.2">
      <c r="Z35" t="s">
        <v>110</v>
      </c>
      <c r="AA35" t="s">
        <v>472</v>
      </c>
      <c r="AB35" t="s">
        <v>81</v>
      </c>
      <c r="AC35" t="s">
        <v>255</v>
      </c>
    </row>
    <row r="36" spans="4:29" x14ac:dyDescent="0.2">
      <c r="Z36" t="s">
        <v>111</v>
      </c>
      <c r="AA36" t="s">
        <v>575</v>
      </c>
      <c r="AB36" t="s">
        <v>82</v>
      </c>
      <c r="AC36" t="s">
        <v>726</v>
      </c>
    </row>
    <row r="37" spans="4:29" x14ac:dyDescent="0.2">
      <c r="Z37" t="s">
        <v>804</v>
      </c>
      <c r="AA37" t="s">
        <v>806</v>
      </c>
      <c r="AB37" t="s">
        <v>587</v>
      </c>
      <c r="AC37" t="s">
        <v>853</v>
      </c>
    </row>
    <row r="38" spans="4:29" x14ac:dyDescent="0.2">
      <c r="Z38" s="724" t="s">
        <v>805</v>
      </c>
      <c r="AA38" t="s">
        <v>807</v>
      </c>
      <c r="AB38" t="s">
        <v>588</v>
      </c>
      <c r="AC38" t="s">
        <v>854</v>
      </c>
    </row>
    <row r="39" spans="4:29" x14ac:dyDescent="0.2">
      <c r="J39" s="576"/>
      <c r="K39" s="576"/>
      <c r="L39" s="577"/>
      <c r="M39" s="296"/>
      <c r="Z39" s="641"/>
      <c r="AA39" s="634"/>
      <c r="AB39" s="634"/>
    </row>
    <row r="40" spans="4:29" x14ac:dyDescent="0.2">
      <c r="J40" s="121"/>
      <c r="K40" s="296"/>
      <c r="L40" s="296"/>
      <c r="M40" s="296"/>
      <c r="Z40" s="644"/>
      <c r="AA40" s="634"/>
      <c r="AB40" s="634"/>
    </row>
    <row r="41" spans="4:29" x14ac:dyDescent="0.2">
      <c r="J41" s="121"/>
      <c r="K41" s="296"/>
      <c r="L41" s="296"/>
      <c r="M41" s="296"/>
      <c r="Z41" s="637"/>
      <c r="AA41" s="635"/>
      <c r="AB41" s="635"/>
    </row>
    <row r="42" spans="4:29" x14ac:dyDescent="0.2">
      <c r="J42" s="121"/>
      <c r="K42" s="296"/>
      <c r="L42" s="296"/>
      <c r="M42" s="296"/>
      <c r="Z42" s="637"/>
      <c r="AA42" s="635"/>
      <c r="AB42" s="635"/>
    </row>
    <row r="43" spans="4:29" x14ac:dyDescent="0.2">
      <c r="J43" s="121"/>
      <c r="K43" s="296"/>
      <c r="L43" s="296"/>
      <c r="M43" s="296"/>
      <c r="Z43" s="638"/>
      <c r="AA43" s="635"/>
      <c r="AB43" s="635"/>
    </row>
    <row r="44" spans="4:29" x14ac:dyDescent="0.2">
      <c r="J44" s="121"/>
      <c r="K44" s="296"/>
      <c r="L44" s="296"/>
      <c r="M44" s="296"/>
      <c r="Z44" s="637"/>
      <c r="AA44" s="635"/>
      <c r="AB44" s="635"/>
    </row>
    <row r="45" spans="4:29" x14ac:dyDescent="0.2">
      <c r="J45" s="121"/>
      <c r="K45" s="296"/>
      <c r="L45" s="296"/>
      <c r="M45" s="296"/>
      <c r="Z45" s="637"/>
      <c r="AA45" s="635"/>
      <c r="AB45" s="635"/>
    </row>
    <row r="46" spans="4:29" x14ac:dyDescent="0.2">
      <c r="J46" s="121"/>
      <c r="K46" s="296"/>
      <c r="L46" s="296"/>
      <c r="M46" s="296"/>
      <c r="Z46" s="637"/>
      <c r="AA46" s="635"/>
      <c r="AB46" s="635"/>
    </row>
    <row r="47" spans="4:29" x14ac:dyDescent="0.2">
      <c r="J47" s="121"/>
      <c r="K47" s="296"/>
      <c r="L47" s="296"/>
      <c r="M47" s="296"/>
      <c r="Z47" s="632" t="s">
        <v>901</v>
      </c>
      <c r="AA47" s="576" t="s">
        <v>912</v>
      </c>
      <c r="AB47" s="631" t="s">
        <v>913</v>
      </c>
      <c r="AC47" s="631" t="s">
        <v>251</v>
      </c>
    </row>
    <row r="48" spans="4:29" x14ac:dyDescent="0.2">
      <c r="J48" s="121"/>
      <c r="K48" s="296"/>
      <c r="L48" s="296"/>
      <c r="M48" s="296"/>
      <c r="Z48" s="641" t="s">
        <v>896</v>
      </c>
      <c r="AA48" s="634" t="s">
        <v>905</v>
      </c>
      <c r="AB48" s="634" t="s">
        <v>378</v>
      </c>
      <c r="AC48" s="635" t="s">
        <v>791</v>
      </c>
    </row>
    <row r="49" spans="10:29" x14ac:dyDescent="0.2">
      <c r="J49" s="121"/>
      <c r="K49" s="296"/>
      <c r="L49" s="296"/>
      <c r="M49" s="296"/>
      <c r="Z49" s="644" t="s">
        <v>897</v>
      </c>
      <c r="AA49" s="634" t="s">
        <v>904</v>
      </c>
      <c r="AB49" s="634" t="s">
        <v>379</v>
      </c>
      <c r="AC49" s="636" t="s">
        <v>792</v>
      </c>
    </row>
    <row r="50" spans="10:29" ht="25.5" x14ac:dyDescent="0.2">
      <c r="J50" s="121"/>
      <c r="K50" s="296"/>
      <c r="L50" s="296"/>
      <c r="M50" s="296"/>
      <c r="Z50" s="637" t="s">
        <v>882</v>
      </c>
      <c r="AA50" s="635" t="s">
        <v>381</v>
      </c>
      <c r="AB50" s="635" t="s">
        <v>380</v>
      </c>
      <c r="AC50" s="296" t="s">
        <v>793</v>
      </c>
    </row>
    <row r="51" spans="10:29" x14ac:dyDescent="0.2">
      <c r="J51" s="121"/>
      <c r="K51" s="296"/>
      <c r="L51" s="296"/>
      <c r="M51" s="296"/>
      <c r="Z51" s="637" t="s">
        <v>907</v>
      </c>
      <c r="AA51" s="635" t="s">
        <v>906</v>
      </c>
      <c r="AB51" s="635" t="s">
        <v>382</v>
      </c>
      <c r="AC51" s="296" t="s">
        <v>794</v>
      </c>
    </row>
    <row r="52" spans="10:29" ht="51" x14ac:dyDescent="0.2">
      <c r="J52" s="121"/>
      <c r="K52" s="296"/>
      <c r="L52" s="296"/>
      <c r="M52" s="296"/>
      <c r="Z52" s="638" t="s">
        <v>902</v>
      </c>
      <c r="AA52" s="635" t="s">
        <v>908</v>
      </c>
      <c r="AB52" s="635" t="s">
        <v>383</v>
      </c>
      <c r="AC52" s="635" t="s">
        <v>795</v>
      </c>
    </row>
    <row r="53" spans="10:29" x14ac:dyDescent="0.2">
      <c r="J53" s="121"/>
      <c r="K53" s="296"/>
      <c r="L53" s="296"/>
      <c r="M53" s="296"/>
      <c r="Z53" s="637" t="s">
        <v>898</v>
      </c>
      <c r="AA53" s="635" t="s">
        <v>909</v>
      </c>
      <c r="AB53" s="635" t="s">
        <v>384</v>
      </c>
      <c r="AC53" s="635" t="s">
        <v>796</v>
      </c>
    </row>
    <row r="54" spans="10:29" ht="51" x14ac:dyDescent="0.2">
      <c r="J54" s="121"/>
      <c r="K54" s="296"/>
      <c r="L54" s="296"/>
      <c r="M54" s="296"/>
      <c r="Z54" s="637" t="s">
        <v>899</v>
      </c>
      <c r="AA54" s="635" t="s">
        <v>910</v>
      </c>
      <c r="AB54" s="635" t="s">
        <v>385</v>
      </c>
      <c r="AC54" s="635" t="s">
        <v>797</v>
      </c>
    </row>
    <row r="55" spans="10:29" ht="63.75" x14ac:dyDescent="0.2">
      <c r="J55" s="121"/>
      <c r="K55" s="296"/>
      <c r="L55" s="296"/>
      <c r="M55" s="296"/>
      <c r="Z55" s="637" t="s">
        <v>900</v>
      </c>
      <c r="AA55" s="635" t="s">
        <v>911</v>
      </c>
      <c r="AB55" s="635" t="s">
        <v>386</v>
      </c>
      <c r="AC55" s="635" t="s">
        <v>798</v>
      </c>
    </row>
    <row r="56" spans="10:29" x14ac:dyDescent="0.2">
      <c r="J56" s="121"/>
      <c r="K56" s="296"/>
      <c r="L56" s="296"/>
      <c r="M56" s="296"/>
      <c r="Z56" s="637" t="s">
        <v>903</v>
      </c>
      <c r="AA56" s="633" t="s">
        <v>895</v>
      </c>
      <c r="AB56" s="633" t="s">
        <v>387</v>
      </c>
      <c r="AC56" s="633" t="s">
        <v>799</v>
      </c>
    </row>
    <row r="57" spans="10:29" x14ac:dyDescent="0.2">
      <c r="J57" s="121"/>
      <c r="K57" s="296"/>
      <c r="L57" s="296"/>
      <c r="M57" s="296"/>
    </row>
    <row r="58" spans="10:29" x14ac:dyDescent="0.2">
      <c r="J58" s="121"/>
      <c r="K58" s="296"/>
      <c r="L58" s="296"/>
      <c r="M58" s="296"/>
    </row>
    <row r="59" spans="10:29" x14ac:dyDescent="0.2">
      <c r="J59" s="121"/>
      <c r="K59" s="296"/>
      <c r="L59" s="296"/>
      <c r="M59" s="296"/>
    </row>
    <row r="60" spans="10:29" x14ac:dyDescent="0.2">
      <c r="J60" s="121"/>
      <c r="K60" s="296"/>
      <c r="L60" s="296"/>
      <c r="M60" s="296"/>
    </row>
    <row r="61" spans="10:29" x14ac:dyDescent="0.2">
      <c r="J61" s="121"/>
      <c r="K61" s="296"/>
      <c r="L61" s="296"/>
      <c r="M61" s="296"/>
    </row>
    <row r="62" spans="10:29" x14ac:dyDescent="0.2">
      <c r="J62" s="121"/>
      <c r="K62" s="296"/>
      <c r="L62" s="296"/>
      <c r="M62" s="296"/>
    </row>
    <row r="63" spans="10:29" x14ac:dyDescent="0.2">
      <c r="J63" s="121"/>
      <c r="K63" s="296"/>
      <c r="L63" s="296"/>
      <c r="M63" s="296"/>
    </row>
    <row r="64" spans="10:29" x14ac:dyDescent="0.2">
      <c r="J64" s="121"/>
      <c r="K64" s="296"/>
      <c r="L64" s="296"/>
      <c r="M64" s="296"/>
    </row>
    <row r="65" spans="10:13" x14ac:dyDescent="0.2">
      <c r="J65" s="121"/>
      <c r="K65" s="296"/>
      <c r="L65" s="296"/>
      <c r="M65" s="296"/>
    </row>
    <row r="66" spans="10:13" x14ac:dyDescent="0.2">
      <c r="J66" s="296"/>
      <c r="K66" s="296"/>
      <c r="L66" s="296"/>
      <c r="M66" s="296"/>
    </row>
    <row r="67" spans="10:13" x14ac:dyDescent="0.2">
      <c r="J67" s="296"/>
      <c r="K67" s="296"/>
      <c r="L67" s="296"/>
      <c r="M67" s="296"/>
    </row>
    <row r="68" spans="10:13" x14ac:dyDescent="0.2">
      <c r="J68" s="296"/>
      <c r="K68" s="296"/>
      <c r="L68" s="296"/>
      <c r="M68" s="296"/>
    </row>
    <row r="69" spans="10:13" x14ac:dyDescent="0.2">
      <c r="J69" s="296"/>
      <c r="K69" s="296"/>
      <c r="L69" s="296"/>
      <c r="M69" s="296"/>
    </row>
    <row r="70" spans="10:13" x14ac:dyDescent="0.2">
      <c r="J70" s="296"/>
      <c r="K70" s="296"/>
      <c r="L70" s="296"/>
      <c r="M70" s="296"/>
    </row>
  </sheetData>
  <sheetProtection sheet="1" objects="1" scenarios="1"/>
  <mergeCells count="9">
    <mergeCell ref="G4:G8"/>
    <mergeCell ref="G19:G28"/>
    <mergeCell ref="G10:G11"/>
    <mergeCell ref="B8:F8"/>
    <mergeCell ref="B4:F4"/>
    <mergeCell ref="B5:F5"/>
    <mergeCell ref="B6:F6"/>
    <mergeCell ref="B7:F7"/>
    <mergeCell ref="B13:F13"/>
  </mergeCells>
  <phoneticPr fontId="8" type="noConversion"/>
  <dataValidations count="3">
    <dataValidation type="list" allowBlank="1" showInputMessage="1" showErrorMessage="1" sqref="C22" xr:uid="{00000000-0002-0000-0500-000000000000}">
      <formula1>$J$15:$J$21</formula1>
    </dataValidation>
    <dataValidation type="list" allowBlank="1" showInputMessage="1" showErrorMessage="1" sqref="E19:E28" xr:uid="{00000000-0002-0000-0500-000001000000}">
      <formula1>$K$16:$K$18</formula1>
    </dataValidation>
    <dataValidation type="list" allowBlank="1" showInputMessage="1" showErrorMessage="1" sqref="F19:F28" xr:uid="{00000000-0002-0000-0500-000002000000}">
      <formula1>$L$16:$L$20</formula1>
    </dataValidation>
  </dataValidations>
  <pageMargins left="0.75" right="0.75" top="1" bottom="1" header="0.5" footer="0.5"/>
  <pageSetup paperSize="9"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5" r:id="rId4" name="Option Button 3">
              <controlPr locked="0" defaultSize="0" autoFill="0" autoLine="0" autoPict="0">
                <anchor moveWithCells="1">
                  <from>
                    <xdr:col>0</xdr:col>
                    <xdr:colOff>0</xdr:colOff>
                    <xdr:row>9</xdr:row>
                    <xdr:rowOff>0</xdr:rowOff>
                  </from>
                  <to>
                    <xdr:col>0</xdr:col>
                    <xdr:colOff>304800</xdr:colOff>
                    <xdr:row>10</xdr:row>
                    <xdr:rowOff>0</xdr:rowOff>
                  </to>
                </anchor>
              </controlPr>
            </control>
          </mc:Choice>
        </mc:AlternateContent>
        <mc:AlternateContent xmlns:mc="http://schemas.openxmlformats.org/markup-compatibility/2006">
          <mc:Choice Requires="x14">
            <control shapeId="3076" r:id="rId5" name="Option Button 4">
              <controlPr locked="0" defaultSize="0" autoFill="0" autoLine="0" autoPict="0">
                <anchor moveWithCells="1">
                  <from>
                    <xdr:col>0</xdr:col>
                    <xdr:colOff>0</xdr:colOff>
                    <xdr:row>9</xdr:row>
                    <xdr:rowOff>219075</xdr:rowOff>
                  </from>
                  <to>
                    <xdr:col>0</xdr:col>
                    <xdr:colOff>304800</xdr:colOff>
                    <xdr:row>10</xdr:row>
                    <xdr:rowOff>219075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44"/>
  </sheetPr>
  <dimension ref="A1:IV66"/>
  <sheetViews>
    <sheetView zoomScale="125" zoomScaleNormal="125" zoomScalePageLayoutView="125" workbookViewId="0">
      <selection activeCell="F9" sqref="F9"/>
    </sheetView>
  </sheetViews>
  <sheetFormatPr defaultColWidth="8.85546875" defaultRowHeight="12.75" x14ac:dyDescent="0.2"/>
  <cols>
    <col min="1" max="1" width="92.28515625" customWidth="1"/>
    <col min="2" max="2" width="12.42578125" customWidth="1"/>
    <col min="3" max="3" width="11.42578125" customWidth="1"/>
    <col min="4" max="4" width="11.42578125" style="265" hidden="1" customWidth="1"/>
    <col min="5" max="5" width="11.140625" customWidth="1"/>
    <col min="6" max="6" width="9.7109375" style="130" customWidth="1"/>
    <col min="7" max="7" width="45.7109375" style="223" customWidth="1"/>
    <col min="8" max="8" width="14.42578125" style="265" hidden="1" customWidth="1"/>
    <col min="9" max="9" width="22.140625" style="265" hidden="1" customWidth="1"/>
    <col min="10" max="10" width="11.28515625" style="265" hidden="1" customWidth="1"/>
    <col min="11" max="11" width="12" style="265" hidden="1" customWidth="1"/>
    <col min="12" max="12" width="11.85546875" style="265" hidden="1" customWidth="1"/>
    <col min="13" max="13" width="12.42578125" style="265" hidden="1" customWidth="1"/>
    <col min="14" max="26" width="9.140625" style="265" hidden="1" customWidth="1"/>
    <col min="27" max="28" width="86.85546875" style="265" hidden="1" customWidth="1"/>
    <col min="29" max="29" width="84.42578125" style="265" hidden="1" customWidth="1"/>
    <col min="30" max="36" width="9.140625" style="265" hidden="1" customWidth="1"/>
  </cols>
  <sheetData>
    <row r="1" spans="1:29" ht="43.5" customHeight="1" x14ac:dyDescent="0.2">
      <c r="Z1" s="265" t="str">
        <f>'Output (1)'!H11</f>
        <v>Português</v>
      </c>
      <c r="AA1" s="661" t="str">
        <f>'Output (1)'!AA1</f>
        <v>Português</v>
      </c>
      <c r="AB1" s="661" t="str">
        <f>'Output (1)'!AB1</f>
        <v>English</v>
      </c>
      <c r="AC1" s="661" t="str">
        <f>'Output (1)'!AC1</f>
        <v>Español</v>
      </c>
    </row>
    <row r="2" spans="1:29" ht="16.5" thickBot="1" x14ac:dyDescent="0.3">
      <c r="A2" s="7" t="str">
        <f>HLOOKUP('Output (1)'!$H$11,Traduções_2,ROW(),FALSE)</f>
        <v>Água entrada no sistema</v>
      </c>
      <c r="H2" s="351" t="s">
        <v>456</v>
      </c>
      <c r="AA2" s="351" t="s">
        <v>493</v>
      </c>
      <c r="AB2" s="351" t="s">
        <v>148</v>
      </c>
      <c r="AC2" s="351" t="s">
        <v>800</v>
      </c>
    </row>
    <row r="3" spans="1:29" ht="27" thickBot="1" x14ac:dyDescent="0.3">
      <c r="A3" s="7"/>
      <c r="C3" s="535" t="str">
        <f>HLOOKUP('Output (1)'!$H$11,Traduções_2,15,FALSE)</f>
        <v>Escolha unidades</v>
      </c>
      <c r="D3" s="346" t="str">
        <f>HLOOKUP('Output (1)'!$H$11,Traduções_2,16,FALSE)</f>
        <v>Valor</v>
      </c>
      <c r="E3" s="598" t="str">
        <f>HLOOKUP('Output (1)'!$H$11,Traduções_2,17,FALSE)</f>
        <v>Fiabilidade</v>
      </c>
      <c r="F3" s="599" t="str">
        <f>HLOOKUP('Output (1)'!$H$11,Traduções_2,18,FALSE)</f>
        <v>Exactidão</v>
      </c>
      <c r="G3" s="224" t="str">
        <f>HLOOKUP('Output (1)'!$H$11,Traduções_2,19,FALSE)</f>
        <v>Observações</v>
      </c>
    </row>
    <row r="4" spans="1:29" ht="25.5" customHeight="1" thickBot="1" x14ac:dyDescent="0.25">
      <c r="A4" s="2"/>
      <c r="B4" s="3" t="str">
        <f>D3</f>
        <v>Valor</v>
      </c>
      <c r="C4" s="3"/>
      <c r="D4" s="457" t="str">
        <f>HLOOKUP('Output (1)'!$H$11,Traduções_2,20,FALSE)</f>
        <v>m3/ano</v>
      </c>
      <c r="E4" s="516"/>
      <c r="F4" s="517"/>
      <c r="G4" s="784"/>
      <c r="H4" s="352" t="s">
        <v>560</v>
      </c>
      <c r="I4" s="267" t="s">
        <v>560</v>
      </c>
      <c r="J4" s="268" t="s">
        <v>556</v>
      </c>
      <c r="K4" s="269" t="s">
        <v>555</v>
      </c>
      <c r="L4" s="270" t="s">
        <v>557</v>
      </c>
      <c r="M4" s="271" t="s">
        <v>558</v>
      </c>
    </row>
    <row r="5" spans="1:29" ht="15.75" customHeight="1" thickBot="1" x14ac:dyDescent="0.25">
      <c r="A5" s="4" t="str">
        <f>HLOOKUP('Output (1)'!$H$11,Traduções_2,ROW(),FALSE)</f>
        <v xml:space="preserve">Água captada </v>
      </c>
      <c r="B5" s="417"/>
      <c r="C5" s="540" t="s">
        <v>67</v>
      </c>
      <c r="D5" s="539">
        <f>IF(C5=K16,'Configuration options'!$K$6,IF(C5=K17,'Configuration options'!$K$7,IF(C5=K18,'Configuration options'!$K$8,IF(C5=K19,'Configuration options'!$K$9,IF(C5=K20,'Configuration options'!$K$10,IF(C5=K21,'Configuration options'!$K$11,0))))))*B5</f>
        <v>0</v>
      </c>
      <c r="E5" s="509" t="s">
        <v>426</v>
      </c>
      <c r="F5" s="518" t="s">
        <v>58</v>
      </c>
      <c r="G5" s="785"/>
      <c r="H5" s="490">
        <f>IF(F5=$J$16,'Configuration options'!$E$6,IF(F5=$J$17,'Configuration options'!$E$7/100,IF(F5=$J$18,'Configuration options'!$E$8/100,IF(F5=$J$19,'Configuration options'!$E$9/100,IF(F5=$J$20,'Configuration options'!$E$10/100,"erro")))))</f>
        <v>0</v>
      </c>
      <c r="I5" s="491">
        <f>IF(F5=$J$16,'Configuration options'!$G$6,IF(F5=$J$17,'Configuration options'!$G$7,IF(F5=$J$18,'Configuration options'!$G$8,IF(F5=$J$19,'Configuration options'!$G$9,IF(F5=$J$20,'Configuration options'!$G$10,"erro")))))</f>
        <v>0.05</v>
      </c>
      <c r="J5" s="355">
        <f>H5*D5</f>
        <v>0</v>
      </c>
      <c r="K5" s="356">
        <f>I5*D5</f>
        <v>0</v>
      </c>
      <c r="L5" s="355">
        <f>H5*D5</f>
        <v>0</v>
      </c>
      <c r="M5" s="356">
        <f>I5*D5</f>
        <v>0</v>
      </c>
      <c r="AA5" s="265" t="s">
        <v>52</v>
      </c>
      <c r="AB5" s="696" t="s">
        <v>1021</v>
      </c>
      <c r="AC5" s="265" t="s">
        <v>277</v>
      </c>
    </row>
    <row r="6" spans="1:29" ht="15.75" customHeight="1" thickBot="1" x14ac:dyDescent="0.25">
      <c r="A6" s="4" t="str">
        <f>HLOOKUP('Output (1)'!$H$11,Traduções_2,ROW(),FALSE)</f>
        <v>Água importada (tratada ou não tratada) facturada por terceiros                  (contab. em termos operac.)</v>
      </c>
      <c r="B6" s="792"/>
      <c r="C6" s="540" t="s">
        <v>67</v>
      </c>
      <c r="D6" s="539">
        <f>IF(C6=K16,'Configuration options'!$K$6,IF(C6=K17,'Configuration options'!$K$7,IF(C6=K18,'Configuration options'!$K$8,IF(C6=K19,'Configuration options'!$K$9,IF(C6=K20,'Configuration options'!$K$10,IF(C6=K21,'Configuration options'!$K$11,0))))))*B6</f>
        <v>0</v>
      </c>
      <c r="E6" s="509" t="s">
        <v>426</v>
      </c>
      <c r="F6" s="518" t="s">
        <v>58</v>
      </c>
      <c r="G6" s="785"/>
      <c r="H6" s="390">
        <f>IF(F6=$J$16,'Configuration options'!$E$6,IF(F6=$J$17,'Configuration options'!$E$7/100,IF(F6=$J$18,'Configuration options'!$E$8/100,IF(F6=$J$19,'Configuration options'!$E$9/100,IF(F6=$J$20,'Configuration options'!$E$10/100,"erro")))))</f>
        <v>0</v>
      </c>
      <c r="I6" s="358">
        <f>IF(F6=$J$16,'Configuration options'!$G$6,IF(F6=$J$17,'Configuration options'!$G$7,IF(F6=$J$18,'Configuration options'!$G$8,IF(F6=$J$19,'Configuration options'!$G$9,IF(F6=$J$20,'Configuration options'!$G$10,"erro")))))</f>
        <v>0.05</v>
      </c>
      <c r="J6" s="327">
        <f>H6*D6</f>
        <v>0</v>
      </c>
      <c r="K6" s="328">
        <f>I6*D6</f>
        <v>0</v>
      </c>
      <c r="L6" s="327">
        <f>H6*D6</f>
        <v>0</v>
      </c>
      <c r="M6" s="328">
        <f>I6*D6</f>
        <v>0</v>
      </c>
      <c r="AA6" s="265" t="s">
        <v>149</v>
      </c>
      <c r="AB6" s="265" t="s">
        <v>389</v>
      </c>
      <c r="AC6" s="265" t="s">
        <v>278</v>
      </c>
    </row>
    <row r="7" spans="1:29" ht="13.5" hidden="1" customHeight="1" thickBot="1" x14ac:dyDescent="0.25">
      <c r="A7" s="460" t="str">
        <f>HLOOKUP('Output (1)'!$H$11,Traduções_2,ROW(),FALSE)</f>
        <v xml:space="preserve">(contabilização em termos económico-financeiros) </v>
      </c>
      <c r="B7" s="793"/>
      <c r="C7" s="485"/>
      <c r="D7" s="296"/>
      <c r="E7" s="193"/>
      <c r="F7" s="459" t="s">
        <v>58</v>
      </c>
      <c r="G7" s="786"/>
      <c r="H7" s="390">
        <f>IF(F7=$J$16,'Configuration options'!$E$6,IF(F7=$J$17,'Configuration options'!$E$7/100,IF(F7=$J$18,'Configuration options'!$E$8/100,IF(F7=$J$19,'Configuration options'!$E$9/100,IF(F7=$J$20,'Configuration options'!$E$10/100,"erro")))))</f>
        <v>0</v>
      </c>
      <c r="I7" s="358">
        <f>IF(F7=$J$16,'Configuration options'!$G$6,IF(F7=$J$17,'Configuration options'!$G$7,IF(F7=$J$18,'Configuration options'!$G$8,IF(F7=$J$19,'Configuration options'!$G$9,IF(F7=$J$20,'Configuration options'!$G$10,"erro")))))</f>
        <v>0.05</v>
      </c>
      <c r="J7" s="327"/>
      <c r="K7" s="328"/>
      <c r="L7" s="327"/>
      <c r="M7" s="328"/>
      <c r="AA7" s="265" t="s">
        <v>61</v>
      </c>
      <c r="AB7" s="265" t="s">
        <v>390</v>
      </c>
      <c r="AC7" s="265" t="s">
        <v>279</v>
      </c>
    </row>
    <row r="8" spans="1:29" ht="15.75" hidden="1" customHeight="1" x14ac:dyDescent="0.2">
      <c r="A8">
        <f>HLOOKUP('Output (1)'!$H$11,Traduções_2,ROW(),FALSE)</f>
        <v>0</v>
      </c>
      <c r="B8" s="418"/>
      <c r="C8" s="485">
        <v>6</v>
      </c>
      <c r="D8" s="296">
        <f>D6</f>
        <v>0</v>
      </c>
      <c r="E8" s="193"/>
      <c r="F8" s="458">
        <v>1</v>
      </c>
      <c r="G8" s="786"/>
      <c r="H8" s="390">
        <f>IF(F8=1,'Configuration options'!$E$6,IF(F8=2,'Configuration options'!$E$7/100,IF(F8=3,'Configuration options'!$E$8/100,IF(F8=4,'Configuration options'!$E$9/100,IF(F8=5,'Configuration options'!$E$10/100,"erro")))))</f>
        <v>0</v>
      </c>
      <c r="I8" s="358">
        <f>IF(F8=1,'Configuration options'!$G$6,IF(F8=2,'Configuration options'!$G$7,IF(F8=3,'Configuration options'!$G$8,IF(F8=4,'Configuration options'!$G$9,IF(F8=5,'Configuration options'!$G$10,"erro")))))</f>
        <v>0.05</v>
      </c>
      <c r="J8" s="327">
        <f>H8*D8</f>
        <v>0</v>
      </c>
      <c r="K8" s="328">
        <f>I8*D8</f>
        <v>0</v>
      </c>
      <c r="L8" s="327">
        <f>H8*D8</f>
        <v>0</v>
      </c>
      <c r="M8" s="328">
        <f>I8*D8</f>
        <v>0</v>
      </c>
    </row>
    <row r="9" spans="1:29" ht="15.75" customHeight="1" thickBot="1" x14ac:dyDescent="0.25">
      <c r="A9" s="4" t="str">
        <f>HLOOKUP('Output (1)'!$H$11,Traduções_2,ROW(),FALSE)</f>
        <v>Água importada (tratada ou não tratada) não facturada por terceiros</v>
      </c>
      <c r="B9" s="733"/>
      <c r="C9" s="540" t="s">
        <v>67</v>
      </c>
      <c r="D9" s="539">
        <f>IF(C9=K16,'Configuration options'!$K$6,IF(C9=K17,'Configuration options'!$K$7,IF(C9=K18,'Configuration options'!$K$8,IF(C9=K19,'Configuration options'!$K$9,IF(C9=K20,'Configuration options'!$K$10,IF(C9=K21,'Configuration options'!$K$11,0))))))*B9</f>
        <v>0</v>
      </c>
      <c r="E9" s="509" t="s">
        <v>426</v>
      </c>
      <c r="F9" s="518" t="s">
        <v>58</v>
      </c>
      <c r="G9" s="785"/>
      <c r="H9" s="397">
        <f>IF(F9=$J$16,'Configuration options'!$E$6,IF(F9=$J$17,'Configuration options'!$E$7/100,IF(F9=$J$18,'Configuration options'!$E$8/100,IF(F9=$J$19,'Configuration options'!$E$9/100,IF(F9=$J$20,'Configuration options'!$E$10/100,"erro")))))</f>
        <v>0</v>
      </c>
      <c r="I9" s="359">
        <f>IF(F9=$J$16,'Configuration options'!$G$6,IF(F9=$J$17,'Configuration options'!$G$7,IF(F9=$J$18,'Configuration options'!$G$8,IF(F9=$J$19,'Configuration options'!$G$9,IF(F9=$J$20,'Configuration options'!$G$10,"erro")))))</f>
        <v>0.05</v>
      </c>
      <c r="J9" s="329">
        <f>H9*D9</f>
        <v>0</v>
      </c>
      <c r="K9" s="330">
        <f>I9*D9</f>
        <v>0</v>
      </c>
      <c r="L9" s="329">
        <f>H9*D9</f>
        <v>0</v>
      </c>
      <c r="M9" s="330">
        <f>I9*D9</f>
        <v>0</v>
      </c>
      <c r="AA9" s="265" t="s">
        <v>53</v>
      </c>
      <c r="AB9" s="265" t="s">
        <v>391</v>
      </c>
      <c r="AC9" s="265" t="s">
        <v>280</v>
      </c>
    </row>
    <row r="10" spans="1:29" ht="13.5" thickBot="1" x14ac:dyDescent="0.25">
      <c r="B10" s="419"/>
      <c r="G10" s="786"/>
      <c r="H10" s="278"/>
      <c r="I10" s="278"/>
      <c r="J10" s="278"/>
      <c r="K10" s="278"/>
      <c r="L10" s="278"/>
      <c r="M10" s="278"/>
    </row>
    <row r="11" spans="1:29" ht="13.5" thickBot="1" x14ac:dyDescent="0.25">
      <c r="A11" s="537" t="str">
        <f>HLOOKUP('Output (1)'!$H$11,Traduções_2,ROW(),FALSE)</f>
        <v>Água entrada no sistema                                            (contabilização em termos operacionais)</v>
      </c>
      <c r="B11" s="788">
        <f>D5+D6+D9</f>
        <v>0</v>
      </c>
      <c r="C11" s="790" t="str">
        <f>D4</f>
        <v>m3/ano</v>
      </c>
      <c r="D11" s="350"/>
      <c r="E11" s="122"/>
      <c r="F11" s="264" t="str">
        <f>IF(B11&gt;0,CONCATENATE(H11*100,"-",I11*100," %")," ")</f>
        <v xml:space="preserve"> </v>
      </c>
      <c r="G11" s="787"/>
      <c r="H11" s="312">
        <f>IF(B11&gt;0,IF('Configuration options'!$A$16=1,INT(J11/$B11*100)/100,IF('Configuration options'!$A$16=2,INT(L11/$B11*100)/100,"Erro")),0)</f>
        <v>0</v>
      </c>
      <c r="I11" s="289">
        <f>IF(B11&gt;0,IF('Configuration options'!$A$16=1,INT(K11/$B11*100)/100,IF('Configuration options'!$A$16=2,INT(M11/$B11*100)/100,"Erro")),0)</f>
        <v>0</v>
      </c>
      <c r="J11" s="312">
        <f>SUM(J5:J9)-J8</f>
        <v>0</v>
      </c>
      <c r="K11" s="312">
        <f>SUM(K5:K9)-K8</f>
        <v>0</v>
      </c>
      <c r="L11" s="312">
        <f>SQRT(L5^2+L6^2+L9^2)</f>
        <v>0</v>
      </c>
      <c r="M11" s="360">
        <f>SQRT(M5^2+M6^2+M9^2)</f>
        <v>0</v>
      </c>
      <c r="AA11" s="265" t="s">
        <v>112</v>
      </c>
      <c r="AB11" s="265" t="s">
        <v>392</v>
      </c>
      <c r="AC11" s="265" t="s">
        <v>281</v>
      </c>
    </row>
    <row r="12" spans="1:29" ht="13.5" thickBot="1" x14ac:dyDescent="0.25">
      <c r="A12" s="537" t="str">
        <f>HLOOKUP('Output (1)'!$H$11,Traduções_2,ROW(),FALSE)</f>
        <v xml:space="preserve">                                                                      (contabilização em termos económico-financeiros)</v>
      </c>
      <c r="B12" s="789"/>
      <c r="C12" s="791"/>
      <c r="D12" s="350"/>
      <c r="E12" s="122"/>
      <c r="F12" s="263" t="str">
        <f>IF(B11&gt;0,CONCATENATE(H12*100,"-",I12*100," %")," ")</f>
        <v xml:space="preserve"> </v>
      </c>
      <c r="G12" s="240"/>
      <c r="H12" s="361">
        <f>IF(B12&gt;0,IF('Configuration options'!$A$16=1,INT(J12/$B12*100)/100,IF('Configuration options'!$A$16=2,INT(L12/$B11*100)/100,"Erro")),0)</f>
        <v>0</v>
      </c>
      <c r="I12" s="362">
        <f>IF(B11&gt;0,IF('Configuration options'!$A$16=1,INT(K12/$B11*100)/100,IF('Configuration options'!$A$16=2,INT(M12/$B11*100)/100,"Erro")),0)</f>
        <v>0</v>
      </c>
      <c r="J12" s="361">
        <f>SUM(J5:J9)-J6</f>
        <v>0</v>
      </c>
      <c r="K12" s="361">
        <f>SUM(K5:K9)-K6</f>
        <v>0</v>
      </c>
      <c r="L12" s="361">
        <f>SQRT(L5^2+L8^2+L9^2)</f>
        <v>0</v>
      </c>
      <c r="M12" s="363">
        <f>SQRT(M5^2+M8^2+M9^2)</f>
        <v>0</v>
      </c>
      <c r="AA12" s="265" t="s">
        <v>113</v>
      </c>
      <c r="AB12" s="265" t="s">
        <v>393</v>
      </c>
      <c r="AC12" s="265" t="s">
        <v>279</v>
      </c>
    </row>
    <row r="14" spans="1:29" x14ac:dyDescent="0.2">
      <c r="D14" s="536"/>
      <c r="H14" s="298"/>
      <c r="I14" s="298"/>
      <c r="J14" s="298"/>
      <c r="K14" s="298"/>
      <c r="L14" s="298"/>
      <c r="M14" s="298"/>
      <c r="N14" s="298"/>
    </row>
    <row r="15" spans="1:29" x14ac:dyDescent="0.2">
      <c r="AA15" s="265" t="s">
        <v>87</v>
      </c>
      <c r="AB15" s="265" t="s">
        <v>388</v>
      </c>
      <c r="AC15" s="265" t="s">
        <v>282</v>
      </c>
    </row>
    <row r="16" spans="1:29" ht="15" customHeight="1" x14ac:dyDescent="0.2">
      <c r="F16"/>
      <c r="G16"/>
      <c r="I16" s="498" t="str">
        <f>'Configuration options'!A6</f>
        <v>***</v>
      </c>
      <c r="J16" s="498" t="str">
        <f>'Configuration options'!D6</f>
        <v>0-5%</v>
      </c>
      <c r="K16" s="498" t="str">
        <f>'Configuration options'!J6</f>
        <v>l/s</v>
      </c>
      <c r="AA16" s="265" t="s">
        <v>8</v>
      </c>
      <c r="AB16" s="265" t="s">
        <v>88</v>
      </c>
      <c r="AC16" s="265" t="s">
        <v>8</v>
      </c>
    </row>
    <row r="17" spans="4:36" ht="15" customHeight="1" x14ac:dyDescent="0.2">
      <c r="F17"/>
      <c r="G17"/>
      <c r="I17" s="498" t="str">
        <f>'Configuration options'!A7</f>
        <v>**</v>
      </c>
      <c r="J17" s="498" t="str">
        <f>'Configuration options'!D7</f>
        <v>6-20%</v>
      </c>
      <c r="K17" s="498" t="str">
        <f>'Configuration options'!J7</f>
        <v>m3/h</v>
      </c>
      <c r="AA17" s="265" t="s">
        <v>422</v>
      </c>
      <c r="AB17" s="265" t="s">
        <v>893</v>
      </c>
      <c r="AC17" s="265" t="s">
        <v>776</v>
      </c>
    </row>
    <row r="18" spans="4:36" ht="15" customHeight="1" x14ac:dyDescent="0.2">
      <c r="F18"/>
      <c r="G18"/>
      <c r="I18" s="498" t="str">
        <f>'Configuration options'!A8</f>
        <v>*</v>
      </c>
      <c r="J18" s="498" t="str">
        <f>'Configuration options'!D8</f>
        <v>21-50%</v>
      </c>
      <c r="K18" s="498" t="str">
        <f>'Configuration options'!J8</f>
        <v>l/dia</v>
      </c>
      <c r="AA18" s="265" t="s">
        <v>423</v>
      </c>
      <c r="AB18" s="265" t="s">
        <v>894</v>
      </c>
      <c r="AC18" s="265" t="s">
        <v>729</v>
      </c>
    </row>
    <row r="19" spans="4:36" ht="15" customHeight="1" x14ac:dyDescent="0.2">
      <c r="F19"/>
      <c r="G19"/>
      <c r="I19" s="498"/>
      <c r="J19" s="498" t="str">
        <f>'Configuration options'!D9</f>
        <v>51-100%</v>
      </c>
      <c r="K19" s="498" t="str">
        <f>'Configuration options'!J9</f>
        <v>m3/dia</v>
      </c>
      <c r="AA19" s="265" t="s">
        <v>35</v>
      </c>
      <c r="AB19" s="265" t="s">
        <v>394</v>
      </c>
      <c r="AC19" s="265" t="s">
        <v>789</v>
      </c>
    </row>
    <row r="20" spans="4:36" ht="15" customHeight="1" x14ac:dyDescent="0.2">
      <c r="F20"/>
      <c r="G20"/>
      <c r="I20" s="498"/>
      <c r="J20" s="498" t="str">
        <f>'Configuration options'!D10</f>
        <v>101-300%</v>
      </c>
      <c r="K20" s="498" t="str">
        <f>'Configuration options'!J10</f>
        <v>m3/mês</v>
      </c>
      <c r="AA20" s="265" t="s">
        <v>67</v>
      </c>
      <c r="AB20" s="265" t="s">
        <v>405</v>
      </c>
      <c r="AC20" s="265" t="s">
        <v>790</v>
      </c>
    </row>
    <row r="21" spans="4:36" ht="15" customHeight="1" x14ac:dyDescent="0.2">
      <c r="F21"/>
      <c r="G21"/>
      <c r="I21" s="498"/>
      <c r="J21" s="498"/>
      <c r="K21" s="498" t="str">
        <f>'Configuration options'!J11</f>
        <v>m3/ano</v>
      </c>
    </row>
    <row r="22" spans="4:36" ht="15" customHeight="1" x14ac:dyDescent="0.2">
      <c r="F22"/>
      <c r="G22"/>
      <c r="H22" s="296"/>
      <c r="I22" s="296"/>
      <c r="J22" s="296"/>
      <c r="K22" s="296"/>
      <c r="L22" s="296"/>
      <c r="M22" s="296"/>
      <c r="N22" s="296"/>
    </row>
    <row r="23" spans="4:36" ht="15" customHeight="1" x14ac:dyDescent="0.25">
      <c r="F23"/>
      <c r="G23"/>
      <c r="H23" s="576"/>
      <c r="I23" s="296"/>
      <c r="J23" s="600"/>
      <c r="K23" s="296"/>
      <c r="L23" s="296"/>
      <c r="M23" s="296"/>
      <c r="N23" s="296"/>
    </row>
    <row r="24" spans="4:36" ht="15" customHeight="1" x14ac:dyDescent="0.25">
      <c r="D24" s="296"/>
      <c r="F24"/>
      <c r="G24"/>
      <c r="H24" s="576"/>
      <c r="I24" s="296">
        <f>'Configuration options'!$A$16</f>
        <v>2</v>
      </c>
      <c r="J24" s="600"/>
      <c r="K24" s="296"/>
      <c r="L24" s="296"/>
      <c r="M24" s="296"/>
      <c r="N24" s="296"/>
    </row>
    <row r="25" spans="4:36" ht="15" customHeight="1" x14ac:dyDescent="0.2">
      <c r="F25"/>
      <c r="G25"/>
      <c r="H25" s="577"/>
      <c r="I25" s="296"/>
      <c r="J25" s="296"/>
      <c r="K25" s="296"/>
      <c r="L25" s="296"/>
      <c r="M25" s="296"/>
      <c r="N25" s="296"/>
    </row>
    <row r="26" spans="4:36" ht="15" customHeight="1" x14ac:dyDescent="0.2">
      <c r="F26"/>
      <c r="G26"/>
      <c r="H26" s="296"/>
      <c r="I26" s="296"/>
      <c r="J26" s="296"/>
      <c r="K26" s="296"/>
      <c r="L26" s="296"/>
      <c r="M26" s="296"/>
      <c r="N26" s="296"/>
    </row>
    <row r="27" spans="4:36" ht="15" customHeight="1" x14ac:dyDescent="0.2">
      <c r="F27"/>
      <c r="G27"/>
      <c r="L27" s="296"/>
      <c r="M27" s="296"/>
      <c r="N27" s="296"/>
      <c r="Z27" s="632" t="s">
        <v>901</v>
      </c>
      <c r="AA27" s="576" t="s">
        <v>912</v>
      </c>
      <c r="AB27" s="576" t="s">
        <v>913</v>
      </c>
      <c r="AC27" s="631" t="s">
        <v>251</v>
      </c>
    </row>
    <row r="28" spans="4:36" s="639" customFormat="1" ht="22.5" customHeight="1" x14ac:dyDescent="0.2">
      <c r="D28" s="640"/>
      <c r="H28" s="640"/>
      <c r="I28" s="640"/>
      <c r="J28" s="640"/>
      <c r="K28" s="640"/>
      <c r="L28" s="635"/>
      <c r="M28" s="635"/>
      <c r="N28" s="635"/>
      <c r="O28" s="640"/>
      <c r="P28" s="640"/>
      <c r="Q28" s="640"/>
      <c r="R28" s="640"/>
      <c r="S28" s="640"/>
      <c r="T28" s="640"/>
      <c r="U28" s="640"/>
      <c r="V28" s="640"/>
      <c r="W28" s="640"/>
      <c r="X28" s="640"/>
      <c r="Y28" s="640"/>
      <c r="Z28" s="641" t="s">
        <v>677</v>
      </c>
      <c r="AA28" s="652" t="s">
        <v>895</v>
      </c>
      <c r="AB28" s="652" t="s">
        <v>914</v>
      </c>
      <c r="AC28" s="652" t="s">
        <v>283</v>
      </c>
      <c r="AD28" s="640"/>
      <c r="AE28" s="640"/>
      <c r="AF28" s="640"/>
      <c r="AG28" s="640"/>
      <c r="AH28" s="640"/>
      <c r="AI28" s="640"/>
      <c r="AJ28" s="640"/>
    </row>
    <row r="29" spans="4:36" s="639" customFormat="1" ht="44.25" customHeight="1" x14ac:dyDescent="0.2">
      <c r="D29" s="640"/>
      <c r="H29" s="640"/>
      <c r="I29" s="640"/>
      <c r="J29" s="640"/>
      <c r="K29" s="640"/>
      <c r="L29" s="635"/>
      <c r="M29" s="635"/>
      <c r="N29" s="635"/>
      <c r="O29" s="640"/>
      <c r="P29" s="640"/>
      <c r="Q29" s="640"/>
      <c r="R29" s="640"/>
      <c r="S29" s="640"/>
      <c r="T29" s="640"/>
      <c r="U29" s="640"/>
      <c r="V29" s="640"/>
      <c r="W29" s="640"/>
      <c r="X29" s="640"/>
      <c r="Y29" s="640"/>
      <c r="Z29" s="641" t="s">
        <v>676</v>
      </c>
      <c r="AA29" s="652" t="s">
        <v>919</v>
      </c>
      <c r="AB29" s="652" t="s">
        <v>261</v>
      </c>
      <c r="AC29" s="652" t="s">
        <v>284</v>
      </c>
      <c r="AD29" s="640"/>
      <c r="AE29" s="640"/>
      <c r="AF29" s="640"/>
      <c r="AG29" s="640"/>
      <c r="AH29" s="640"/>
      <c r="AI29" s="640"/>
      <c r="AJ29" s="640"/>
    </row>
    <row r="30" spans="4:36" s="639" customFormat="1" ht="34.5" customHeight="1" x14ac:dyDescent="0.2">
      <c r="D30" s="640"/>
      <c r="H30" s="640"/>
      <c r="I30" s="640"/>
      <c r="J30" s="640"/>
      <c r="K30" s="640"/>
      <c r="L30" s="635"/>
      <c r="M30" s="635"/>
      <c r="N30" s="635"/>
      <c r="O30" s="640"/>
      <c r="P30" s="640"/>
      <c r="Q30" s="640"/>
      <c r="R30" s="640"/>
      <c r="S30" s="640"/>
      <c r="T30" s="640"/>
      <c r="U30" s="640"/>
      <c r="V30" s="640"/>
      <c r="W30" s="640"/>
      <c r="X30" s="640"/>
      <c r="Y30" s="640"/>
      <c r="Z30" s="641" t="s">
        <v>920</v>
      </c>
      <c r="AA30" s="652" t="s">
        <v>921</v>
      </c>
      <c r="AB30" s="652" t="s">
        <v>262</v>
      </c>
      <c r="AC30" s="652" t="s">
        <v>285</v>
      </c>
      <c r="AD30" s="640"/>
      <c r="AE30" s="640"/>
      <c r="AF30" s="640"/>
      <c r="AG30" s="640"/>
      <c r="AH30" s="640"/>
      <c r="AI30" s="640"/>
      <c r="AJ30" s="640"/>
    </row>
    <row r="31" spans="4:36" ht="15" customHeight="1" x14ac:dyDescent="0.2">
      <c r="F31"/>
      <c r="G31"/>
      <c r="H31" s="576"/>
      <c r="I31" s="296"/>
      <c r="J31" s="296"/>
      <c r="K31" s="296"/>
      <c r="L31" s="296"/>
      <c r="M31" s="296"/>
      <c r="N31" s="296"/>
    </row>
    <row r="32" spans="4:36" x14ac:dyDescent="0.2">
      <c r="F32"/>
      <c r="G32"/>
      <c r="H32" s="601"/>
      <c r="I32" s="296"/>
      <c r="J32" s="296"/>
      <c r="K32" s="296"/>
      <c r="L32" s="296"/>
      <c r="M32" s="296"/>
      <c r="N32" s="296"/>
    </row>
    <row r="33" spans="6:14" x14ac:dyDescent="0.2">
      <c r="F33"/>
      <c r="G33"/>
      <c r="H33" s="602"/>
      <c r="I33" s="296"/>
      <c r="J33" s="296"/>
      <c r="K33" s="296"/>
      <c r="L33" s="296"/>
      <c r="M33" s="296"/>
      <c r="N33" s="296"/>
    </row>
    <row r="34" spans="6:14" x14ac:dyDescent="0.2">
      <c r="H34" s="603"/>
      <c r="I34" s="296"/>
      <c r="J34" s="296"/>
      <c r="K34" s="296"/>
      <c r="L34" s="296"/>
      <c r="M34" s="296"/>
      <c r="N34" s="296"/>
    </row>
    <row r="35" spans="6:14" x14ac:dyDescent="0.2">
      <c r="H35" s="296"/>
      <c r="I35" s="296"/>
      <c r="J35" s="296"/>
      <c r="K35" s="296"/>
      <c r="L35" s="296"/>
      <c r="M35" s="296"/>
      <c r="N35" s="296"/>
    </row>
    <row r="36" spans="6:14" x14ac:dyDescent="0.2">
      <c r="H36" s="604"/>
      <c r="I36" s="296"/>
      <c r="J36" s="296"/>
      <c r="K36" s="296"/>
      <c r="L36" s="296"/>
      <c r="M36" s="296"/>
      <c r="N36" s="296"/>
    </row>
    <row r="37" spans="6:14" x14ac:dyDescent="0.2">
      <c r="H37" s="296"/>
      <c r="I37" s="296"/>
      <c r="J37" s="296"/>
      <c r="K37" s="296"/>
      <c r="L37" s="296"/>
      <c r="M37" s="296"/>
      <c r="N37" s="296"/>
    </row>
    <row r="38" spans="6:14" x14ac:dyDescent="0.2">
      <c r="H38" s="605"/>
      <c r="I38" s="296"/>
      <c r="J38" s="296"/>
      <c r="K38" s="296"/>
      <c r="L38" s="296"/>
      <c r="M38" s="296"/>
      <c r="N38" s="296"/>
    </row>
    <row r="39" spans="6:14" x14ac:dyDescent="0.2">
      <c r="H39" s="605"/>
      <c r="I39" s="296"/>
      <c r="J39" s="296"/>
      <c r="K39" s="296"/>
      <c r="L39" s="296"/>
      <c r="M39" s="296"/>
      <c r="N39" s="296"/>
    </row>
    <row r="40" spans="6:14" x14ac:dyDescent="0.2">
      <c r="H40" s="296"/>
      <c r="I40" s="296"/>
      <c r="J40" s="296"/>
      <c r="K40" s="296"/>
      <c r="L40" s="296"/>
      <c r="M40" s="296"/>
      <c r="N40" s="296"/>
    </row>
    <row r="41" spans="6:14" x14ac:dyDescent="0.2">
      <c r="H41" s="576"/>
      <c r="I41" s="296"/>
      <c r="J41" s="296"/>
      <c r="K41" s="296"/>
      <c r="L41" s="296"/>
      <c r="M41" s="296"/>
      <c r="N41" s="296"/>
    </row>
    <row r="42" spans="6:14" x14ac:dyDescent="0.2">
      <c r="H42" s="601"/>
      <c r="I42" s="296"/>
      <c r="J42" s="296"/>
      <c r="K42" s="296"/>
      <c r="L42" s="296"/>
      <c r="M42" s="296"/>
      <c r="N42" s="296"/>
    </row>
    <row r="43" spans="6:14" x14ac:dyDescent="0.2">
      <c r="H43" s="602"/>
      <c r="I43" s="296"/>
      <c r="J43" s="296"/>
      <c r="K43" s="296"/>
      <c r="L43" s="296"/>
      <c r="M43" s="296"/>
      <c r="N43" s="296"/>
    </row>
    <row r="44" spans="6:14" x14ac:dyDescent="0.2">
      <c r="H44" s="603"/>
      <c r="I44" s="296"/>
      <c r="J44" s="296"/>
      <c r="K44" s="296"/>
      <c r="L44" s="296"/>
      <c r="M44" s="296"/>
      <c r="N44" s="296"/>
    </row>
    <row r="45" spans="6:14" x14ac:dyDescent="0.2">
      <c r="H45" s="296"/>
      <c r="I45" s="296"/>
      <c r="J45" s="296"/>
      <c r="K45" s="296"/>
      <c r="L45" s="296"/>
      <c r="M45" s="296"/>
      <c r="N45" s="296"/>
    </row>
    <row r="46" spans="6:14" x14ac:dyDescent="0.2">
      <c r="H46" s="604"/>
      <c r="I46" s="296"/>
      <c r="J46" s="296"/>
      <c r="K46" s="296"/>
      <c r="L46" s="296"/>
      <c r="M46" s="296"/>
      <c r="N46" s="296"/>
    </row>
    <row r="47" spans="6:14" x14ac:dyDescent="0.2">
      <c r="H47" s="296"/>
      <c r="I47" s="296"/>
      <c r="J47" s="296"/>
      <c r="K47" s="296"/>
      <c r="L47" s="296"/>
      <c r="M47" s="296"/>
      <c r="N47" s="296"/>
    </row>
    <row r="48" spans="6:14" x14ac:dyDescent="0.2">
      <c r="H48" s="605"/>
      <c r="I48" s="296"/>
      <c r="J48" s="296"/>
      <c r="K48" s="296"/>
      <c r="L48" s="296"/>
      <c r="M48" s="296"/>
      <c r="N48" s="296"/>
    </row>
    <row r="49" spans="1:256" x14ac:dyDescent="0.2">
      <c r="H49" s="605"/>
      <c r="I49" s="296"/>
      <c r="J49" s="296"/>
      <c r="K49" s="296"/>
      <c r="L49" s="296"/>
      <c r="M49" s="296"/>
      <c r="N49" s="296"/>
    </row>
    <row r="50" spans="1:256" ht="15.75" x14ac:dyDescent="0.25">
      <c r="A50" s="7"/>
      <c r="B50" s="7"/>
      <c r="C50" s="7"/>
      <c r="D50" s="541"/>
      <c r="E50" s="7"/>
      <c r="F50" s="7"/>
      <c r="G50" s="7"/>
      <c r="H50" s="600"/>
      <c r="I50" s="600"/>
      <c r="J50" s="600"/>
      <c r="K50" s="600"/>
      <c r="L50" s="600"/>
      <c r="M50" s="600"/>
      <c r="N50" s="600"/>
      <c r="O50" s="541"/>
      <c r="P50" s="541"/>
      <c r="Q50" s="541"/>
      <c r="R50" s="541"/>
      <c r="S50" s="541"/>
      <c r="T50" s="541"/>
      <c r="U50" s="541"/>
      <c r="V50" s="541"/>
      <c r="W50" s="541"/>
      <c r="X50" s="541"/>
      <c r="Y50" s="541"/>
      <c r="Z50" s="541"/>
      <c r="AA50" s="541"/>
      <c r="AB50" s="541"/>
      <c r="AC50" s="541"/>
      <c r="AD50" s="541"/>
      <c r="AE50" s="541"/>
      <c r="AF50" s="541"/>
      <c r="AG50" s="541"/>
      <c r="AH50" s="541"/>
      <c r="AI50" s="541"/>
      <c r="AJ50" s="541"/>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c r="IM50" s="7"/>
      <c r="IN50" s="7"/>
      <c r="IO50" s="7"/>
      <c r="IP50" s="7"/>
      <c r="IQ50" s="7"/>
      <c r="IR50" s="7"/>
      <c r="IS50" s="7"/>
      <c r="IT50" s="7"/>
      <c r="IU50" s="7"/>
      <c r="IV50" s="7"/>
    </row>
    <row r="51" spans="1:256" x14ac:dyDescent="0.2">
      <c r="H51" s="577"/>
      <c r="I51" s="296"/>
      <c r="J51" s="296"/>
      <c r="K51" s="296"/>
      <c r="L51" s="296"/>
      <c r="M51" s="296"/>
      <c r="N51" s="296"/>
    </row>
    <row r="52" spans="1:256" x14ac:dyDescent="0.2">
      <c r="H52" s="601"/>
      <c r="I52" s="296"/>
      <c r="J52" s="296"/>
      <c r="K52" s="296"/>
      <c r="L52" s="296"/>
      <c r="M52" s="296"/>
      <c r="N52" s="296"/>
    </row>
    <row r="53" spans="1:256" x14ac:dyDescent="0.2">
      <c r="H53" s="602"/>
      <c r="I53" s="296"/>
      <c r="J53" s="296"/>
      <c r="K53" s="296"/>
      <c r="L53" s="296"/>
      <c r="M53" s="296"/>
      <c r="N53" s="296"/>
    </row>
    <row r="54" spans="1:256" x14ac:dyDescent="0.2">
      <c r="H54" s="603"/>
      <c r="I54" s="296"/>
      <c r="J54" s="296"/>
      <c r="K54" s="296"/>
      <c r="L54" s="296"/>
      <c r="M54" s="296"/>
      <c r="N54" s="296"/>
    </row>
    <row r="55" spans="1:256" x14ac:dyDescent="0.2">
      <c r="H55" s="296"/>
      <c r="I55" s="296"/>
      <c r="J55" s="296"/>
      <c r="K55" s="296"/>
      <c r="L55" s="296"/>
      <c r="M55" s="296"/>
      <c r="N55" s="296"/>
    </row>
    <row r="56" spans="1:256" x14ac:dyDescent="0.2">
      <c r="H56" s="604"/>
      <c r="I56" s="296"/>
      <c r="J56" s="296"/>
      <c r="K56" s="296"/>
      <c r="L56" s="296"/>
      <c r="M56" s="296"/>
      <c r="N56" s="296"/>
    </row>
    <row r="57" spans="1:256" x14ac:dyDescent="0.2">
      <c r="H57" s="296"/>
      <c r="I57" s="296"/>
      <c r="J57" s="296"/>
      <c r="K57" s="296"/>
      <c r="L57" s="296"/>
      <c r="M57" s="296"/>
      <c r="N57" s="296"/>
    </row>
    <row r="58" spans="1:256" x14ac:dyDescent="0.2">
      <c r="H58" s="605"/>
      <c r="I58" s="296"/>
      <c r="J58" s="296"/>
      <c r="K58" s="296"/>
      <c r="L58" s="296"/>
      <c r="M58" s="296"/>
      <c r="N58" s="296"/>
    </row>
    <row r="59" spans="1:256" x14ac:dyDescent="0.2">
      <c r="H59" s="605"/>
      <c r="I59" s="296"/>
      <c r="J59" s="296"/>
      <c r="K59" s="296"/>
      <c r="L59" s="296"/>
      <c r="M59" s="296"/>
      <c r="N59" s="296"/>
    </row>
    <row r="60" spans="1:256" x14ac:dyDescent="0.2">
      <c r="H60" s="296"/>
      <c r="I60" s="296"/>
      <c r="J60" s="296"/>
      <c r="K60" s="296"/>
      <c r="L60" s="296"/>
      <c r="M60" s="296"/>
      <c r="N60" s="296"/>
    </row>
    <row r="61" spans="1:256" x14ac:dyDescent="0.2">
      <c r="H61" s="296"/>
      <c r="I61" s="296"/>
      <c r="J61" s="296"/>
      <c r="K61" s="296"/>
      <c r="L61" s="296"/>
      <c r="M61" s="296"/>
      <c r="N61" s="296"/>
    </row>
    <row r="62" spans="1:256" x14ac:dyDescent="0.2">
      <c r="H62" s="296"/>
      <c r="I62" s="296"/>
      <c r="J62" s="296"/>
      <c r="K62" s="296"/>
      <c r="L62" s="296"/>
      <c r="M62" s="296"/>
      <c r="N62" s="296"/>
    </row>
    <row r="63" spans="1:256" x14ac:dyDescent="0.2">
      <c r="H63" s="296"/>
      <c r="I63" s="296"/>
      <c r="J63" s="296"/>
      <c r="K63" s="296"/>
      <c r="L63" s="296"/>
      <c r="M63" s="296"/>
      <c r="N63" s="296"/>
    </row>
    <row r="64" spans="1:256" x14ac:dyDescent="0.2">
      <c r="H64" s="296"/>
      <c r="I64" s="296"/>
      <c r="J64" s="296"/>
      <c r="K64" s="296"/>
      <c r="L64" s="296"/>
      <c r="M64" s="296"/>
      <c r="N64" s="296"/>
    </row>
    <row r="65" spans="8:14" x14ac:dyDescent="0.2">
      <c r="H65" s="296"/>
      <c r="I65" s="296"/>
      <c r="J65" s="296"/>
      <c r="K65" s="296"/>
      <c r="L65" s="296"/>
      <c r="M65" s="296"/>
      <c r="N65" s="296"/>
    </row>
    <row r="66" spans="8:14" x14ac:dyDescent="0.2">
      <c r="H66" s="296"/>
      <c r="I66" s="296"/>
      <c r="J66" s="296"/>
      <c r="K66" s="296"/>
      <c r="L66" s="296"/>
      <c r="M66" s="296"/>
      <c r="N66" s="296"/>
    </row>
  </sheetData>
  <sheetProtection sheet="1" objects="1" scenarios="1"/>
  <mergeCells count="4">
    <mergeCell ref="G4:G11"/>
    <mergeCell ref="B11:B12"/>
    <mergeCell ref="C11:C12"/>
    <mergeCell ref="B6:B7"/>
  </mergeCells>
  <phoneticPr fontId="8" type="noConversion"/>
  <dataValidations count="3">
    <dataValidation type="list" allowBlank="1" showInputMessage="1" showErrorMessage="1" sqref="E5:E6 E9" xr:uid="{00000000-0002-0000-0600-000000000000}">
      <formula1>$I$16:$I$18</formula1>
    </dataValidation>
    <dataValidation type="list" allowBlank="1" showInputMessage="1" showErrorMessage="1" sqref="F5:F6 F9" xr:uid="{00000000-0002-0000-0600-000001000000}">
      <formula1>$J$16:$J$20</formula1>
    </dataValidation>
    <dataValidation type="list" allowBlank="1" showInputMessage="1" showErrorMessage="1" sqref="C5:C6 C9" xr:uid="{00000000-0002-0000-0600-000002000000}">
      <formula1>$K$15:$K$21</formula1>
    </dataValidation>
  </dataValidations>
  <pageMargins left="0.75" right="0.75" top="1" bottom="1" header="0.5" footer="0.5"/>
  <pageSetup paperSize="9" orientation="portrait"/>
  <headerFooter alignWithMargins="0"/>
  <drawing r:id="rId1"/>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44"/>
  </sheetPr>
  <dimension ref="A1:AJ54"/>
  <sheetViews>
    <sheetView topLeftCell="A10" zoomScale="125" zoomScaleNormal="125" zoomScalePageLayoutView="125" workbookViewId="0">
      <selection activeCell="B22" sqref="B22"/>
    </sheetView>
  </sheetViews>
  <sheetFormatPr defaultColWidth="8.85546875" defaultRowHeight="12.75" x14ac:dyDescent="0.2"/>
  <cols>
    <col min="1" max="1" width="78.85546875" customWidth="1"/>
    <col min="2" max="2" width="11.42578125" customWidth="1"/>
    <col min="3" max="3" width="11.140625" customWidth="1"/>
    <col min="4" max="4" width="9.42578125" style="265" hidden="1" customWidth="1"/>
    <col min="5" max="5" width="11.28515625" customWidth="1"/>
    <col min="6" max="6" width="12.42578125" customWidth="1"/>
    <col min="7" max="7" width="31.28515625" customWidth="1"/>
    <col min="8" max="8" width="9.140625" style="265" hidden="1" customWidth="1"/>
    <col min="9" max="9" width="22" style="265" hidden="1" customWidth="1"/>
    <col min="10" max="10" width="21.7109375" style="265" hidden="1" customWidth="1"/>
    <col min="11" max="11" width="17.7109375" style="265" hidden="1" customWidth="1"/>
    <col min="12" max="12" width="15.85546875" style="265" hidden="1" customWidth="1"/>
    <col min="13" max="13" width="12.140625" style="265" hidden="1" customWidth="1"/>
    <col min="14" max="26" width="9.140625" style="265" hidden="1" customWidth="1"/>
    <col min="27" max="27" width="60.7109375" style="265" hidden="1" customWidth="1"/>
    <col min="28" max="28" width="60.42578125" style="265" hidden="1" customWidth="1"/>
    <col min="29" max="29" width="59.7109375" style="265" hidden="1" customWidth="1"/>
    <col min="30" max="36" width="9.140625" style="265" hidden="1" customWidth="1"/>
  </cols>
  <sheetData>
    <row r="1" spans="1:36" ht="48.75" customHeight="1" x14ac:dyDescent="0.2">
      <c r="Z1" s="265" t="str">
        <f>'Output (1)'!H11</f>
        <v>Português</v>
      </c>
      <c r="AA1" s="661" t="str">
        <f>'Output (1)'!AA1</f>
        <v>Português</v>
      </c>
      <c r="AB1" s="661" t="str">
        <f>'Output (1)'!AB1</f>
        <v>English</v>
      </c>
      <c r="AC1" s="661" t="str">
        <f>'Output (1)'!AC1</f>
        <v>Español</v>
      </c>
    </row>
    <row r="2" spans="1:36" ht="15.75" x14ac:dyDescent="0.25">
      <c r="A2" s="7" t="str">
        <f>HLOOKUP('Output (1)'!$H$11,Traduções_3,ROW(),FALSE)</f>
        <v>Consumo facturado</v>
      </c>
      <c r="H2" s="351" t="s">
        <v>456</v>
      </c>
      <c r="AA2" s="351" t="s">
        <v>154</v>
      </c>
      <c r="AB2" s="351" t="s">
        <v>155</v>
      </c>
      <c r="AC2" s="351" t="s">
        <v>154</v>
      </c>
    </row>
    <row r="3" spans="1:36" s="606" customFormat="1" ht="57" thickBot="1" x14ac:dyDescent="0.25">
      <c r="A3" s="607" t="str">
        <f>HLOOKUP('Output (1)'!$H$11,Traduções_3,ROW(),FALSE)</f>
        <v xml:space="preserve">Nota:  Na coluna "Exactidão" devem ser incluídos os erros não sistemáticos relativos ao processo de medição (ou estimação), de comunicação/leitura, de registo e de consulta. Os erros sistemáticos decorrentes de submedições ou subestimativas sistemáticas devem, nesta aplicação, ser especificados separadamente, na folha (5) - Perdas aparentes. </v>
      </c>
      <c r="D3" s="608"/>
      <c r="H3" s="609"/>
      <c r="I3" s="608"/>
      <c r="J3" s="608"/>
      <c r="K3" s="608"/>
      <c r="L3" s="608"/>
      <c r="M3" s="608"/>
      <c r="N3" s="608"/>
      <c r="O3" s="608"/>
      <c r="P3" s="608"/>
      <c r="Q3" s="608"/>
      <c r="R3" s="608"/>
      <c r="S3" s="608"/>
      <c r="T3" s="608"/>
      <c r="U3" s="608"/>
      <c r="V3" s="608"/>
      <c r="W3" s="608"/>
      <c r="X3" s="608"/>
      <c r="Y3" s="608"/>
      <c r="Z3" s="608"/>
      <c r="AA3" s="675" t="s">
        <v>646</v>
      </c>
      <c r="AB3" s="675" t="s">
        <v>263</v>
      </c>
      <c r="AC3" s="675" t="s">
        <v>286</v>
      </c>
      <c r="AD3" s="608"/>
      <c r="AE3" s="608"/>
      <c r="AF3" s="608"/>
      <c r="AG3" s="608"/>
      <c r="AH3" s="608"/>
      <c r="AI3" s="608"/>
      <c r="AJ3" s="608"/>
    </row>
    <row r="4" spans="1:36" ht="26.25" thickBot="1" x14ac:dyDescent="0.25">
      <c r="A4" s="1" t="str">
        <f>HLOOKUP('Output (1)'!$H$11,Traduções_3,ROW(),FALSE)</f>
        <v>CÁLCULO DO CONSUMO FACTURADO MEDIDO</v>
      </c>
      <c r="C4" s="535" t="str">
        <f>HLOOKUP('Output (1)'!$H$11,Traduções_3,35,FALSE)</f>
        <v>Escolha unidades</v>
      </c>
      <c r="D4" s="346" t="str">
        <f>HLOOKUP('Output (1)'!$H$11,Traduções_3,37,FALSE)</f>
        <v>Valor</v>
      </c>
      <c r="E4" s="105" t="str">
        <f>HLOOKUP('Output (1)'!$H$11,Traduções_3,38,FALSE)</f>
        <v>Fiabilidade</v>
      </c>
      <c r="F4" s="131" t="str">
        <f>HLOOKUP('Output (1)'!$H$11,Traduções_3,39,FALSE)</f>
        <v>Exactidão</v>
      </c>
      <c r="G4" s="224" t="str">
        <f>HLOOKUP('Output (1)'!$H$11,Traduções_3,40,FALSE)</f>
        <v>Observações</v>
      </c>
      <c r="H4" s="266" t="s">
        <v>6</v>
      </c>
      <c r="I4" s="267" t="s">
        <v>560</v>
      </c>
      <c r="J4" s="268" t="s">
        <v>556</v>
      </c>
      <c r="K4" s="269" t="s">
        <v>555</v>
      </c>
      <c r="L4" s="270" t="s">
        <v>557</v>
      </c>
      <c r="M4" s="271" t="s">
        <v>558</v>
      </c>
      <c r="AA4" s="265" t="s">
        <v>480</v>
      </c>
      <c r="AB4" s="265" t="s">
        <v>395</v>
      </c>
      <c r="AC4" s="265" t="s">
        <v>287</v>
      </c>
    </row>
    <row r="5" spans="1:36" ht="13.5" thickBot="1" x14ac:dyDescent="0.25">
      <c r="A5" s="3" t="str">
        <f>HLOOKUP('Output (1)'!$H$11,Traduções_3,ROW(),FALSE)</f>
        <v>Distribuição directa:</v>
      </c>
      <c r="B5" s="420">
        <f>SUM(D6:D12)</f>
        <v>0</v>
      </c>
      <c r="C5" s="543" t="str">
        <f>D5</f>
        <v>m3/ano</v>
      </c>
      <c r="D5" s="364" t="str">
        <f>HLOOKUP('Output (1)'!$H$11,Traduções_3,36,FALSE)</f>
        <v>m3/ano</v>
      </c>
      <c r="E5" s="9"/>
      <c r="F5" s="514" t="str">
        <f>IF(B5&gt;0,CONCATENATE(H5*100,"-",I5*100," %")," ")</f>
        <v xml:space="preserve"> </v>
      </c>
      <c r="G5" s="775"/>
      <c r="H5" s="366">
        <f>IF(B5&gt;0,IF('Configuration options'!$A$16=1,INT(J5/$B5*100)/100,IF('Configuration options'!$A$16=2,INT(L5/$B5*100)/100,"Erro")),0)</f>
        <v>0</v>
      </c>
      <c r="I5" s="321">
        <f>IF(B5&gt;0,IF('Configuration options'!$A$16=1,INT(K5/$B5*100)/100,IF('Configuration options'!$A$16=2,INT(M5/$B5*100)/100,"Erro")),0)</f>
        <v>0</v>
      </c>
      <c r="J5" s="367">
        <f>SUM(J6:J12)</f>
        <v>0</v>
      </c>
      <c r="K5" s="321">
        <f>SUM(K6:K12)</f>
        <v>0</v>
      </c>
      <c r="L5" s="366">
        <f>SQRT(L6^2+L7^2+L8^2+L9^2+L10^2+L11^2+L12^2)</f>
        <v>0</v>
      </c>
      <c r="M5" s="301">
        <f>SQRT(M6^2+M7^2+M8^2+M9^2+M10^2+M11^2+M12^2)</f>
        <v>0</v>
      </c>
      <c r="AA5" s="265" t="s">
        <v>461</v>
      </c>
      <c r="AB5" s="265" t="s">
        <v>1030</v>
      </c>
      <c r="AC5" s="265" t="s">
        <v>288</v>
      </c>
    </row>
    <row r="6" spans="1:36" ht="14.25" customHeight="1" thickBot="1" x14ac:dyDescent="0.25">
      <c r="A6" s="188" t="str">
        <f>HLOOKUP('Output (1)'!$H$11,Traduções_3,ROW(),FALSE)</f>
        <v xml:space="preserve">  Consumo doméstico</v>
      </c>
      <c r="B6" s="421"/>
      <c r="C6" s="544" t="s">
        <v>67</v>
      </c>
      <c r="D6" s="486">
        <f>IF(C6=$J$35,'Configuration options'!$K$6,IF(C6=$J$36,'Configuration options'!$K$7,IF(C6=$J$37,'Configuration options'!$K$8,IF(C6=$J$38,'Configuration options'!$K$9,IF(C6=$J$39,'Configuration options'!$K$10,IF(C6=$J$40,'Configuration options'!$K$11,0))))))*B6</f>
        <v>0</v>
      </c>
      <c r="E6" s="509" t="s">
        <v>426</v>
      </c>
      <c r="F6" s="515" t="s">
        <v>58</v>
      </c>
      <c r="G6" s="796"/>
      <c r="H6" s="357">
        <f>IF(F6=$I$35,'Configuration options'!$E$6,IF(F6=$I$36,'Configuration options'!$E$7/100,IF(F6=$I$37,'Configuration options'!$E$8/100,IF(F6=$I$38,0.5,1))))</f>
        <v>0</v>
      </c>
      <c r="I6" s="358">
        <f>IF(F6=$I$35,'Configuration options'!$G$6,IF(F6=$I$36,'Configuration options'!$G$7,IF(F6=$I$37,'Configuration options'!$G$8,IF(F6=$I$38,1,3))))</f>
        <v>0.05</v>
      </c>
      <c r="J6" s="355">
        <f t="shared" ref="J6:J12" si="0">H6*D6</f>
        <v>0</v>
      </c>
      <c r="K6" s="356">
        <f t="shared" ref="K6:K12" si="1">I6*D6</f>
        <v>0</v>
      </c>
      <c r="L6" s="319">
        <f t="shared" ref="L6:L12" si="2">H6*D6</f>
        <v>0</v>
      </c>
      <c r="M6" s="308">
        <f t="shared" ref="M6:M12" si="3">I6*D6</f>
        <v>0</v>
      </c>
      <c r="AA6" s="265" t="s">
        <v>463</v>
      </c>
      <c r="AB6" s="265" t="s">
        <v>1022</v>
      </c>
      <c r="AC6" s="265" t="s">
        <v>289</v>
      </c>
    </row>
    <row r="7" spans="1:36" ht="14.25" customHeight="1" thickBot="1" x14ac:dyDescent="0.25">
      <c r="A7" s="188" t="str">
        <f>HLOOKUP('Output (1)'!$H$11,Traduções_3,ROW(),FALSE)</f>
        <v xml:space="preserve">  Consumo de comércio e de serviços</v>
      </c>
      <c r="B7" s="741"/>
      <c r="C7" s="544" t="s">
        <v>67</v>
      </c>
      <c r="D7" s="486">
        <f>IF(C7=$J$35,'Configuration options'!$K$6,IF(C7=$J$36,'Configuration options'!$K$7,IF(C7=$J$37,'Configuration options'!$K$8,IF(C7=$J$38,'Configuration options'!$K$9,IF(C7=$J$39,'Configuration options'!$K$10,IF(C7=$J$40,'Configuration options'!$K$11,0))))))*B7</f>
        <v>0</v>
      </c>
      <c r="E7" s="509" t="s">
        <v>426</v>
      </c>
      <c r="F7" s="515" t="s">
        <v>58</v>
      </c>
      <c r="G7" s="796"/>
      <c r="H7" s="357">
        <f>IF(F7=$I$35,'Configuration options'!$E$6,IF(F7=$I$36,'Configuration options'!$E$7/100,IF(F7=$I$37,'Configuration options'!$E$8/100,IF(F7=$I$38,0.5,1))))</f>
        <v>0</v>
      </c>
      <c r="I7" s="358">
        <f>IF(F7=$I$35,'Configuration options'!$G$6,IF(F7=$I$36,'Configuration options'!$G$7,IF(F7=$I$37,'Configuration options'!$G$8,IF(F7=$I$38,1,3))))</f>
        <v>0.05</v>
      </c>
      <c r="J7" s="327">
        <f t="shared" si="0"/>
        <v>0</v>
      </c>
      <c r="K7" s="328">
        <f t="shared" si="1"/>
        <v>0</v>
      </c>
      <c r="L7" s="319">
        <f t="shared" si="2"/>
        <v>0</v>
      </c>
      <c r="M7" s="308">
        <f t="shared" si="3"/>
        <v>0</v>
      </c>
      <c r="AA7" s="265" t="s">
        <v>59</v>
      </c>
      <c r="AB7" s="265" t="s">
        <v>1025</v>
      </c>
      <c r="AC7" s="265" t="s">
        <v>290</v>
      </c>
    </row>
    <row r="8" spans="1:36" ht="14.25" customHeight="1" thickBot="1" x14ac:dyDescent="0.25">
      <c r="A8" s="188" t="str">
        <f>HLOOKUP('Output (1)'!$H$11,Traduções_3,ROW(),FALSE)</f>
        <v xml:space="preserve">  Consumo público</v>
      </c>
      <c r="B8" s="743"/>
      <c r="C8" s="544" t="s">
        <v>67</v>
      </c>
      <c r="D8" s="486">
        <f>IF(C8=$J$35,'Configuration options'!$K$6,IF(C8=$J$36,'Configuration options'!$K$7,IF(C8=$J$37,'Configuration options'!$K$8,IF(C8=$J$38,'Configuration options'!$K$9,IF(C8=$J$39,'Configuration options'!$K$10,IF(C8=$J$40,'Configuration options'!$K$11,0))))))*B8</f>
        <v>0</v>
      </c>
      <c r="E8" s="509" t="s">
        <v>426</v>
      </c>
      <c r="F8" s="515" t="s">
        <v>58</v>
      </c>
      <c r="G8" s="796"/>
      <c r="H8" s="357">
        <f>IF(F8=$I$35,'Configuration options'!$E$6,IF(F8=$I$36,'Configuration options'!$E$7/100,IF(F8=$I$37,'Configuration options'!$E$8/100,IF(F8=$I$38,0.5,1))))</f>
        <v>0</v>
      </c>
      <c r="I8" s="358">
        <f>IF(F8=$I$35,'Configuration options'!$G$6,IF(F8=$I$36,'Configuration options'!$G$7,IF(F8=$I$37,'Configuration options'!$G$8,IF(F8=$I$38,1,3))))</f>
        <v>0.05</v>
      </c>
      <c r="J8" s="327">
        <f t="shared" si="0"/>
        <v>0</v>
      </c>
      <c r="K8" s="328">
        <f t="shared" si="1"/>
        <v>0</v>
      </c>
      <c r="L8" s="319">
        <f t="shared" si="2"/>
        <v>0</v>
      </c>
      <c r="M8" s="308">
        <f t="shared" si="3"/>
        <v>0</v>
      </c>
      <c r="AA8" s="265" t="s">
        <v>464</v>
      </c>
      <c r="AB8" s="265" t="s">
        <v>1024</v>
      </c>
      <c r="AC8" s="265" t="s">
        <v>291</v>
      </c>
    </row>
    <row r="9" spans="1:36" ht="14.25" customHeight="1" thickBot="1" x14ac:dyDescent="0.25">
      <c r="A9" s="188" t="str">
        <f>HLOOKUP('Output (1)'!$H$11,Traduções_3,ROW(),FALSE)</f>
        <v xml:space="preserve">  Consumo industrial</v>
      </c>
      <c r="B9" s="741"/>
      <c r="C9" s="544" t="s">
        <v>67</v>
      </c>
      <c r="D9" s="486">
        <f>IF(C9=$J$35,'Configuration options'!$K$6,IF(C9=$J$36,'Configuration options'!$K$7,IF(C9=$J$37,'Configuration options'!$K$8,IF(C9=$J$38,'Configuration options'!$K$9,IF(C9=$J$39,'Configuration options'!$K$10,IF(C9=$J$40,'Configuration options'!$K$11,0))))))*B9</f>
        <v>0</v>
      </c>
      <c r="E9" s="509" t="s">
        <v>426</v>
      </c>
      <c r="F9" s="515" t="s">
        <v>58</v>
      </c>
      <c r="G9" s="796"/>
      <c r="H9" s="357">
        <f>IF(F9=$I$35,'Configuration options'!$E$6,IF(F9=$I$36,'Configuration options'!$E$7/100,IF(F9=$I$37,'Configuration options'!$E$8/100,IF(F9=$I$38,0.5,1))))</f>
        <v>0</v>
      </c>
      <c r="I9" s="358">
        <f>IF(F9=$I$35,'Configuration options'!$G$6,IF(F9=$I$36,'Configuration options'!$G$7,IF(F9=$I$37,'Configuration options'!$G$8,IF(F9=$I$38,1,3))))</f>
        <v>0.05</v>
      </c>
      <c r="J9" s="327">
        <f t="shared" si="0"/>
        <v>0</v>
      </c>
      <c r="K9" s="328">
        <f t="shared" si="1"/>
        <v>0</v>
      </c>
      <c r="L9" s="319">
        <f t="shared" si="2"/>
        <v>0</v>
      </c>
      <c r="M9" s="308">
        <f t="shared" si="3"/>
        <v>0</v>
      </c>
      <c r="AA9" s="265" t="s">
        <v>465</v>
      </c>
      <c r="AB9" s="265" t="s">
        <v>1023</v>
      </c>
      <c r="AC9" s="265" t="s">
        <v>292</v>
      </c>
    </row>
    <row r="10" spans="1:36" ht="14.25" customHeight="1" thickBot="1" x14ac:dyDescent="0.25">
      <c r="A10" s="188" t="str">
        <f>HLOOKUP('Output (1)'!$H$11,Traduções_3,ROW(),FALSE)</f>
        <v xml:space="preserve">  Outros consumos facturados medidos</v>
      </c>
      <c r="B10" s="742"/>
      <c r="C10" s="544" t="s">
        <v>67</v>
      </c>
      <c r="D10" s="486">
        <f>IF(C10=$J$35,'Configuration options'!$K$6,IF(C10=$J$36,'Configuration options'!$K$7,IF(C10=$J$37,'Configuration options'!$K$8,IF(C10=$J$38,'Configuration options'!$K$9,IF(C10=$J$39,'Configuration options'!$K$10,IF(C10=$J$40,'Configuration options'!$K$11,0))))))*B10</f>
        <v>0</v>
      </c>
      <c r="E10" s="509" t="s">
        <v>426</v>
      </c>
      <c r="F10" s="515" t="s">
        <v>58</v>
      </c>
      <c r="G10" s="796"/>
      <c r="H10" s="357">
        <f>IF(F10=$I$35,'Configuration options'!$E$6,IF(F10=$I$36,'Configuration options'!$E$7/100,IF(F10=$I$37,'Configuration options'!$E$8/100,IF(F10=$I$38,0.5,1))))</f>
        <v>0</v>
      </c>
      <c r="I10" s="358">
        <f>IF(F10=$I$35,'Configuration options'!$G$6,IF(F10=$I$36,'Configuration options'!$G$7,IF(F10=$I$37,'Configuration options'!$G$8,IF(F10=$I$38,1,3))))</f>
        <v>0.05</v>
      </c>
      <c r="J10" s="327">
        <f t="shared" si="0"/>
        <v>0</v>
      </c>
      <c r="K10" s="328">
        <f t="shared" si="1"/>
        <v>0</v>
      </c>
      <c r="L10" s="319">
        <f t="shared" si="2"/>
        <v>0</v>
      </c>
      <c r="M10" s="308">
        <f t="shared" si="3"/>
        <v>0</v>
      </c>
      <c r="AA10" s="265" t="s">
        <v>31</v>
      </c>
      <c r="AB10" s="265" t="s">
        <v>1031</v>
      </c>
      <c r="AC10" s="265" t="s">
        <v>293</v>
      </c>
    </row>
    <row r="11" spans="1:36" ht="14.25" customHeight="1" thickBot="1" x14ac:dyDescent="0.25">
      <c r="A11" s="744" t="s">
        <v>1065</v>
      </c>
      <c r="B11" s="741"/>
      <c r="C11" s="544" t="s">
        <v>67</v>
      </c>
      <c r="D11" s="486">
        <f>IF(C11=$J$35,'Configuration options'!$K$6,IF(C11=$J$36,'Configuration options'!$K$7,IF(C11=$J$37,'Configuration options'!$K$8,IF(C11=$J$38,'Configuration options'!$K$9,IF(C11=$J$39,'Configuration options'!$K$10,IF(C11=$J$40,'Configuration options'!$K$11,0))))))*B11</f>
        <v>0</v>
      </c>
      <c r="E11" s="509" t="s">
        <v>426</v>
      </c>
      <c r="F11" s="515" t="s">
        <v>58</v>
      </c>
      <c r="G11" s="796"/>
      <c r="H11" s="357">
        <f>IF(F11=$I$35,'Configuration options'!$E$6,IF(F11=$I$36,'Configuration options'!$E$7/100,IF(F11=$I$37,'Configuration options'!$E$8/100,IF(F11=$I$38,0.5,1))))</f>
        <v>0</v>
      </c>
      <c r="I11" s="358">
        <f>IF(F11=$I$35,'Configuration options'!$G$6,IF(F11=$I$36,'Configuration options'!$G$7,IF(F11=$I$37,'Configuration options'!$G$8,IF(F11=$I$38,1,3))))</f>
        <v>0.05</v>
      </c>
      <c r="J11" s="327">
        <f t="shared" si="0"/>
        <v>0</v>
      </c>
      <c r="K11" s="328">
        <f t="shared" si="1"/>
        <v>0</v>
      </c>
      <c r="L11" s="319">
        <f t="shared" si="2"/>
        <v>0</v>
      </c>
      <c r="M11" s="308">
        <f t="shared" si="3"/>
        <v>0</v>
      </c>
    </row>
    <row r="12" spans="1:36" ht="14.25" customHeight="1" thickBot="1" x14ac:dyDescent="0.25">
      <c r="A12" s="744" t="s">
        <v>1066</v>
      </c>
      <c r="B12" s="741">
        <v>0</v>
      </c>
      <c r="C12" s="544" t="s">
        <v>67</v>
      </c>
      <c r="D12" s="486">
        <f>IF(C12=$J$35,'Configuration options'!$K$6,IF(C12=$J$36,'Configuration options'!$K$7,IF(C12=$J$37,'Configuration options'!$K$8,IF(C12=$J$38,'Configuration options'!$K$9,IF(C12=$J$39,'Configuration options'!$K$10,IF(C12=$J$40,'Configuration options'!$K$11,0))))))*B12</f>
        <v>0</v>
      </c>
      <c r="E12" s="509" t="s">
        <v>426</v>
      </c>
      <c r="F12" s="515" t="s">
        <v>58</v>
      </c>
      <c r="G12" s="797"/>
      <c r="H12" s="487">
        <f>IF(F12=$I$35,'Configuration options'!$E$6,IF(F12=$I$36,'Configuration options'!$E$7/100,IF(F12=$I$37,'Configuration options'!$E$8/100,IF(F12=$I$38,0.5,1))))</f>
        <v>0</v>
      </c>
      <c r="I12" s="368">
        <f>IF(F12=$I$35,'Configuration options'!$G$6,IF(F12=$I$36,'Configuration options'!$G$7,IF(F12=$I$37,'Configuration options'!$G$8,IF(F12=$I$38,1,3))))</f>
        <v>0.05</v>
      </c>
      <c r="J12" s="369">
        <f t="shared" si="0"/>
        <v>0</v>
      </c>
      <c r="K12" s="370">
        <f t="shared" si="1"/>
        <v>0</v>
      </c>
      <c r="L12" s="322">
        <f t="shared" si="2"/>
        <v>0</v>
      </c>
      <c r="M12" s="309">
        <f t="shared" si="3"/>
        <v>0</v>
      </c>
    </row>
    <row r="13" spans="1:36" ht="17.25" customHeight="1" thickBot="1" x14ac:dyDescent="0.25">
      <c r="A13" s="35" t="str">
        <f>HLOOKUP('Output (1)'!$H$11,Traduções_3,ROW(),FALSE)</f>
        <v>Água exportada:</v>
      </c>
      <c r="B13" s="420">
        <f>SUM(D14:D15)</f>
        <v>0</v>
      </c>
      <c r="C13" s="545" t="str">
        <f>D5</f>
        <v>m3/ano</v>
      </c>
      <c r="D13" s="365"/>
      <c r="E13" s="130"/>
      <c r="F13" s="512" t="str">
        <f>IF(B13&gt;0,CONCATENATE(H13*100,"-",I13*100," %"),"  ")</f>
        <v xml:space="preserve">  </v>
      </c>
      <c r="G13" s="775"/>
      <c r="H13" s="371">
        <f>IF(B13&gt;0,IF('Configuration options'!$A$16=1,INT(J13/$B13*100)/100,IF('Configuration options'!$A$16=2,INT(L13/$B13*100)/100,"Erro")),0)</f>
        <v>0</v>
      </c>
      <c r="I13" s="372">
        <f>IF(B13&gt;0,IF('Configuration options'!$A$16=1,INT(K13/$B13*100)/100,IF('Configuration options'!$A$16=2,INT(M13/$B13*100)/100,"Erro")),0)</f>
        <v>0</v>
      </c>
      <c r="J13" s="373">
        <f>SUM(J14:J15)</f>
        <v>0</v>
      </c>
      <c r="K13" s="372">
        <f>SUM(K14:K15)</f>
        <v>0</v>
      </c>
      <c r="L13" s="371">
        <f>SQRT(L14^2+L15^2)</f>
        <v>0</v>
      </c>
      <c r="M13" s="374">
        <f>SQRT(M14^2+M15^2)</f>
        <v>0</v>
      </c>
      <c r="AA13" s="265" t="s">
        <v>462</v>
      </c>
      <c r="AB13" s="265" t="s">
        <v>1026</v>
      </c>
      <c r="AC13" s="265" t="s">
        <v>294</v>
      </c>
    </row>
    <row r="14" spans="1:36" ht="14.25" customHeight="1" thickBot="1" x14ac:dyDescent="0.25">
      <c r="A14" s="37" t="str">
        <f>HLOOKUP('Output (1)'!$H$11,Traduções_3,ROW(),FALSE)</f>
        <v xml:space="preserve">  Água transferida para outros sistemas da mesma entidade (facturada)</v>
      </c>
      <c r="B14" s="542">
        <v>0</v>
      </c>
      <c r="C14" s="544"/>
      <c r="D14" s="486">
        <f>IF(C14=$J$35,'Configuration options'!$K$6,IF(C14=$J$36,'Configuration options'!$K$7,IF(C14=$J$37,'Configuration options'!$K$8,IF(C14=$J$38,'Configuration options'!$K$9,IF(C14=$J$39,'Configuration options'!$K$10,IF(C14=$J$40,'Configuration options'!$K$11,0))))))*B14</f>
        <v>0</v>
      </c>
      <c r="E14" s="509" t="s">
        <v>426</v>
      </c>
      <c r="F14" s="515" t="s">
        <v>58</v>
      </c>
      <c r="G14" s="796"/>
      <c r="H14" s="357">
        <f>IF(F14=$I$35,'Configuration options'!$E$6,IF(F14=$I$36,'Configuration options'!$E$7/100,IF(F14=$I$37,'Configuration options'!$E$8/100,IF(F14=$I$38,0.5,1))))</f>
        <v>0</v>
      </c>
      <c r="I14" s="358">
        <f>IF(F14=$I$35,'Configuration options'!$G$6,IF(F14=$I$36,'Configuration options'!$G$7,IF(F14=$I$37,'Configuration options'!$G$8,IF(F14=$I$38,1,3))))</f>
        <v>0.05</v>
      </c>
      <c r="J14" s="355">
        <f>H14*D14</f>
        <v>0</v>
      </c>
      <c r="K14" s="356">
        <f>I14*D14</f>
        <v>0</v>
      </c>
      <c r="L14" s="355">
        <f>H14*D14</f>
        <v>0</v>
      </c>
      <c r="M14" s="375">
        <f>I14*D14</f>
        <v>0</v>
      </c>
      <c r="AA14" s="265" t="s">
        <v>574</v>
      </c>
      <c r="AB14" s="596" t="s">
        <v>438</v>
      </c>
      <c r="AC14" s="265" t="s">
        <v>295</v>
      </c>
    </row>
    <row r="15" spans="1:36" ht="14.25" customHeight="1" thickBot="1" x14ac:dyDescent="0.25">
      <c r="A15" s="34" t="str">
        <f>HLOOKUP('Output (1)'!$H$11,Traduções_3,ROW(),FALSE)</f>
        <v xml:space="preserve">  Água vendida a outras entidades gestoras</v>
      </c>
      <c r="B15" s="538">
        <v>0</v>
      </c>
      <c r="C15" s="544"/>
      <c r="D15" s="486">
        <f>IF(C15=$J$35,'Configuration options'!$K$6,IF(C15=$J$36,'Configuration options'!$K$7,IF(C15=$J$37,'Configuration options'!$K$8,IF(C15=$J$38,'Configuration options'!$K$9,IF(C15=$J$39,'Configuration options'!$K$10,IF(C15=$J$40,'Configuration options'!$K$11,0))))))*B15</f>
        <v>0</v>
      </c>
      <c r="E15" s="509" t="s">
        <v>426</v>
      </c>
      <c r="F15" s="515" t="s">
        <v>58</v>
      </c>
      <c r="G15" s="797"/>
      <c r="H15" s="487">
        <f>IF(F15=$I$35,'Configuration options'!$E$6,IF(F15=$I$36,'Configuration options'!$E$7/100,IF(F15=$I$37,'Configuration options'!$E$8/100,IF(F15=$I$38,0.5,1))))</f>
        <v>0</v>
      </c>
      <c r="I15" s="368">
        <f>IF(F15=$I$35,'Configuration options'!$G$6,IF(F15=$I$36,'Configuration options'!$G$7,IF(F15=$I$37,'Configuration options'!$G$8,IF(F15=$I$38,1,3))))</f>
        <v>0.05</v>
      </c>
      <c r="J15" s="369">
        <f>H15*D15</f>
        <v>0</v>
      </c>
      <c r="K15" s="370">
        <f>I15*D15</f>
        <v>0</v>
      </c>
      <c r="L15" s="369">
        <f>H15*D15</f>
        <v>0</v>
      </c>
      <c r="M15" s="309">
        <f>I15*D15</f>
        <v>0</v>
      </c>
      <c r="AA15" s="265" t="s">
        <v>466</v>
      </c>
      <c r="AB15" s="596" t="s">
        <v>180</v>
      </c>
      <c r="AC15" s="265" t="s">
        <v>296</v>
      </c>
    </row>
    <row r="16" spans="1:36" ht="13.5" thickBot="1" x14ac:dyDescent="0.25">
      <c r="B16" s="419"/>
      <c r="C16" s="17"/>
      <c r="D16" s="298"/>
      <c r="E16" s="99"/>
      <c r="F16" s="99"/>
      <c r="G16" s="223"/>
    </row>
    <row r="17" spans="1:29" ht="13.5" thickBot="1" x14ac:dyDescent="0.25">
      <c r="A17" s="5" t="str">
        <f>HLOOKUP('Output (1)'!$H$11,Traduções_3,ROW(),FALSE)</f>
        <v xml:space="preserve">Consumo facturado medido: </v>
      </c>
      <c r="B17" s="422">
        <f>B5+B13</f>
        <v>0</v>
      </c>
      <c r="C17" s="38" t="str">
        <f>D5</f>
        <v>m3/ano</v>
      </c>
      <c r="D17" s="350"/>
      <c r="E17" s="17"/>
      <c r="F17" s="220" t="str">
        <f>IF(B17&gt;0,CONCATENATE(H17*100,"-",I17*100," %")," ")</f>
        <v xml:space="preserve"> </v>
      </c>
      <c r="G17" s="225"/>
      <c r="H17" s="312">
        <f>IF(B17&gt;0,IF('Configuration options'!$A$16=1,INT(J17/$B17*100)/100,IF('Configuration options'!$A$16=2,INT(L17/$B17*100)/100,"Erro")),0)</f>
        <v>0</v>
      </c>
      <c r="I17" s="289">
        <f>IF(B17&gt;0,IF('Configuration options'!$A$16=1,INT(K17/$B17*100)/100,IF('Configuration options'!$A$16=2,INT(M17/$B17*100)/100,"Erro")),0)</f>
        <v>0</v>
      </c>
      <c r="J17" s="312">
        <f>J5+J13</f>
        <v>0</v>
      </c>
      <c r="K17" s="312">
        <f>K5+K13</f>
        <v>0</v>
      </c>
      <c r="L17" s="312">
        <f>SQRT(L5^2+L13^2)</f>
        <v>0</v>
      </c>
      <c r="M17" s="360">
        <f>SQRT(M5^2+M13^2)</f>
        <v>0</v>
      </c>
      <c r="AA17" s="265" t="s">
        <v>478</v>
      </c>
      <c r="AB17" s="265" t="s">
        <v>1027</v>
      </c>
      <c r="AC17" s="265" t="s">
        <v>478</v>
      </c>
    </row>
    <row r="18" spans="1:29" x14ac:dyDescent="0.2">
      <c r="B18" s="419"/>
      <c r="C18" s="17"/>
      <c r="D18" s="298"/>
      <c r="E18" s="17"/>
      <c r="G18" s="223"/>
    </row>
    <row r="19" spans="1:29" ht="13.5" thickBot="1" x14ac:dyDescent="0.25">
      <c r="B19" s="419"/>
      <c r="C19" s="17"/>
      <c r="D19" s="298"/>
      <c r="E19" s="17"/>
      <c r="G19" s="223"/>
    </row>
    <row r="20" spans="1:29" ht="12.75" customHeight="1" thickBot="1" x14ac:dyDescent="0.25">
      <c r="A20" s="1" t="str">
        <f>HLOOKUP('Output (1)'!$H$11,Traduções_3,ROW(),FALSE)</f>
        <v>CÁLCULO DO CONSUMO FACTURADO NÃO MEDIDO</v>
      </c>
      <c r="B20" s="419"/>
      <c r="C20" s="17"/>
      <c r="D20" s="298"/>
      <c r="E20" s="104" t="str">
        <f>E4</f>
        <v>Fiabilidade</v>
      </c>
      <c r="F20" s="131" t="str">
        <f>F4</f>
        <v>Exactidão</v>
      </c>
      <c r="G20" s="224" t="str">
        <f>G4</f>
        <v>Observações</v>
      </c>
      <c r="H20" s="266" t="s">
        <v>6</v>
      </c>
      <c r="I20" s="376" t="s">
        <v>560</v>
      </c>
      <c r="J20" s="268" t="s">
        <v>556</v>
      </c>
      <c r="K20" s="269" t="s">
        <v>555</v>
      </c>
      <c r="L20" s="270" t="s">
        <v>557</v>
      </c>
      <c r="M20" s="271" t="s">
        <v>558</v>
      </c>
      <c r="AA20" s="265" t="s">
        <v>481</v>
      </c>
      <c r="AB20" s="265" t="s">
        <v>1028</v>
      </c>
      <c r="AC20" s="265" t="s">
        <v>297</v>
      </c>
    </row>
    <row r="21" spans="1:29" ht="14.25" customHeight="1" thickBot="1" x14ac:dyDescent="0.25">
      <c r="A21" s="1" t="str">
        <f>HLOOKUP('Output (1)'!$H$11,Traduções_3,ROW(),FALSE)</f>
        <v>Volume facturado por estimativa relativo a:</v>
      </c>
      <c r="B21" s="419"/>
      <c r="C21" s="17"/>
      <c r="D21" s="298"/>
      <c r="E21" s="49"/>
      <c r="F21" s="49"/>
      <c r="G21" s="224"/>
      <c r="H21" s="377"/>
      <c r="I21" s="378"/>
      <c r="J21" s="270"/>
      <c r="K21" s="269"/>
      <c r="L21" s="270"/>
      <c r="M21" s="271"/>
      <c r="AA21" s="265" t="s">
        <v>38</v>
      </c>
      <c r="AB21" s="265" t="s">
        <v>1042</v>
      </c>
      <c r="AC21" s="265" t="s">
        <v>298</v>
      </c>
    </row>
    <row r="22" spans="1:29" ht="14.25" customHeight="1" thickBot="1" x14ac:dyDescent="0.25">
      <c r="A22" s="234" t="str">
        <f>HLOOKUP('Output (1)'!$H$11,Traduções_3,ROW(),FALSE)</f>
        <v xml:space="preserve">  Consumo doméstico, comercial e de serviços de clientes sem contador</v>
      </c>
      <c r="B22" s="417"/>
      <c r="C22" s="544" t="s">
        <v>67</v>
      </c>
      <c r="D22" s="486">
        <f>IF(C22=$J$35,'Configuration options'!$K$6,IF(C22=$J$36,'Configuration options'!$K$7,IF(C22=$J$37,'Configuration options'!$K$8,IF(C22=$J$38,'Configuration options'!$K$9,IF(C22=$J$39,'Configuration options'!$K$10,IF(C22=$J$40,'Configuration options'!$K$11,0))))))*B22</f>
        <v>0</v>
      </c>
      <c r="E22" s="509" t="s">
        <v>424</v>
      </c>
      <c r="F22" s="515" t="s">
        <v>68</v>
      </c>
      <c r="G22" s="232"/>
      <c r="H22" s="492">
        <f>IF(F22=$I$35,'Configuration options'!$E$6,IF(F22=$I$36,'Configuration options'!$E$7/100,IF(F22=$I$37,'Configuration options'!$E$8/100,IF(F22=$I$38,0.5,1))))</f>
        <v>1</v>
      </c>
      <c r="I22" s="493">
        <f>IF(F22=$I$35,'Configuration options'!$G$6,IF(F22=$I$36,'Configuration options'!$G$7,IF(F22=$I$37,'Configuration options'!$G$8,IF(F22=$I$38,1,3))))</f>
        <v>3</v>
      </c>
      <c r="J22" s="288">
        <f t="shared" ref="J22:J27" si="4">H22*B22</f>
        <v>0</v>
      </c>
      <c r="K22" s="289">
        <f t="shared" ref="K22:K27" si="5">I22*B22</f>
        <v>0</v>
      </c>
      <c r="L22" s="312">
        <f t="shared" ref="L22:L27" si="6">H22*B22</f>
        <v>0</v>
      </c>
      <c r="M22" s="360">
        <f t="shared" ref="M22:M27" si="7">I22*B22</f>
        <v>0</v>
      </c>
      <c r="AA22" s="265" t="s">
        <v>39</v>
      </c>
      <c r="AB22" s="265" t="s">
        <v>1043</v>
      </c>
      <c r="AC22" s="265" t="s">
        <v>299</v>
      </c>
    </row>
    <row r="23" spans="1:29" ht="14.25" customHeight="1" thickBot="1" x14ac:dyDescent="0.25">
      <c r="A23" s="234" t="str">
        <f>HLOOKUP('Output (1)'!$H$11,Traduções_3,ROW(),FALSE)</f>
        <v xml:space="preserve">  Consumo para rega de espaços verdes</v>
      </c>
      <c r="B23" s="538"/>
      <c r="C23" s="544" t="s">
        <v>67</v>
      </c>
      <c r="D23" s="486">
        <f>IF(C23=$J$35,'Configuration options'!$K$6,IF(C23=$J$36,'Configuration options'!$K$7,IF(C23=$J$37,'Configuration options'!$K$8,IF(C23=$J$38,'Configuration options'!$K$9,IF(C23=$J$39,'Configuration options'!$K$10,IF(C23=$J$40,'Configuration options'!$K$11,0))))))*B23</f>
        <v>0</v>
      </c>
      <c r="E23" s="509" t="s">
        <v>424</v>
      </c>
      <c r="F23" s="515" t="s">
        <v>68</v>
      </c>
      <c r="G23" s="232"/>
      <c r="H23" s="494">
        <f>IF(F23=$I$35,'Configuration options'!$E$6,IF(F23=$I$36,'Configuration options'!$E$7/100,IF(F23=$I$37,'Configuration options'!$E$8/100,IF(F23=$I$38,0.5,1))))</f>
        <v>1</v>
      </c>
      <c r="I23" s="495">
        <f>IF(F23=$I$35,'Configuration options'!$G$6,IF(F23=$I$36,'Configuration options'!$G$7,IF(F23=$I$37,'Configuration options'!$G$8,IF(F23=$I$38,1,3))))</f>
        <v>3</v>
      </c>
      <c r="J23" s="288">
        <f t="shared" si="4"/>
        <v>0</v>
      </c>
      <c r="K23" s="289">
        <f t="shared" si="5"/>
        <v>0</v>
      </c>
      <c r="L23" s="312">
        <f t="shared" si="6"/>
        <v>0</v>
      </c>
      <c r="M23" s="360">
        <f t="shared" si="7"/>
        <v>0</v>
      </c>
      <c r="AA23" s="265" t="s">
        <v>40</v>
      </c>
      <c r="AB23" s="265" t="s">
        <v>132</v>
      </c>
      <c r="AC23" s="265" t="s">
        <v>300</v>
      </c>
    </row>
    <row r="24" spans="1:29" ht="14.25" customHeight="1" thickBot="1" x14ac:dyDescent="0.25">
      <c r="A24" s="234" t="str">
        <f>HLOOKUP('Output (1)'!$H$11,Traduções_3,ROW(),FALSE)</f>
        <v xml:space="preserve">  Consumo para lavagem de ruas</v>
      </c>
      <c r="B24" s="538"/>
      <c r="C24" s="544" t="s">
        <v>67</v>
      </c>
      <c r="D24" s="486">
        <f>IF(C24=$J$35,'Configuration options'!$K$6,IF(C24=$J$36,'Configuration options'!$K$7,IF(C24=$J$37,'Configuration options'!$K$8,IF(C24=$J$38,'Configuration options'!$K$9,IF(C24=$J$39,'Configuration options'!$K$10,IF(C24=$J$40,'Configuration options'!$K$11,0))))))*B24</f>
        <v>0</v>
      </c>
      <c r="E24" s="509" t="s">
        <v>424</v>
      </c>
      <c r="F24" s="515" t="s">
        <v>68</v>
      </c>
      <c r="G24" s="232"/>
      <c r="H24" s="494">
        <f>IF(F24=$I$35,'Configuration options'!$E$6,IF(F24=$I$36,'Configuration options'!$E$7/100,IF(F24=$I$37,'Configuration options'!$E$8/100,IF(F24=$I$38,0.5,1))))</f>
        <v>1</v>
      </c>
      <c r="I24" s="495">
        <f>IF(F24=$I$35,'Configuration options'!$G$6,IF(F24=$I$36,'Configuration options'!$G$7,IF(F24=$I$37,'Configuration options'!$G$8,IF(F24=$I$38,1,3))))</f>
        <v>3</v>
      </c>
      <c r="J24" s="288">
        <f t="shared" si="4"/>
        <v>0</v>
      </c>
      <c r="K24" s="289">
        <f t="shared" si="5"/>
        <v>0</v>
      </c>
      <c r="L24" s="312">
        <f t="shared" si="6"/>
        <v>0</v>
      </c>
      <c r="M24" s="360">
        <f t="shared" si="7"/>
        <v>0</v>
      </c>
      <c r="AA24" s="265" t="s">
        <v>41</v>
      </c>
      <c r="AB24" s="265" t="s">
        <v>131</v>
      </c>
      <c r="AC24" s="265" t="s">
        <v>301</v>
      </c>
    </row>
    <row r="25" spans="1:29" ht="14.25" customHeight="1" thickBot="1" x14ac:dyDescent="0.25">
      <c r="A25" s="234" t="str">
        <f>HLOOKUP('Output (1)'!$H$11,Traduções_3,ROW(),FALSE)</f>
        <v xml:space="preserve">  Consumo em marcos e bocas de incêndio </v>
      </c>
      <c r="B25" s="538"/>
      <c r="C25" s="544" t="s">
        <v>67</v>
      </c>
      <c r="D25" s="486">
        <f>IF(C25=$J$35,'Configuration options'!$K$6,IF(C25=$J$36,'Configuration options'!$K$7,IF(C25=$J$37,'Configuration options'!$K$8,IF(C25=$J$38,'Configuration options'!$K$9,IF(C25=$J$39,'Configuration options'!$K$10,IF(C25=$J$40,'Configuration options'!$K$11,0))))))*B25</f>
        <v>0</v>
      </c>
      <c r="E25" s="509" t="s">
        <v>424</v>
      </c>
      <c r="F25" s="515" t="s">
        <v>68</v>
      </c>
      <c r="G25" s="232"/>
      <c r="H25" s="494">
        <f>IF(F25=$I$35,'Configuration options'!$E$6,IF(F25=$I$36,'Configuration options'!$E$7/100,IF(F25=$I$37,'Configuration options'!$E$8/100,IF(F25=$I$38,0.5,1))))</f>
        <v>1</v>
      </c>
      <c r="I25" s="495">
        <f>IF(F25=$I$35,'Configuration options'!$G$6,IF(F25=$I$36,'Configuration options'!$G$7,IF(F25=$I$37,'Configuration options'!$G$8,IF(F25=$I$38,1,3))))</f>
        <v>3</v>
      </c>
      <c r="J25" s="288">
        <f t="shared" si="4"/>
        <v>0</v>
      </c>
      <c r="K25" s="289">
        <f t="shared" si="5"/>
        <v>0</v>
      </c>
      <c r="L25" s="312">
        <f t="shared" si="6"/>
        <v>0</v>
      </c>
      <c r="M25" s="360">
        <f t="shared" si="7"/>
        <v>0</v>
      </c>
      <c r="AA25" s="265" t="s">
        <v>42</v>
      </c>
      <c r="AB25" s="265" t="s">
        <v>1040</v>
      </c>
      <c r="AC25" s="265" t="s">
        <v>302</v>
      </c>
    </row>
    <row r="26" spans="1:29" ht="14.25" customHeight="1" thickBot="1" x14ac:dyDescent="0.25">
      <c r="A26" s="60" t="str">
        <f>HLOOKUP('Output (1)'!$H$11,Traduções_3,ROW(),FALSE)</f>
        <v xml:space="preserve">  Outros consumos facturados não medidos</v>
      </c>
      <c r="B26" s="542"/>
      <c r="C26" s="544" t="s">
        <v>67</v>
      </c>
      <c r="D26" s="486">
        <f>IF(C26=$J$35,'Configuration options'!$K$6,IF(C26=$J$36,'Configuration options'!$K$7,IF(C26=$J$37,'Configuration options'!$K$8,IF(C26=$J$38,'Configuration options'!$K$9,IF(C26=$J$39,'Configuration options'!$K$10,IF(C26=$J$40,'Configuration options'!$K$11,0))))))*B26</f>
        <v>0</v>
      </c>
      <c r="E26" s="509" t="s">
        <v>425</v>
      </c>
      <c r="F26" s="515" t="s">
        <v>69</v>
      </c>
      <c r="G26" s="794"/>
      <c r="H26" s="494">
        <f>IF(F26=$I$35,'Configuration options'!$E$6,IF(F26=$I$36,'Configuration options'!$E$7/100,IF(F26=$I$37,'Configuration options'!$E$8/100,IF(F26=$I$38,0.5,1))))</f>
        <v>0.21000000000000005</v>
      </c>
      <c r="I26" s="495">
        <f>IF(F26=$I$35,'Configuration options'!$G$6,IF(F26=$I$36,'Configuration options'!$G$7,IF(F26=$I$37,'Configuration options'!$G$8,IF(F26=$I$38,1,3))))</f>
        <v>0.5</v>
      </c>
      <c r="J26" s="288">
        <f t="shared" si="4"/>
        <v>0</v>
      </c>
      <c r="K26" s="289">
        <f t="shared" si="5"/>
        <v>0</v>
      </c>
      <c r="L26" s="312">
        <f t="shared" si="6"/>
        <v>0</v>
      </c>
      <c r="M26" s="360">
        <f t="shared" si="7"/>
        <v>0</v>
      </c>
      <c r="N26" s="316"/>
      <c r="AA26" s="265" t="s">
        <v>43</v>
      </c>
      <c r="AB26" s="265" t="s">
        <v>1041</v>
      </c>
      <c r="AC26" s="265" t="s">
        <v>303</v>
      </c>
    </row>
    <row r="27" spans="1:29" ht="14.25" customHeight="1" thickBot="1" x14ac:dyDescent="0.25">
      <c r="A27" s="187"/>
      <c r="B27" s="542"/>
      <c r="C27" s="544"/>
      <c r="D27" s="486">
        <f>IF(C27=$J$35,'Configuration options'!$K$6,IF(C27=$J$36,'Configuration options'!$K$7,IF(C27=$J$37,'Configuration options'!$K$8,IF(C27=$J$38,'Configuration options'!$K$9,IF(C27=$J$39,'Configuration options'!$K$10,IF(C27=$J$40,'Configuration options'!$K$11,0))))))*B27</f>
        <v>0</v>
      </c>
      <c r="E27" s="509" t="s">
        <v>424</v>
      </c>
      <c r="F27" s="515" t="s">
        <v>68</v>
      </c>
      <c r="G27" s="795"/>
      <c r="H27" s="496">
        <f>IF(F27=$I$35,'Configuration options'!$E$6,IF(F27=$I$36,'Configuration options'!$E$7/100,IF(F27=$I$37,'Configuration options'!$E$8/100,IF(F27=$I$38,0.5,1))))</f>
        <v>1</v>
      </c>
      <c r="I27" s="497">
        <f>IF(F27=$I$35,'Configuration options'!$G$6,IF(F27=$I$36,'Configuration options'!$G$7,IF(F27=$I$37,'Configuration options'!$G$8,IF(F27=$I$38,1,3))))</f>
        <v>3</v>
      </c>
      <c r="J27" s="288">
        <f t="shared" si="4"/>
        <v>0</v>
      </c>
      <c r="K27" s="289">
        <f t="shared" si="5"/>
        <v>0</v>
      </c>
      <c r="L27" s="312">
        <f t="shared" si="6"/>
        <v>0</v>
      </c>
      <c r="M27" s="360">
        <f t="shared" si="7"/>
        <v>0</v>
      </c>
    </row>
    <row r="28" spans="1:29" ht="14.25" customHeight="1" thickBot="1" x14ac:dyDescent="0.25">
      <c r="B28" s="419"/>
      <c r="C28" s="547"/>
      <c r="D28" s="298"/>
      <c r="E28" s="17"/>
      <c r="G28" s="223"/>
      <c r="H28" s="379"/>
      <c r="I28" s="380"/>
      <c r="J28" s="381"/>
      <c r="K28" s="381"/>
      <c r="L28" s="381"/>
      <c r="M28" s="381"/>
      <c r="N28" s="316"/>
    </row>
    <row r="29" spans="1:29" ht="12.75" customHeight="1" thickBot="1" x14ac:dyDescent="0.25">
      <c r="A29" s="5" t="str">
        <f>HLOOKUP('Output (1)'!$H$11,Traduções_3,ROW(),FALSE)</f>
        <v xml:space="preserve">Consumo facturado não medido: </v>
      </c>
      <c r="B29" s="422">
        <f>SUM(D22:D27)</f>
        <v>0</v>
      </c>
      <c r="C29" s="546" t="str">
        <f>D5</f>
        <v>m3/ano</v>
      </c>
      <c r="D29" s="350"/>
      <c r="F29" s="220" t="str">
        <f>IF(B29&gt;0,CONCATENATE(H29*100,"-",I29*100," %")," ")</f>
        <v xml:space="preserve"> </v>
      </c>
      <c r="G29" s="225"/>
      <c r="H29" s="312">
        <f>IF(B29&gt;0,IF('Configuration options'!$A$16=1,INT(J29/$B29*100)/100,IF('Configuration options'!$A$16=2,INT(L29/$B29*100)/100,"Erro")),0)</f>
        <v>0</v>
      </c>
      <c r="I29" s="289">
        <f>IF(B29&gt;0,IF('Configuration options'!$A$16=1,INT(K29/$B29*100)/100,IF('Configuration options'!$A$16=2,INT(M29/$B29*100)/100,"Erro")),0)</f>
        <v>0</v>
      </c>
      <c r="J29" s="382">
        <f>J22+J23+J24+J25+J26+J27</f>
        <v>0</v>
      </c>
      <c r="K29" s="382">
        <f>K22+K23+K24+K25+K26+K27</f>
        <v>0</v>
      </c>
      <c r="L29" s="382">
        <f>SQRT(L22^2+L23^2+L24^2+L25^2+L26^2+L27^2)</f>
        <v>0</v>
      </c>
      <c r="M29" s="360">
        <f>SQRT(M22^2+M23^2+M24^2+M25^2+M26^2+M27^2)</f>
        <v>0</v>
      </c>
      <c r="AA29" s="265" t="s">
        <v>479</v>
      </c>
      <c r="AB29" s="265" t="s">
        <v>1029</v>
      </c>
      <c r="AC29" s="265" t="s">
        <v>304</v>
      </c>
    </row>
    <row r="30" spans="1:29" x14ac:dyDescent="0.2">
      <c r="B30" s="419"/>
      <c r="C30" s="17"/>
      <c r="D30" s="298"/>
      <c r="E30" s="17"/>
      <c r="G30" s="227"/>
    </row>
    <row r="31" spans="1:29" ht="15.75" thickBot="1" x14ac:dyDescent="0.3">
      <c r="A31" s="698" t="str">
        <f>HLOOKUP('Output (1)'!$H$11,Traduções_3,ROW(),FALSE)</f>
        <v>Consumo facturado</v>
      </c>
      <c r="B31" s="419"/>
      <c r="C31" s="419"/>
      <c r="D31" s="298"/>
      <c r="E31" s="17"/>
      <c r="G31" s="227"/>
      <c r="AA31" s="351" t="s">
        <v>154</v>
      </c>
      <c r="AB31" s="351" t="s">
        <v>155</v>
      </c>
      <c r="AC31" s="351" t="s">
        <v>154</v>
      </c>
    </row>
    <row r="32" spans="1:29" ht="14.25" customHeight="1" thickBot="1" x14ac:dyDescent="0.25">
      <c r="A32" s="461" t="str">
        <f>HLOOKUP('Output (1)'!$H$11,Traduções_3,ROW(),FALSE)</f>
        <v>(contabilização em termos operacionais)</v>
      </c>
      <c r="B32" s="788">
        <f>B17+B29</f>
        <v>0</v>
      </c>
      <c r="C32" s="790" t="str">
        <f>D5</f>
        <v>m3/ano</v>
      </c>
      <c r="D32" s="298"/>
      <c r="E32" s="17"/>
      <c r="F32" s="220" t="str">
        <f>IF(B32&gt;0,CONCATENATE(H32*100,"-",I32*100," %")," ")</f>
        <v xml:space="preserve"> </v>
      </c>
      <c r="G32" s="225"/>
      <c r="H32" s="312">
        <f>IF(B32&gt;0,IF('Configuration options'!$A$16=1,INT(J32/$B32*100)/100,IF('Configuration options'!$A$16=2,INT(L32/$B32*100)/100,"Erro")),0)</f>
        <v>0</v>
      </c>
      <c r="I32" s="312">
        <f>IF(B32&gt;0,IF('Configuration options'!$A$16=1,INT(K32/$B32*100)/100,IF('Configuration options'!$A$16=2,INT(M32/$B32*100)/100,"Erro")),0)</f>
        <v>0</v>
      </c>
      <c r="J32" s="382">
        <f>J17+J29</f>
        <v>0</v>
      </c>
      <c r="K32" s="312">
        <f>K17+K29</f>
        <v>0</v>
      </c>
      <c r="L32" s="312">
        <f>SQRT(L17^2+L29^2)</f>
        <v>0</v>
      </c>
      <c r="M32" s="360">
        <f>SQRT(M17^2+M29^2)</f>
        <v>0</v>
      </c>
      <c r="AA32" s="265" t="s">
        <v>114</v>
      </c>
      <c r="AB32" s="265" t="s">
        <v>1044</v>
      </c>
      <c r="AC32" s="265" t="s">
        <v>305</v>
      </c>
    </row>
    <row r="33" spans="1:36" ht="13.5" thickBot="1" x14ac:dyDescent="0.25">
      <c r="A33" s="461" t="str">
        <f>HLOOKUP('Output (1)'!$H$11,Traduções_3,ROW(),FALSE)</f>
        <v>(contabilização em termos económico-financeiros)</v>
      </c>
      <c r="B33" s="789"/>
      <c r="C33" s="791" t="b">
        <f>IF('Output (1)'!$H$11=$K$35,$M$35,IF('Output (1)'!$H$11=$K$36,$M$36,IF('Output (1)'!$H$11=$K$37,$M$37)))</f>
        <v>0</v>
      </c>
      <c r="D33" s="298"/>
      <c r="E33" s="17"/>
      <c r="F33" s="463" t="s">
        <v>58</v>
      </c>
      <c r="AA33" s="265" t="s">
        <v>115</v>
      </c>
      <c r="AB33" s="265" t="s">
        <v>1045</v>
      </c>
      <c r="AC33" s="265" t="s">
        <v>306</v>
      </c>
    </row>
    <row r="34" spans="1:36" s="548" customFormat="1" ht="22.5" customHeight="1" x14ac:dyDescent="0.2">
      <c r="B34" s="549"/>
      <c r="D34" s="528"/>
      <c r="H34" s="528"/>
      <c r="I34" s="528"/>
      <c r="J34" s="528"/>
      <c r="K34" s="610"/>
      <c r="L34" s="610"/>
      <c r="M34" s="610"/>
      <c r="N34" s="528"/>
      <c r="O34" s="528"/>
      <c r="P34" s="528"/>
      <c r="Q34" s="528"/>
      <c r="R34" s="528"/>
      <c r="S34" s="528"/>
      <c r="T34" s="528"/>
      <c r="U34" s="528"/>
      <c r="V34" s="528"/>
      <c r="W34" s="528"/>
      <c r="X34" s="528"/>
      <c r="Y34" s="528"/>
      <c r="Z34" s="528"/>
      <c r="AA34" s="528"/>
      <c r="AB34" s="528"/>
      <c r="AC34" s="528"/>
      <c r="AD34" s="528"/>
      <c r="AE34" s="528"/>
      <c r="AF34" s="528"/>
      <c r="AG34" s="528"/>
      <c r="AH34" s="528"/>
      <c r="AI34" s="528"/>
      <c r="AJ34" s="528"/>
    </row>
    <row r="35" spans="1:36" ht="15" customHeight="1" x14ac:dyDescent="0.2">
      <c r="A35" s="22"/>
      <c r="H35" s="498" t="str">
        <f>'Configuration options'!A6</f>
        <v>***</v>
      </c>
      <c r="I35" s="498" t="str">
        <f>'Configuration options'!D6</f>
        <v>0-5%</v>
      </c>
      <c r="J35" s="498" t="str">
        <f>'Configuration options'!J6</f>
        <v>l/s</v>
      </c>
      <c r="K35" s="576"/>
      <c r="L35" s="611"/>
      <c r="M35" s="298"/>
      <c r="Z35" s="265" t="s">
        <v>647</v>
      </c>
      <c r="AA35" s="265" t="s">
        <v>87</v>
      </c>
      <c r="AB35" s="265" t="s">
        <v>388</v>
      </c>
      <c r="AC35" s="265" t="s">
        <v>307</v>
      </c>
    </row>
    <row r="36" spans="1:36" ht="15" customHeight="1" x14ac:dyDescent="0.2">
      <c r="H36" s="498" t="str">
        <f>'Configuration options'!A7</f>
        <v>**</v>
      </c>
      <c r="I36" s="498" t="str">
        <f>'Configuration options'!D7</f>
        <v>6-20%</v>
      </c>
      <c r="J36" s="498" t="str">
        <f>'Configuration options'!J7</f>
        <v>m3/h</v>
      </c>
      <c r="K36" s="576"/>
      <c r="L36" s="586"/>
      <c r="M36" s="298"/>
      <c r="Z36" s="265" t="s">
        <v>648</v>
      </c>
      <c r="AA36" s="265" t="s">
        <v>67</v>
      </c>
      <c r="AB36" s="265" t="s">
        <v>405</v>
      </c>
      <c r="AC36" s="265" t="s">
        <v>790</v>
      </c>
    </row>
    <row r="37" spans="1:36" x14ac:dyDescent="0.2">
      <c r="H37" s="498" t="str">
        <f>'Configuration options'!A8</f>
        <v>*</v>
      </c>
      <c r="I37" s="498" t="str">
        <f>'Configuration options'!D8</f>
        <v>21-50%</v>
      </c>
      <c r="J37" s="498" t="str">
        <f>'Configuration options'!J8</f>
        <v>l/dia</v>
      </c>
      <c r="K37" s="577"/>
      <c r="L37" s="296"/>
      <c r="M37" s="298"/>
      <c r="Z37" s="265" t="s">
        <v>649</v>
      </c>
      <c r="AA37" s="265" t="s">
        <v>8</v>
      </c>
      <c r="AB37" s="265" t="s">
        <v>88</v>
      </c>
      <c r="AC37" s="265" t="s">
        <v>8</v>
      </c>
    </row>
    <row r="38" spans="1:36" x14ac:dyDescent="0.2">
      <c r="H38" s="498"/>
      <c r="I38" s="498" t="str">
        <f>'Configuration options'!D9</f>
        <v>51-100%</v>
      </c>
      <c r="J38" s="498" t="str">
        <f>'Configuration options'!J9</f>
        <v>m3/dia</v>
      </c>
      <c r="K38" s="298"/>
      <c r="L38" s="298"/>
      <c r="M38" s="298"/>
      <c r="Z38" s="265" t="s">
        <v>650</v>
      </c>
      <c r="AA38" s="265" t="s">
        <v>422</v>
      </c>
      <c r="AB38" s="265" t="s">
        <v>893</v>
      </c>
      <c r="AC38" s="265" t="s">
        <v>776</v>
      </c>
    </row>
    <row r="39" spans="1:36" x14ac:dyDescent="0.2">
      <c r="H39" s="498"/>
      <c r="I39" s="498" t="str">
        <f>'Configuration options'!D10</f>
        <v>101-300%</v>
      </c>
      <c r="J39" s="498" t="str">
        <f>'Configuration options'!J10</f>
        <v>m3/mês</v>
      </c>
      <c r="K39" s="298"/>
      <c r="L39" s="298"/>
      <c r="M39" s="298"/>
      <c r="Z39" s="265" t="s">
        <v>651</v>
      </c>
      <c r="AA39" s="265" t="s">
        <v>423</v>
      </c>
      <c r="AB39" s="265" t="s">
        <v>894</v>
      </c>
      <c r="AC39" s="265" t="s">
        <v>729</v>
      </c>
    </row>
    <row r="40" spans="1:36" x14ac:dyDescent="0.2">
      <c r="H40" s="498"/>
      <c r="I40" s="498"/>
      <c r="J40" s="498" t="str">
        <f>'Configuration options'!J11</f>
        <v>m3/ano</v>
      </c>
      <c r="K40" s="298"/>
      <c r="L40" s="298"/>
      <c r="M40" s="298"/>
      <c r="Z40" s="265" t="s">
        <v>652</v>
      </c>
      <c r="AA40" s="265" t="s">
        <v>35</v>
      </c>
      <c r="AB40" s="265" t="s">
        <v>394</v>
      </c>
      <c r="AC40" s="265" t="s">
        <v>789</v>
      </c>
    </row>
    <row r="41" spans="1:36" x14ac:dyDescent="0.2">
      <c r="H41" s="298"/>
      <c r="I41" s="298"/>
      <c r="J41" s="298"/>
      <c r="K41" s="298"/>
      <c r="L41" s="298"/>
      <c r="M41" s="298"/>
    </row>
    <row r="42" spans="1:36" x14ac:dyDescent="0.2">
      <c r="H42" s="298"/>
      <c r="I42" s="576"/>
      <c r="J42" s="298"/>
      <c r="K42" s="298"/>
      <c r="L42" s="298"/>
      <c r="M42" s="296"/>
    </row>
    <row r="43" spans="1:36" x14ac:dyDescent="0.2">
      <c r="H43" s="298"/>
      <c r="I43" s="576"/>
      <c r="J43" s="298"/>
      <c r="K43" s="298"/>
      <c r="L43" s="298"/>
      <c r="M43" s="296"/>
    </row>
    <row r="44" spans="1:36" x14ac:dyDescent="0.2">
      <c r="L44" s="298"/>
      <c r="M44" s="298"/>
      <c r="Z44" s="632" t="s">
        <v>901</v>
      </c>
      <c r="AA44" s="576" t="s">
        <v>912</v>
      </c>
      <c r="AB44" s="631" t="s">
        <v>913</v>
      </c>
      <c r="AC44" s="631" t="s">
        <v>251</v>
      </c>
    </row>
    <row r="45" spans="1:36" s="639" customFormat="1" ht="22.5" x14ac:dyDescent="0.2">
      <c r="D45" s="640"/>
      <c r="H45" s="640"/>
      <c r="I45" s="640"/>
      <c r="J45" s="640"/>
      <c r="K45" s="640"/>
      <c r="L45" s="647"/>
      <c r="M45" s="647"/>
      <c r="N45" s="640"/>
      <c r="O45" s="640"/>
      <c r="P45" s="640"/>
      <c r="Q45" s="640"/>
      <c r="R45" s="640"/>
      <c r="S45" s="640"/>
      <c r="T45" s="640"/>
      <c r="U45" s="640"/>
      <c r="V45" s="640"/>
      <c r="W45" s="640"/>
      <c r="X45" s="640"/>
      <c r="Y45" s="640"/>
      <c r="Z45" s="654" t="s">
        <v>922</v>
      </c>
      <c r="AA45" s="656" t="s">
        <v>924</v>
      </c>
      <c r="AB45" s="656" t="s">
        <v>264</v>
      </c>
      <c r="AC45" s="656" t="s">
        <v>308</v>
      </c>
      <c r="AD45" s="640"/>
      <c r="AE45" s="640"/>
      <c r="AF45" s="640"/>
      <c r="AG45" s="640"/>
      <c r="AH45" s="640"/>
      <c r="AI45" s="640"/>
      <c r="AJ45" s="640"/>
    </row>
    <row r="46" spans="1:36" s="639" customFormat="1" x14ac:dyDescent="0.2">
      <c r="D46" s="640"/>
      <c r="H46" s="640"/>
      <c r="I46" s="640"/>
      <c r="J46" s="640"/>
      <c r="K46" s="640"/>
      <c r="L46" s="640"/>
      <c r="M46" s="640"/>
      <c r="N46" s="640"/>
      <c r="O46" s="640"/>
      <c r="P46" s="640"/>
      <c r="Q46" s="640"/>
      <c r="R46" s="640"/>
      <c r="S46" s="640"/>
      <c r="T46" s="640"/>
      <c r="U46" s="640"/>
      <c r="V46" s="640"/>
      <c r="W46" s="640"/>
      <c r="X46" s="640"/>
      <c r="Y46" s="640"/>
      <c r="Z46" s="651" t="s">
        <v>923</v>
      </c>
      <c r="AA46" s="655" t="s">
        <v>925</v>
      </c>
      <c r="AB46" s="655" t="s">
        <v>265</v>
      </c>
      <c r="AC46" s="655" t="s">
        <v>309</v>
      </c>
      <c r="AD46" s="640"/>
      <c r="AE46" s="640"/>
      <c r="AF46" s="640"/>
      <c r="AG46" s="640"/>
      <c r="AH46" s="640"/>
      <c r="AI46" s="640"/>
      <c r="AJ46" s="640"/>
    </row>
    <row r="47" spans="1:36" x14ac:dyDescent="0.2">
      <c r="Z47" s="653" t="s">
        <v>926</v>
      </c>
    </row>
    <row r="48" spans="1:36" s="639" customFormat="1" x14ac:dyDescent="0.2">
      <c r="D48" s="640"/>
      <c r="H48" s="640"/>
      <c r="I48" s="640"/>
      <c r="J48" s="640"/>
      <c r="K48" s="640"/>
      <c r="L48" s="640"/>
      <c r="M48" s="640"/>
      <c r="N48" s="640"/>
      <c r="O48" s="640"/>
      <c r="P48" s="640"/>
      <c r="Q48" s="640"/>
      <c r="R48" s="640"/>
      <c r="S48" s="640"/>
      <c r="T48" s="640"/>
      <c r="U48" s="640"/>
      <c r="V48" s="640"/>
      <c r="W48" s="640"/>
      <c r="X48" s="640"/>
      <c r="Y48" s="640"/>
      <c r="Z48" s="651" t="s">
        <v>902</v>
      </c>
      <c r="AA48" s="655" t="s">
        <v>928</v>
      </c>
      <c r="AB48" s="655" t="s">
        <v>266</v>
      </c>
      <c r="AC48" s="655" t="s">
        <v>310</v>
      </c>
      <c r="AD48" s="640"/>
      <c r="AE48" s="640"/>
      <c r="AF48" s="640"/>
      <c r="AG48" s="640"/>
      <c r="AH48" s="640"/>
      <c r="AI48" s="640"/>
      <c r="AJ48" s="640"/>
    </row>
    <row r="49" spans="4:36" s="639" customFormat="1" x14ac:dyDescent="0.2">
      <c r="D49" s="640"/>
      <c r="H49" s="640"/>
      <c r="I49" s="640"/>
      <c r="J49" s="640"/>
      <c r="K49" s="640"/>
      <c r="L49" s="640"/>
      <c r="M49" s="640"/>
      <c r="N49" s="640"/>
      <c r="O49" s="640"/>
      <c r="P49" s="640"/>
      <c r="Q49" s="640"/>
      <c r="R49" s="640"/>
      <c r="S49" s="640"/>
      <c r="T49" s="640"/>
      <c r="U49" s="640"/>
      <c r="V49" s="640"/>
      <c r="W49" s="640"/>
      <c r="X49" s="640"/>
      <c r="Y49" s="640"/>
      <c r="Z49" s="651" t="s">
        <v>927</v>
      </c>
      <c r="AA49" s="655" t="s">
        <v>929</v>
      </c>
      <c r="AB49" s="655" t="s">
        <v>267</v>
      </c>
      <c r="AC49" s="655" t="s">
        <v>311</v>
      </c>
      <c r="AD49" s="640"/>
      <c r="AE49" s="640"/>
      <c r="AF49" s="640"/>
      <c r="AG49" s="640"/>
      <c r="AH49" s="640"/>
      <c r="AI49" s="640"/>
      <c r="AJ49" s="640"/>
    </row>
    <row r="50" spans="4:36" s="639" customFormat="1" x14ac:dyDescent="0.2">
      <c r="D50" s="640"/>
      <c r="H50" s="640"/>
      <c r="I50" s="640"/>
      <c r="J50" s="640"/>
      <c r="K50" s="640"/>
      <c r="L50" s="640"/>
      <c r="M50" s="640"/>
      <c r="N50" s="640"/>
      <c r="O50" s="640"/>
      <c r="P50" s="640"/>
      <c r="Q50" s="640"/>
      <c r="R50" s="640"/>
      <c r="S50" s="640"/>
      <c r="T50" s="640"/>
      <c r="U50" s="640"/>
      <c r="V50" s="640"/>
      <c r="W50" s="640"/>
      <c r="X50" s="640"/>
      <c r="Y50" s="640"/>
      <c r="Z50" s="651" t="s">
        <v>899</v>
      </c>
      <c r="AA50" s="655" t="s">
        <v>925</v>
      </c>
      <c r="AB50" s="655" t="s">
        <v>268</v>
      </c>
      <c r="AC50" s="655" t="s">
        <v>312</v>
      </c>
      <c r="AD50" s="640"/>
      <c r="AE50" s="640"/>
      <c r="AF50" s="640"/>
      <c r="AG50" s="640"/>
      <c r="AH50" s="640"/>
      <c r="AI50" s="640"/>
      <c r="AJ50" s="640"/>
    </row>
    <row r="51" spans="4:36" s="639" customFormat="1" ht="22.5" x14ac:dyDescent="0.2">
      <c r="D51" s="640"/>
      <c r="H51" s="640"/>
      <c r="I51" s="640"/>
      <c r="J51" s="640"/>
      <c r="K51" s="640"/>
      <c r="L51" s="640"/>
      <c r="M51" s="640"/>
      <c r="N51" s="640"/>
      <c r="O51" s="640"/>
      <c r="P51" s="640"/>
      <c r="Q51" s="640"/>
      <c r="R51" s="640"/>
      <c r="S51" s="640"/>
      <c r="T51" s="640"/>
      <c r="U51" s="640"/>
      <c r="V51" s="640"/>
      <c r="W51" s="640"/>
      <c r="X51" s="640"/>
      <c r="Y51" s="640"/>
      <c r="Z51" s="651" t="s">
        <v>930</v>
      </c>
      <c r="AA51" s="655" t="s">
        <v>269</v>
      </c>
      <c r="AB51" s="655" t="s">
        <v>270</v>
      </c>
      <c r="AC51" s="655" t="s">
        <v>313</v>
      </c>
      <c r="AD51" s="640"/>
      <c r="AE51" s="640"/>
      <c r="AF51" s="640"/>
      <c r="AG51" s="640"/>
      <c r="AH51" s="640"/>
      <c r="AI51" s="640"/>
      <c r="AJ51" s="640"/>
    </row>
    <row r="52" spans="4:36" s="639" customFormat="1" ht="22.5" x14ac:dyDescent="0.2">
      <c r="D52" s="640"/>
      <c r="H52" s="640"/>
      <c r="I52" s="640"/>
      <c r="J52" s="640"/>
      <c r="K52" s="640"/>
      <c r="L52" s="640"/>
      <c r="M52" s="640"/>
      <c r="N52" s="640"/>
      <c r="O52" s="640"/>
      <c r="P52" s="640"/>
      <c r="Q52" s="640"/>
      <c r="R52" s="640"/>
      <c r="S52" s="640"/>
      <c r="T52" s="640"/>
      <c r="U52" s="640"/>
      <c r="V52" s="640"/>
      <c r="W52" s="640"/>
      <c r="X52" s="640"/>
      <c r="Y52" s="640"/>
      <c r="Z52" s="651" t="s">
        <v>932</v>
      </c>
      <c r="AA52" s="655" t="s">
        <v>933</v>
      </c>
      <c r="AB52" s="655" t="s">
        <v>262</v>
      </c>
      <c r="AC52" s="655" t="s">
        <v>314</v>
      </c>
      <c r="AD52" s="640"/>
      <c r="AE52" s="640"/>
      <c r="AF52" s="640"/>
      <c r="AG52" s="640"/>
      <c r="AH52" s="640"/>
      <c r="AI52" s="640"/>
      <c r="AJ52" s="640"/>
    </row>
    <row r="53" spans="4:36" x14ac:dyDescent="0.2">
      <c r="Z53" s="651" t="s">
        <v>931</v>
      </c>
      <c r="AA53" s="655" t="s">
        <v>895</v>
      </c>
      <c r="AB53" s="633" t="s">
        <v>402</v>
      </c>
      <c r="AC53" s="633" t="s">
        <v>315</v>
      </c>
    </row>
    <row r="54" spans="4:36" s="639" customFormat="1" ht="22.5" x14ac:dyDescent="0.2">
      <c r="D54" s="640"/>
      <c r="H54" s="640"/>
      <c r="I54" s="640"/>
      <c r="J54" s="640"/>
      <c r="K54" s="640"/>
      <c r="L54" s="640"/>
      <c r="M54" s="640"/>
      <c r="N54" s="640"/>
      <c r="O54" s="640"/>
      <c r="P54" s="640"/>
      <c r="Q54" s="640"/>
      <c r="R54" s="640"/>
      <c r="S54" s="640"/>
      <c r="T54" s="640"/>
      <c r="U54" s="640"/>
      <c r="V54" s="640"/>
      <c r="W54" s="640"/>
      <c r="X54" s="640"/>
      <c r="Y54" s="640"/>
      <c r="Z54" s="651" t="s">
        <v>934</v>
      </c>
      <c r="AA54" s="655" t="s">
        <v>271</v>
      </c>
      <c r="AB54" s="655" t="s">
        <v>272</v>
      </c>
      <c r="AC54" s="655" t="s">
        <v>316</v>
      </c>
      <c r="AD54" s="640"/>
      <c r="AE54" s="640"/>
      <c r="AF54" s="640"/>
      <c r="AG54" s="640"/>
      <c r="AH54" s="640"/>
      <c r="AI54" s="640"/>
      <c r="AJ54" s="640"/>
    </row>
  </sheetData>
  <sheetProtection sheet="1" objects="1" scenarios="1"/>
  <mergeCells count="5">
    <mergeCell ref="G26:G27"/>
    <mergeCell ref="G5:G12"/>
    <mergeCell ref="G13:G15"/>
    <mergeCell ref="B32:B33"/>
    <mergeCell ref="C32:C33"/>
  </mergeCells>
  <phoneticPr fontId="8" type="noConversion"/>
  <dataValidations count="3">
    <dataValidation type="list" allowBlank="1" showInputMessage="1" showErrorMessage="1" sqref="E6:E12 E14:E15 E22:E27" xr:uid="{00000000-0002-0000-0700-000000000000}">
      <formula1>$H$35:$H$37</formula1>
    </dataValidation>
    <dataValidation type="list" allowBlank="1" showInputMessage="1" showErrorMessage="1" sqref="F6:F12 F14:F15 F22:F27" xr:uid="{00000000-0002-0000-0700-000001000000}">
      <formula1>$I$35:$I$39</formula1>
    </dataValidation>
    <dataValidation type="list" allowBlank="1" showInputMessage="1" showErrorMessage="1" sqref="C6:C12 C14:C15 C22:C27" xr:uid="{00000000-0002-0000-0700-000002000000}">
      <formula1>$J$34:$J$40</formula1>
    </dataValidation>
  </dataValidations>
  <pageMargins left="0.75" right="0.75" top="1" bottom="1" header="0.5" footer="0.5"/>
  <pageSetup paperSize="9" orientation="portrait"/>
  <headerFooter alignWithMargins="0"/>
  <ignoredErrors>
    <ignoredError sqref="A6 A7:A10" unlockedFormula="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44"/>
  </sheetPr>
  <dimension ref="A1:AJ62"/>
  <sheetViews>
    <sheetView showRowColHeaders="0" topLeftCell="A22" zoomScale="125" zoomScaleNormal="125" zoomScalePageLayoutView="125" workbookViewId="0">
      <selection activeCell="B33" sqref="B33:B35"/>
    </sheetView>
  </sheetViews>
  <sheetFormatPr defaultColWidth="8.85546875" defaultRowHeight="12.75" x14ac:dyDescent="0.2"/>
  <cols>
    <col min="1" max="1" width="74.7109375" customWidth="1"/>
    <col min="2" max="2" width="11.42578125" customWidth="1"/>
    <col min="3" max="3" width="11.140625" customWidth="1"/>
    <col min="4" max="4" width="9.42578125" style="265" hidden="1" customWidth="1"/>
    <col min="5" max="5" width="11.28515625" bestFit="1" customWidth="1"/>
    <col min="6" max="6" width="9.7109375" style="130" customWidth="1"/>
    <col min="7" max="7" width="35.140625" customWidth="1"/>
    <col min="8" max="8" width="15.28515625" style="265" hidden="1" customWidth="1"/>
    <col min="9" max="9" width="14.42578125" style="265" hidden="1" customWidth="1"/>
    <col min="10" max="10" width="14" style="265" hidden="1" customWidth="1"/>
    <col min="11" max="12" width="10.85546875" style="265" hidden="1" customWidth="1"/>
    <col min="13" max="13" width="12.28515625" style="265" hidden="1" customWidth="1"/>
    <col min="14" max="26" width="9.140625" style="265" hidden="1" customWidth="1"/>
    <col min="27" max="27" width="61.42578125" style="265" hidden="1" customWidth="1"/>
    <col min="28" max="29" width="59.85546875" style="265" hidden="1" customWidth="1"/>
    <col min="30" max="36" width="9.140625" style="265" hidden="1" customWidth="1"/>
  </cols>
  <sheetData>
    <row r="1" spans="1:29" ht="48.75" customHeight="1" x14ac:dyDescent="0.2">
      <c r="Z1" s="265" t="str">
        <f>'Output (1)'!H11</f>
        <v>Português</v>
      </c>
      <c r="AA1" s="661" t="str">
        <f>'Output (1)'!AA1</f>
        <v>Português</v>
      </c>
      <c r="AB1" s="661" t="str">
        <f>'Output (1)'!AB1</f>
        <v>English</v>
      </c>
      <c r="AC1" s="661" t="str">
        <f>'Output (1)'!AC1</f>
        <v>Español</v>
      </c>
    </row>
    <row r="2" spans="1:29" ht="16.5" thickBot="1" x14ac:dyDescent="0.3">
      <c r="A2" s="7" t="str">
        <f>HLOOKUP('Output (1)'!$H$11,Traduções_4,ROW(),FALSE)</f>
        <v>CÁLCULO DO CONSUMO AUTORIZADO NÃO FACTURADO</v>
      </c>
      <c r="AA2" s="596" t="s">
        <v>482</v>
      </c>
      <c r="AB2" s="596" t="s">
        <v>1032</v>
      </c>
      <c r="AC2" s="596" t="s">
        <v>317</v>
      </c>
    </row>
    <row r="3" spans="1:29" ht="26.25" thickBot="1" x14ac:dyDescent="0.25">
      <c r="A3" s="1" t="str">
        <f>HLOOKUP('Output (1)'!$H$11,Traduções_4,ROW(),FALSE)</f>
        <v>CÁLCULO DO CONSUMO AUTORIZADO NÃO FACTURADO MEDIDO</v>
      </c>
      <c r="C3" s="558" t="str">
        <f>HLOOKUP('Output (1)'!$H$11,Traduções_4,45,FALSE)</f>
        <v>Escolha unidades</v>
      </c>
      <c r="D3" s="346" t="str">
        <f>HLOOKUP('Output (1)'!$H$11,Traduções_4,47,FALSE)</f>
        <v>Valor
(m3/ano)</v>
      </c>
      <c r="E3" s="105" t="str">
        <f>HLOOKUP('Output (1)'!$H$11,Traduções_4,48,FALSE)</f>
        <v>Fiabilidade</v>
      </c>
      <c r="F3" s="131" t="str">
        <f>HLOOKUP('Output (1)'!$H$11,Traduções_4,49,FALSE)</f>
        <v>Exactidão</v>
      </c>
      <c r="G3" s="106" t="str">
        <f>HLOOKUP('Output (1)'!$H$11,Traduções_4,50,FALSE)</f>
        <v>Observações</v>
      </c>
      <c r="H3" s="266" t="s">
        <v>6</v>
      </c>
      <c r="I3" s="267" t="s">
        <v>560</v>
      </c>
      <c r="J3" s="268" t="s">
        <v>556</v>
      </c>
      <c r="K3" s="269" t="s">
        <v>555</v>
      </c>
      <c r="L3" s="270" t="s">
        <v>557</v>
      </c>
      <c r="M3" s="271" t="s">
        <v>558</v>
      </c>
      <c r="AA3" s="596" t="s">
        <v>483</v>
      </c>
      <c r="AB3" s="596" t="s">
        <v>1033</v>
      </c>
      <c r="AC3" s="596" t="s">
        <v>318</v>
      </c>
    </row>
    <row r="4" spans="1:29" ht="25.5" customHeight="1" thickBot="1" x14ac:dyDescent="0.25">
      <c r="A4" s="3" t="str">
        <f>HLOOKUP('Output (1)'!$H$11,Traduções_4,ROW(),FALSE)</f>
        <v>Distribuição directa (não facturada medida):</v>
      </c>
      <c r="B4" s="424">
        <f>SUM(D5:D9)</f>
        <v>0</v>
      </c>
      <c r="C4" s="550" t="str">
        <f>HLOOKUP('Output (1)'!$H$11,Traduções_4,46,FALSE)</f>
        <v>m3/ano</v>
      </c>
      <c r="D4" s="559"/>
      <c r="E4" s="9"/>
      <c r="F4" s="510" t="str">
        <f>IF(B4&gt;0,CONCATENATE(H4*100,"-",I4*100," %")," ")</f>
        <v xml:space="preserve"> </v>
      </c>
      <c r="G4" s="775"/>
      <c r="H4" s="366" t="e">
        <f>IF('Configuration options'!$A$16=1,INT(J4/$B4*100)/100,IF('Configuration options'!$A$16=2,INT(L4/$B4*100)/100,"Erro"))</f>
        <v>#DIV/0!</v>
      </c>
      <c r="I4" s="321" t="e">
        <f>IF('Configuration options'!$A$16=1,INT(K4/$B4*100)/100,IF('Configuration options'!$A$16=2,INT(M4/$B4*100)/100,"Erro"))</f>
        <v>#DIV/0!</v>
      </c>
      <c r="J4" s="367">
        <f>SUM(J5:J9)</f>
        <v>0</v>
      </c>
      <c r="K4" s="321">
        <f>SUM(K5:K9)</f>
        <v>0</v>
      </c>
      <c r="L4" s="366">
        <f>SQRT(L5^2+L6^2+L7^2+L8^2+L9^2)</f>
        <v>0</v>
      </c>
      <c r="M4" s="301">
        <f>SQRT(M5^2+M6^2+M7^2+M8^2+M9^2)</f>
        <v>0</v>
      </c>
      <c r="AA4" s="596" t="s">
        <v>653</v>
      </c>
      <c r="AB4" s="596" t="s">
        <v>396</v>
      </c>
      <c r="AC4" s="596" t="s">
        <v>319</v>
      </c>
    </row>
    <row r="5" spans="1:29" ht="15" customHeight="1" thickBot="1" x14ac:dyDescent="0.25">
      <c r="A5" s="188" t="str">
        <f>HLOOKUP('Output (1)'!$H$11,Traduções_4,ROW(),FALSE)</f>
        <v xml:space="preserve">  Consumo público</v>
      </c>
      <c r="B5" s="538"/>
      <c r="C5" s="544" t="s">
        <v>67</v>
      </c>
      <c r="D5" s="349">
        <f>IF(C5=$J$46,'Configuration options'!$K$6,IF(C5=$J$47,'Configuration options'!$K$7,IF(C5=$J$48,'Configuration options'!$K$8,IF(C5=$J$49,'Configuration options'!$K$9,IF(C5=$J$50,'Configuration options'!$K$10,IF(C5=$J$51,'Configuration options'!$K$11,0))))))*B5</f>
        <v>0</v>
      </c>
      <c r="E5" s="509" t="s">
        <v>426</v>
      </c>
      <c r="F5" s="509" t="s">
        <v>58</v>
      </c>
      <c r="G5" s="776"/>
      <c r="H5" s="353">
        <f>IF(F5=$I$46,'Configuration options'!$E$6,IF(F5=$I$47,'Configuration options'!$E$7/100,IF(F5=$I$48,'Configuration options'!$E$8/100,IF(F5=$I$49,'Configuration options'!$E$9/100,IF(F5=$I$50,'Configuration options'!$E$10/100,"erro")))))</f>
        <v>0</v>
      </c>
      <c r="I5" s="354">
        <f>IF(F5=$I$46,'Configuration options'!$G$6,IF(F5=$I$47,'Configuration options'!$G$7,IF(F5=$I$48,'Configuration options'!$G$8,IF(F5=$I$49,'Configuration options'!$G$9,IF(F5=$I$50,'Configuration options'!$G$10,"erro")))))</f>
        <v>0.05</v>
      </c>
      <c r="J5" s="355">
        <f>H5*D5</f>
        <v>0</v>
      </c>
      <c r="K5" s="356">
        <f>I5*D5</f>
        <v>0</v>
      </c>
      <c r="L5" s="319">
        <f>H5*D5</f>
        <v>0</v>
      </c>
      <c r="M5" s="308">
        <f>I5*D5</f>
        <v>0</v>
      </c>
      <c r="AA5" s="596" t="s">
        <v>464</v>
      </c>
      <c r="AB5" s="596" t="s">
        <v>1024</v>
      </c>
      <c r="AC5" s="596" t="s">
        <v>291</v>
      </c>
    </row>
    <row r="6" spans="1:29" ht="15" customHeight="1" thickBot="1" x14ac:dyDescent="0.25">
      <c r="A6" s="188" t="str">
        <f>HLOOKUP('Output (1)'!$H$11,Traduções_4,ROW(),FALSE)</f>
        <v xml:space="preserve">  Consumo próprio da entidade (medido)</v>
      </c>
      <c r="B6" s="542"/>
      <c r="C6" s="544" t="s">
        <v>67</v>
      </c>
      <c r="D6" s="349">
        <f>IF(C6=$J$46,'Configuration options'!$K$6,IF(C6=$J$47,'Configuration options'!$K$7,IF(C6=$J$48,'Configuration options'!$K$8,IF(C6=$J$49,'Configuration options'!$K$9,IF(C6=$J$50,'Configuration options'!$K$10,IF(C6=$J$51,'Configuration options'!$K$11,0))))))*B6</f>
        <v>0</v>
      </c>
      <c r="E6" s="509" t="s">
        <v>426</v>
      </c>
      <c r="F6" s="735" t="s">
        <v>58</v>
      </c>
      <c r="G6" s="776"/>
      <c r="H6" s="353">
        <f>IF(F6=$I$46,'Configuration options'!$E$6,IF(F6=$I$47,'Configuration options'!$E$7/100,IF(F6=$I$48,'Configuration options'!$E$8/100,IF(F6=$I$49,'Configuration options'!$E$9/100,IF(F6=$I$50,'Configuration options'!$E$10/100,"erro")))))</f>
        <v>0</v>
      </c>
      <c r="I6" s="354">
        <f>IF(F6=$I$46,'Configuration options'!$G$6,IF(F6=$I$47,'Configuration options'!$G$7,IF(F6=$I$48,'Configuration options'!$G$8,IF(F6=$I$49,'Configuration options'!$G$9,IF(F6=$I$50,'Configuration options'!$G$10,"erro")))))</f>
        <v>0.05</v>
      </c>
      <c r="J6" s="327">
        <f>H6*D6</f>
        <v>0</v>
      </c>
      <c r="K6" s="328">
        <f>I6*D6</f>
        <v>0</v>
      </c>
      <c r="L6" s="319">
        <f>H6*D6</f>
        <v>0</v>
      </c>
      <c r="M6" s="308">
        <f>I6*D6</f>
        <v>0</v>
      </c>
      <c r="AA6" s="596" t="s">
        <v>476</v>
      </c>
      <c r="AB6" s="596" t="s">
        <v>134</v>
      </c>
      <c r="AC6" s="596" t="s">
        <v>320</v>
      </c>
    </row>
    <row r="7" spans="1:29" ht="15" customHeight="1" thickBot="1" x14ac:dyDescent="0.25">
      <c r="A7" s="188" t="str">
        <f>HLOOKUP('Output (1)'!$H$11,Traduções_4,ROW(),FALSE)</f>
        <v xml:space="preserve">  Combate a incêndio</v>
      </c>
      <c r="B7" s="542">
        <v>0</v>
      </c>
      <c r="C7" s="544" t="s">
        <v>67</v>
      </c>
      <c r="D7" s="349">
        <f>IF(C7=$J$46,'Configuration options'!$K$6,IF(C7=$J$47,'Configuration options'!$K$7,IF(C7=$J$48,'Configuration options'!$K$8,IF(C7=$J$49,'Configuration options'!$K$9,IF(C7=$J$50,'Configuration options'!$K$10,IF(C7=$J$51,'Configuration options'!$K$11,0))))))*B7</f>
        <v>0</v>
      </c>
      <c r="E7" s="509" t="s">
        <v>426</v>
      </c>
      <c r="F7" s="509" t="s">
        <v>58</v>
      </c>
      <c r="G7" s="776"/>
      <c r="H7" s="353">
        <f>IF(F7=$I$46,'Configuration options'!$E$6,IF(F7=$I$47,'Configuration options'!$E$7/100,IF(F7=$I$48,'Configuration options'!$E$8/100,IF(F7=$I$49,'Configuration options'!$E$9/100,IF(F7=$I$50,'Configuration options'!$E$10/100,"erro")))))</f>
        <v>0</v>
      </c>
      <c r="I7" s="354">
        <f>IF(F7=$I$46,'Configuration options'!$G$6,IF(F7=$I$47,'Configuration options'!$G$7,IF(F7=$I$48,'Configuration options'!$G$8,IF(F7=$I$49,'Configuration options'!$G$9,IF(F7=$I$50,'Configuration options'!$G$10,"erro")))))</f>
        <v>0.05</v>
      </c>
      <c r="J7" s="327">
        <f>H7*D7</f>
        <v>0</v>
      </c>
      <c r="K7" s="328">
        <f>I7*D7</f>
        <v>0</v>
      </c>
      <c r="L7" s="319">
        <f>H7*D7</f>
        <v>0</v>
      </c>
      <c r="M7" s="308">
        <f>I7*D7</f>
        <v>0</v>
      </c>
      <c r="AA7" s="596" t="s">
        <v>28</v>
      </c>
      <c r="AB7" s="596" t="s">
        <v>133</v>
      </c>
      <c r="AC7" s="596" t="s">
        <v>321</v>
      </c>
    </row>
    <row r="8" spans="1:29" ht="15" customHeight="1" thickBot="1" x14ac:dyDescent="0.25">
      <c r="A8" s="47"/>
      <c r="B8" s="538"/>
      <c r="C8" s="544"/>
      <c r="D8" s="349">
        <f>IF(C8=$J$46,'Configuration options'!$K$6,IF(C8=$J$47,'Configuration options'!$K$7,IF(C8=$J$48,'Configuration options'!$K$8,IF(C8=$J$49,'Configuration options'!$K$9,IF(C8=$J$50,'Configuration options'!$K$10,IF(C8=$J$51,'Configuration options'!$K$11,0))))))*B8</f>
        <v>0</v>
      </c>
      <c r="E8" s="509" t="s">
        <v>424</v>
      </c>
      <c r="F8" s="509" t="s">
        <v>58</v>
      </c>
      <c r="G8" s="798"/>
      <c r="H8" s="353">
        <f>IF(F8=$I$46,'Configuration options'!$E$6,IF(F8=$I$47,'Configuration options'!$E$7/100,IF(F8=$I$48,'Configuration options'!$E$8/100,IF(F8=$I$49,'Configuration options'!$E$9/100,IF(F8=$I$50,'Configuration options'!$E$10/100,"erro")))))</f>
        <v>0</v>
      </c>
      <c r="I8" s="354">
        <f>IF(F8=$I$46,'Configuration options'!$G$6,IF(F8=$I$47,'Configuration options'!$G$7,IF(F8=$I$48,'Configuration options'!$G$8,IF(F8=$I$49,'Configuration options'!$G$9,IF(F8=$I$50,'Configuration options'!$G$10,"erro")))))</f>
        <v>0.05</v>
      </c>
      <c r="J8" s="327">
        <f>H8*D8</f>
        <v>0</v>
      </c>
      <c r="K8" s="328">
        <f>I8*D8</f>
        <v>0</v>
      </c>
      <c r="L8" s="319">
        <f>H8*D8</f>
        <v>0</v>
      </c>
      <c r="M8" s="308">
        <f>I8*D8</f>
        <v>0</v>
      </c>
      <c r="AA8" s="596"/>
      <c r="AB8" s="596"/>
      <c r="AC8" s="596"/>
    </row>
    <row r="9" spans="1:29" ht="15" customHeight="1" thickBot="1" x14ac:dyDescent="0.25">
      <c r="A9" s="47"/>
      <c r="B9" s="538"/>
      <c r="C9" s="544"/>
      <c r="D9" s="349">
        <f>IF(C9=$J$46,'Configuration options'!$K$6,IF(C9=$J$47,'Configuration options'!$K$7,IF(C9=$J$48,'Configuration options'!$K$8,IF(C9=$J$49,'Configuration options'!$K$9,IF(C9=$J$50,'Configuration options'!$K$10,IF(C9=$J$51,'Configuration options'!$K$11,0))))))*B9</f>
        <v>0</v>
      </c>
      <c r="E9" s="509" t="s">
        <v>424</v>
      </c>
      <c r="F9" s="509" t="s">
        <v>58</v>
      </c>
      <c r="G9" s="799"/>
      <c r="H9" s="353">
        <f>IF(F9=$I$46,'Configuration options'!$E$6,IF(F9=$I$47,'Configuration options'!$E$7/100,IF(F9=$I$48,'Configuration options'!$E$8/100,IF(F9=$I$49,'Configuration options'!$E$9/100,IF(F9=$I$50,'Configuration options'!$E$10/100,"erro")))))</f>
        <v>0</v>
      </c>
      <c r="I9" s="354">
        <f>IF(F9=$I$46,'Configuration options'!$G$6,IF(F9=$I$47,'Configuration options'!$G$7,IF(F9=$I$48,'Configuration options'!$G$8,IF(F9=$I$49,'Configuration options'!$G$9,IF(F9=$I$50,'Configuration options'!$G$10,"erro")))))</f>
        <v>0.05</v>
      </c>
      <c r="J9" s="327">
        <f>H9*D9</f>
        <v>0</v>
      </c>
      <c r="K9" s="328">
        <f>I9*D9</f>
        <v>0</v>
      </c>
      <c r="L9" s="319">
        <f>H9*D9</f>
        <v>0</v>
      </c>
      <c r="M9" s="308">
        <f>I9*D9</f>
        <v>0</v>
      </c>
      <c r="AA9" s="596"/>
      <c r="AB9" s="596"/>
      <c r="AC9" s="596"/>
    </row>
    <row r="10" spans="1:29" ht="25.5" customHeight="1" x14ac:dyDescent="0.2">
      <c r="A10" s="35" t="str">
        <f>HLOOKUP('Output (1)'!$H$11,Traduções_4,ROW(),FALSE)</f>
        <v>Água exportada (não facturada medida):</v>
      </c>
      <c r="B10" s="424">
        <f>SUM(D11:D12)</f>
        <v>0</v>
      </c>
      <c r="C10" s="551" t="str">
        <f>C4</f>
        <v>m3/ano</v>
      </c>
      <c r="D10" s="298"/>
      <c r="E10" s="2"/>
      <c r="F10" s="512" t="str">
        <f>IF(B10&gt;0,CONCATENATE(H10*100,"-",I10*100," %")," ")</f>
        <v xml:space="preserve"> </v>
      </c>
      <c r="G10" s="775"/>
      <c r="H10" s="366">
        <f>IF(B10&gt;0,IF('Configuration options'!$A$16=1,INT(J10/$B10*100)/100,IF('Configuration options'!$A$16=2,INT(L10/$B10*100)/100,"Erro")),0)</f>
        <v>0</v>
      </c>
      <c r="I10" s="321">
        <f>IF(B10&gt;0,IF('Configuration options'!$A$16=1,INT(K10/$B10*100)/100,IF('Configuration options'!$A$16=2,INT(M10/$B10*100)/100,"Erro")),0)</f>
        <v>0</v>
      </c>
      <c r="J10" s="367">
        <f>SUM(J11:J12)</f>
        <v>0</v>
      </c>
      <c r="K10" s="321">
        <f>SUM(K11:K12)</f>
        <v>0</v>
      </c>
      <c r="L10" s="366">
        <f>SQRT(L11^2+L12^2)</f>
        <v>0</v>
      </c>
      <c r="M10" s="301">
        <f>SQRT(M11^2+M12^2)</f>
        <v>0</v>
      </c>
      <c r="AA10" s="596" t="s">
        <v>664</v>
      </c>
      <c r="AB10" s="596" t="s">
        <v>1049</v>
      </c>
      <c r="AC10" s="596" t="s">
        <v>322</v>
      </c>
    </row>
    <row r="11" spans="1:29" ht="15" customHeight="1" x14ac:dyDescent="0.2">
      <c r="A11" s="37" t="str">
        <f>HLOOKUP('Output (1)'!$H$11,Traduções_4,ROW(),FALSE)</f>
        <v xml:space="preserve">  Água transferida para outros sistemas da mesma entidade </v>
      </c>
      <c r="B11" s="421">
        <v>0</v>
      </c>
      <c r="C11" s="186" t="s">
        <v>67</v>
      </c>
      <c r="D11" s="349">
        <f>IF(C11=$J$46,'Configuration options'!$K$6,IF(C11=$J$47,'Configuration options'!$K$7,IF(C11=$J$48,'Configuration options'!$K$8,IF(C11=$J$49,'Configuration options'!$K$9,IF(C11=$J$50,'Configuration options'!$K$10,IF(C11=$J$51,'Configuration options'!$K$11,0))))))*B11</f>
        <v>0</v>
      </c>
      <c r="E11" s="509" t="s">
        <v>426</v>
      </c>
      <c r="F11" s="509" t="s">
        <v>58</v>
      </c>
      <c r="G11" s="796"/>
      <c r="H11" s="353">
        <f>IF(F11=$I$46,'Configuration options'!$E$6,IF(F11=$I$47,'Configuration options'!$E$7/100,IF(F11=$I$48,'Configuration options'!$E$8/100,IF(F11=$I$49,'Configuration options'!$E$9/100,IF(F11=$I$50,'Configuration options'!$E$10/100,"erro")))))</f>
        <v>0</v>
      </c>
      <c r="I11" s="354">
        <f>IF(F11=$I$46,'Configuration options'!$G$6,IF(F11=$I$47,'Configuration options'!$G$7,IF(F11=$I$48,'Configuration options'!$G$8,IF(F11=$I$49,'Configuration options'!$G$9,IF(F11=$I$50,'Configuration options'!$G$10,"erro")))))</f>
        <v>0.05</v>
      </c>
      <c r="J11" s="355">
        <f>H11*D11</f>
        <v>0</v>
      </c>
      <c r="K11" s="356">
        <f>I11*D11</f>
        <v>0</v>
      </c>
      <c r="L11" s="355">
        <f>H11*D11</f>
        <v>0</v>
      </c>
      <c r="M11" s="375">
        <f>I11*D11</f>
        <v>0</v>
      </c>
      <c r="AA11" s="596" t="s">
        <v>559</v>
      </c>
      <c r="AB11" s="596" t="s">
        <v>174</v>
      </c>
      <c r="AC11" s="596" t="s">
        <v>323</v>
      </c>
    </row>
    <row r="12" spans="1:29" ht="15" customHeight="1" thickBot="1" x14ac:dyDescent="0.25">
      <c r="A12" s="34" t="str">
        <f>HLOOKUP('Output (1)'!$H$11,Traduções_4,ROW(),FALSE)</f>
        <v xml:space="preserve">  Água transferida para outras entidades gestoras</v>
      </c>
      <c r="B12" s="417">
        <v>0</v>
      </c>
      <c r="C12" s="186" t="s">
        <v>67</v>
      </c>
      <c r="D12" s="349">
        <f>IF(C12=$J$46,'Configuration options'!$K$6,IF(C12=$J$47,'Configuration options'!$K$7,IF(C12=$J$48,'Configuration options'!$K$8,IF(C12=$J$49,'Configuration options'!$K$9,IF(C12=$J$50,'Configuration options'!$K$10,IF(C12=$J$51,'Configuration options'!$K$11,0))))))*B12</f>
        <v>0</v>
      </c>
      <c r="E12" s="509" t="s">
        <v>426</v>
      </c>
      <c r="F12" s="509" t="s">
        <v>58</v>
      </c>
      <c r="G12" s="797"/>
      <c r="H12" s="353">
        <f>IF(F12=$I$46,'Configuration options'!$E$6,IF(F12=$I$47,'Configuration options'!$E$7/100,IF(F12=$I$48,'Configuration options'!$E$8/100,IF(F12=$I$49,'Configuration options'!$E$9/100,IF(F12=$I$50,'Configuration options'!$E$10/100,"erro")))))</f>
        <v>0</v>
      </c>
      <c r="I12" s="354">
        <f>IF(F12=$I$46,'Configuration options'!$G$6,IF(F12=$I$47,'Configuration options'!$G$7,IF(F12=$I$48,'Configuration options'!$G$8,IF(F12=$I$49,'Configuration options'!$G$9,IF(F12=$I$50,'Configuration options'!$G$10,"erro")))))</f>
        <v>0.05</v>
      </c>
      <c r="J12" s="369">
        <f>H12*D12</f>
        <v>0</v>
      </c>
      <c r="K12" s="370">
        <f>I12*D12</f>
        <v>0</v>
      </c>
      <c r="L12" s="369">
        <f>H12*D12</f>
        <v>0</v>
      </c>
      <c r="M12" s="309">
        <f>I12*D12</f>
        <v>0</v>
      </c>
      <c r="AA12" s="596" t="s">
        <v>485</v>
      </c>
      <c r="AB12" s="596" t="s">
        <v>180</v>
      </c>
      <c r="AC12" s="596" t="s">
        <v>324</v>
      </c>
    </row>
    <row r="13" spans="1:29" ht="13.5" thickBot="1" x14ac:dyDescent="0.25">
      <c r="B13" s="419"/>
      <c r="C13" s="17"/>
      <c r="D13" s="298"/>
      <c r="E13" s="17"/>
      <c r="G13" s="223"/>
      <c r="AA13" s="596"/>
      <c r="AB13" s="596"/>
      <c r="AC13" s="596"/>
    </row>
    <row r="14" spans="1:29" ht="13.5" thickBot="1" x14ac:dyDescent="0.25">
      <c r="A14" s="5" t="str">
        <f>HLOOKUP('Output (1)'!$H$11,Traduções_4,ROW(),FALSE)</f>
        <v xml:space="preserve">Consumo autorizado não facturado medido: </v>
      </c>
      <c r="B14" s="422">
        <f>B4+B10</f>
        <v>0</v>
      </c>
      <c r="C14" s="38" t="str">
        <f>C4</f>
        <v>m3/ano</v>
      </c>
      <c r="D14" s="350"/>
      <c r="E14" s="17"/>
      <c r="F14" s="220" t="str">
        <f>IF(B14&gt;0,CONCATENATE(H14*100,"-",I14*100," %")," ")</f>
        <v xml:space="preserve"> </v>
      </c>
      <c r="G14" s="225"/>
      <c r="H14" s="312">
        <f>IF(B14&gt;0,IF('Configuration options'!$A$16=1,INT(J14/$B14*100)/100,IF('Configuration options'!$A$16=2,INT(L14/$B14*100)/100,"Erro")),0)</f>
        <v>0</v>
      </c>
      <c r="I14" s="289">
        <f>IF(B14&gt;0,IF('Configuration options'!$A$16=1,INT(K14/$B14*100)/100,IF('Configuration options'!$A$16=2,INT(M14/$B14*100)/100,"Erro")),0)</f>
        <v>0</v>
      </c>
      <c r="J14" s="382">
        <f>J4+J10</f>
        <v>0</v>
      </c>
      <c r="K14" s="289">
        <f>K4+K10</f>
        <v>0</v>
      </c>
      <c r="L14" s="382">
        <f>SQRT(L4^2+L10^2)</f>
        <v>0</v>
      </c>
      <c r="M14" s="360">
        <f>SQRT(M4^2+M10^2)</f>
        <v>0</v>
      </c>
      <c r="AA14" s="596" t="s">
        <v>486</v>
      </c>
      <c r="AB14" s="596" t="s">
        <v>1035</v>
      </c>
      <c r="AC14" s="596" t="s">
        <v>325</v>
      </c>
    </row>
    <row r="15" spans="1:29" ht="13.5" thickBot="1" x14ac:dyDescent="0.25">
      <c r="B15" s="419"/>
      <c r="C15" s="17"/>
      <c r="D15" s="298"/>
      <c r="E15" s="17"/>
      <c r="G15" s="223"/>
      <c r="AA15" s="596"/>
      <c r="AB15" s="596"/>
      <c r="AC15" s="596"/>
    </row>
    <row r="16" spans="1:29" ht="26.25" thickBot="1" x14ac:dyDescent="0.25">
      <c r="A16" s="1" t="str">
        <f>HLOOKUP('Output (1)'!$H$11,Traduções_4,ROW(),FALSE)</f>
        <v>CÁLCULO DO CONSUMO AUTORIZADO NÃO FACTURADO NÃO MEDIDO</v>
      </c>
      <c r="B16" s="419"/>
      <c r="C16" s="17"/>
      <c r="D16" s="298"/>
      <c r="E16" s="104" t="str">
        <f>E3</f>
        <v>Fiabilidade</v>
      </c>
      <c r="F16" s="131" t="str">
        <f>F3</f>
        <v>Exactidão</v>
      </c>
      <c r="G16" s="224" t="str">
        <f>G3</f>
        <v>Observações</v>
      </c>
      <c r="H16" s="266" t="s">
        <v>6</v>
      </c>
      <c r="I16" s="376" t="s">
        <v>560</v>
      </c>
      <c r="J16" s="268" t="s">
        <v>556</v>
      </c>
      <c r="K16" s="269" t="s">
        <v>555</v>
      </c>
      <c r="L16" s="270" t="s">
        <v>557</v>
      </c>
      <c r="M16" s="271" t="s">
        <v>558</v>
      </c>
      <c r="AA16" s="596" t="s">
        <v>484</v>
      </c>
      <c r="AB16" s="596" t="s">
        <v>1034</v>
      </c>
      <c r="AC16" s="596" t="s">
        <v>326</v>
      </c>
    </row>
    <row r="17" spans="1:29" ht="39" thickBot="1" x14ac:dyDescent="0.25">
      <c r="A17" s="42" t="str">
        <f>HLOOKUP('Output (1)'!$H$11,Traduções_4,ROW(),FALSE)</f>
        <v>Estimativa de consumo doméstico, comercial e de serviços de clientes sem contador (autorizado não facturado não medido)</v>
      </c>
      <c r="B17" s="424">
        <f>B18*D19</f>
        <v>0</v>
      </c>
      <c r="C17" s="191" t="str">
        <f>C4</f>
        <v>m3/ano</v>
      </c>
      <c r="D17" s="383" t="str">
        <f>D3</f>
        <v>Valor
(m3/ano)</v>
      </c>
      <c r="E17" s="2"/>
      <c r="F17" s="510" t="str">
        <f>IF(B17&gt;0,CONCATENATE(H17*100,"-",I17*100," %")," ")</f>
        <v xml:space="preserve"> </v>
      </c>
      <c r="G17" s="775"/>
      <c r="H17" s="366">
        <f>IF(B17&gt;0,IF('Configuration options'!$A$16=1,H18+H19,IF('Configuration options'!$A$16=2,INT(SQRT(H18^2+H19^2)*100)/100,"Erro")),0)</f>
        <v>0</v>
      </c>
      <c r="I17" s="301">
        <f>IF(B17&gt;0,IF('Configuration options'!$A$16=1,I18+I19,IF('Configuration options'!$A$16=2,INT(SQRT(I18^2+I19^2)*100)/100,"Erro")),0)</f>
        <v>0</v>
      </c>
      <c r="J17" s="288">
        <f>H17*B17</f>
        <v>0</v>
      </c>
      <c r="K17" s="289">
        <f>I17*B17</f>
        <v>0</v>
      </c>
      <c r="L17" s="312">
        <f>H17*B17</f>
        <v>0</v>
      </c>
      <c r="M17" s="360">
        <f>I17*B17</f>
        <v>0</v>
      </c>
      <c r="AA17" s="596" t="s">
        <v>665</v>
      </c>
      <c r="AB17" s="596" t="s">
        <v>164</v>
      </c>
      <c r="AC17" s="596" t="s">
        <v>327</v>
      </c>
    </row>
    <row r="18" spans="1:29" ht="13.5" thickBot="1" x14ac:dyDescent="0.25">
      <c r="A18" s="4" t="str">
        <f>HLOOKUP('Output (1)'!$H$11,Traduções_4,ROW(),FALSE)</f>
        <v xml:space="preserve">   Número de consumidores</v>
      </c>
      <c r="B18" s="421">
        <v>0</v>
      </c>
      <c r="C18" s="44" t="s">
        <v>469</v>
      </c>
      <c r="D18" s="298"/>
      <c r="E18" s="509" t="s">
        <v>424</v>
      </c>
      <c r="F18" s="509" t="s">
        <v>68</v>
      </c>
      <c r="G18" s="796"/>
      <c r="H18" s="353">
        <f>IF(F18=$I$46,'Configuration options'!$E$6,IF(F18=$I$47,'Configuration options'!$E$7/100,IF(F18=$I$48,'Configuration options'!$E$8/100,IF(F18=$I$49,'Configuration options'!$E$9/100,IF(F18=$I$50,'Configuration options'!$E$10/100,"erro")))))</f>
        <v>1.01</v>
      </c>
      <c r="I18" s="354">
        <f>IF(F18=$I$46,'Configuration options'!$G$6,IF(F18=$I$47,'Configuration options'!$G$7,IF(F18=$I$48,'Configuration options'!$G$8,IF(F18=$I$49,'Configuration options'!$G$9,IF(F18=$I$50,'Configuration options'!$G$10,"erro")))))</f>
        <v>3</v>
      </c>
      <c r="J18" s="278"/>
      <c r="K18" s="278"/>
      <c r="L18" s="278"/>
      <c r="M18" s="278"/>
      <c r="AA18" s="596" t="s">
        <v>468</v>
      </c>
      <c r="AB18" s="596" t="s">
        <v>1051</v>
      </c>
      <c r="AC18" s="596" t="s">
        <v>328</v>
      </c>
    </row>
    <row r="19" spans="1:29" ht="13.5" thickBot="1" x14ac:dyDescent="0.25">
      <c r="A19" s="4" t="str">
        <f>HLOOKUP('Output (1)'!$H$11,Traduções_4,ROW(),FALSE)</f>
        <v xml:space="preserve">   Consumo médio por consumidor</v>
      </c>
      <c r="B19" s="538">
        <v>0</v>
      </c>
      <c r="C19" s="544" t="s">
        <v>67</v>
      </c>
      <c r="D19" s="349">
        <f>IF(C19=$J$46,'Configuration options'!$K$6,IF(C19=$J$47,'Configuration options'!$K$7,IF(C19=$J$48,'Configuration options'!$K$8,IF(C19=$J$49,'Configuration options'!$K$9,IF(C19=$J$50,'Configuration options'!$K$10,IF(C19=$J$51,'Configuration options'!$K$11,0))))))*B19</f>
        <v>0</v>
      </c>
      <c r="E19" s="509" t="s">
        <v>424</v>
      </c>
      <c r="F19" s="509" t="s">
        <v>68</v>
      </c>
      <c r="G19" s="796"/>
      <c r="H19" s="353">
        <f>IF(F19=$I$46,'Configuration options'!$E$6,IF(F19=$I$47,'Configuration options'!$E$7/100,IF(F19=$I$48,'Configuration options'!$E$8/100,IF(F19=$I$49,'Configuration options'!$E$9/100,IF(F19=$I$50,'Configuration options'!$E$10/100,"erro")))))</f>
        <v>1.01</v>
      </c>
      <c r="I19" s="354">
        <f>IF(F19=$I$46,'Configuration options'!$G$6,IF(F19=$I$47,'Configuration options'!$G$7,IF(F19=$I$48,'Configuration options'!$G$8,IF(F19=$I$49,'Configuration options'!$G$9,IF(F19=$I$50,'Configuration options'!$G$10,"erro")))))</f>
        <v>3</v>
      </c>
      <c r="J19" s="278"/>
      <c r="K19" s="278"/>
      <c r="L19" s="278"/>
      <c r="M19" s="278"/>
      <c r="AA19" s="596" t="s">
        <v>552</v>
      </c>
      <c r="AB19" s="596" t="s">
        <v>553</v>
      </c>
      <c r="AC19" s="596" t="s">
        <v>329</v>
      </c>
    </row>
    <row r="20" spans="1:29" ht="25.5" customHeight="1" thickBot="1" x14ac:dyDescent="0.25">
      <c r="A20" s="3" t="str">
        <f>HLOOKUP('Output (1)'!$H$11,Traduções_4,ROW(),FALSE)</f>
        <v>Consumo para rega de espaços verdes (autorizado não facturado não medido)</v>
      </c>
      <c r="B20" s="424">
        <f>D21*B22*B23/12</f>
        <v>0</v>
      </c>
      <c r="C20" s="553" t="str">
        <f>C4</f>
        <v>m3/ano</v>
      </c>
      <c r="D20" s="298"/>
      <c r="E20" s="2"/>
      <c r="F20" s="512" t="str">
        <f>IF(B20&gt;0,CONCATENATE(H20*100,"-",I20*100," %")," ")</f>
        <v xml:space="preserve"> </v>
      </c>
      <c r="G20" s="800"/>
      <c r="H20" s="366">
        <f>IF(B20&gt;0,IF('Configuration options'!$A$16=1,H21+H22+H23,IF('Configuration options'!$A$16=2,INT(SQRT(H21^2+H22^2+H23^2)*100)/100,"Erro")),0)</f>
        <v>0</v>
      </c>
      <c r="I20" s="301">
        <f>IF(B20&gt;0,IF('Configuration options'!$A$16=1,I21+I22+I23,IF('Configuration options'!$A$16=2,INT(SQRT(I21^2+I22^2+I23^2)*100)/100,"Erro")),0)</f>
        <v>0</v>
      </c>
      <c r="J20" s="288">
        <f>H20*B20</f>
        <v>0</v>
      </c>
      <c r="K20" s="289">
        <f>I20*B20</f>
        <v>0</v>
      </c>
      <c r="L20" s="312">
        <f>H20*B20</f>
        <v>0</v>
      </c>
      <c r="M20" s="360">
        <f>I20*B20</f>
        <v>0</v>
      </c>
      <c r="AA20" s="596" t="s">
        <v>666</v>
      </c>
      <c r="AB20" s="596" t="s">
        <v>130</v>
      </c>
      <c r="AC20" s="596" t="s">
        <v>330</v>
      </c>
    </row>
    <row r="21" spans="1:29" ht="13.5" thickBot="1" x14ac:dyDescent="0.25">
      <c r="A21" s="192" t="str">
        <f>HLOOKUP('Output (1)'!$H$11,Traduções_4,ROW(),FALSE)</f>
        <v xml:space="preserve">   Consumo de rega por m2 de área irrigada</v>
      </c>
      <c r="B21" s="552">
        <v>0</v>
      </c>
      <c r="C21" s="544" t="s">
        <v>179</v>
      </c>
      <c r="D21" s="349">
        <f>IF(C21=$J$46,'Configuration options'!$K$6,IF(C21=$J$47,'Configuration options'!$K$7,IF(C21=$J$48,'Configuration options'!$K$8,IF(C21=$J$49,'Configuration options'!$K$9,IF(C21=$J$50,'Configuration options'!$K$10,IF(C21=$J$51,'Configuration options'!$K$11,0))))))*B21</f>
        <v>0</v>
      </c>
      <c r="E21" s="509" t="s">
        <v>424</v>
      </c>
      <c r="F21" s="509" t="s">
        <v>69</v>
      </c>
      <c r="G21" s="796"/>
      <c r="H21" s="353">
        <f>IF(F21=$I$46,'Configuration options'!$E$6,IF(F21=$I$47,'Configuration options'!$E$7/100,IF(F21=$I$48,'Configuration options'!$E$8/100,IF(F21=$I$49,'Configuration options'!$E$9/100,IF(F21=$I$50,'Configuration options'!$E$10/100,"erro")))))</f>
        <v>0.21000000000000005</v>
      </c>
      <c r="I21" s="354">
        <f>IF(F21=$I$46,'Configuration options'!$G$6,IF(F21=$I$47,'Configuration options'!$G$7,IF(F21=$I$48,'Configuration options'!$G$8,IF(F21=$I$49,'Configuration options'!$G$9,IF(F21=$I$50,'Configuration options'!$G$10,"erro")))))</f>
        <v>0.5</v>
      </c>
      <c r="J21" s="278"/>
      <c r="K21" s="278"/>
      <c r="L21" s="278"/>
      <c r="M21" s="278"/>
      <c r="AA21" s="596" t="s">
        <v>667</v>
      </c>
      <c r="AB21" s="596" t="s">
        <v>439</v>
      </c>
      <c r="AC21" s="596" t="s">
        <v>331</v>
      </c>
    </row>
    <row r="22" spans="1:29" ht="14.25" x14ac:dyDescent="0.2">
      <c r="A22" s="192" t="str">
        <f>HLOOKUP('Output (1)'!$H$11,Traduções_4,ROW(),FALSE)</f>
        <v xml:space="preserve">   Área irrigada</v>
      </c>
      <c r="B22" s="425">
        <v>0</v>
      </c>
      <c r="C22" s="45" t="s">
        <v>25</v>
      </c>
      <c r="D22" s="298"/>
      <c r="E22" s="509" t="s">
        <v>424</v>
      </c>
      <c r="F22" s="509" t="s">
        <v>68</v>
      </c>
      <c r="G22" s="796"/>
      <c r="H22" s="353">
        <f>IF(F22=$I$46,'Configuration options'!$E$6,IF(F22=$I$47,'Configuration options'!$E$7/100,IF(F22=$I$48,'Configuration options'!$E$8/100,IF(F22=$I$49,'Configuration options'!$E$9/100,IF(F22=$I$50,'Configuration options'!$E$10/100,"erro")))))</f>
        <v>1.01</v>
      </c>
      <c r="I22" s="354">
        <f>IF(F22=$I$46,'Configuration options'!$G$6,IF(F22=$I$47,'Configuration options'!$G$7,IF(F22=$I$48,'Configuration options'!$G$8,IF(F22=$I$49,'Configuration options'!$G$9,IF(F22=$I$50,'Configuration options'!$G$10,"erro")))))</f>
        <v>3</v>
      </c>
      <c r="J22" s="278"/>
      <c r="K22" s="278"/>
      <c r="L22" s="278"/>
      <c r="M22" s="278"/>
      <c r="AA22" s="596" t="s">
        <v>24</v>
      </c>
      <c r="AB22" s="596" t="s">
        <v>165</v>
      </c>
      <c r="AC22" s="596" t="s">
        <v>332</v>
      </c>
    </row>
    <row r="23" spans="1:29" ht="13.5" thickBot="1" x14ac:dyDescent="0.25">
      <c r="A23" s="192" t="str">
        <f>HLOOKUP('Output (1)'!$H$11,Traduções_4,ROW(),FALSE)</f>
        <v xml:space="preserve">   Número de meses de rega por ano</v>
      </c>
      <c r="B23" s="425">
        <v>0</v>
      </c>
      <c r="C23" s="36" t="str">
        <f>HLOOKUP('Output (1)'!$H$11,Traduções_4,52,FALSE)</f>
        <v>meses/ano</v>
      </c>
      <c r="D23" s="298"/>
      <c r="E23" s="509" t="s">
        <v>424</v>
      </c>
      <c r="F23" s="509" t="s">
        <v>68</v>
      </c>
      <c r="G23" s="797"/>
      <c r="H23" s="353">
        <f>IF(F23=$I$46,'Configuration options'!$E$6,IF(F23=$I$47,'Configuration options'!$E$7/100,IF(F23=$I$48,'Configuration options'!$E$8/100,IF(F23=$I$49,'Configuration options'!$E$9/100,IF(F23=$I$50,'Configuration options'!$E$10/100,"erro")))))</f>
        <v>1.01</v>
      </c>
      <c r="I23" s="354">
        <f>IF(F23=$I$46,'Configuration options'!$G$6,IF(F23=$I$47,'Configuration options'!$G$7,IF(F23=$I$48,'Configuration options'!$G$8,IF(F23=$I$49,'Configuration options'!$G$9,IF(F23=$I$50,'Configuration options'!$G$10,"erro")))))</f>
        <v>3</v>
      </c>
      <c r="J23" s="278"/>
      <c r="K23" s="278"/>
      <c r="L23" s="278"/>
      <c r="M23" s="278"/>
      <c r="AA23" s="596" t="s">
        <v>26</v>
      </c>
      <c r="AB23" s="596" t="s">
        <v>166</v>
      </c>
      <c r="AC23" s="596" t="s">
        <v>333</v>
      </c>
    </row>
    <row r="24" spans="1:29" ht="25.5" customHeight="1" thickBot="1" x14ac:dyDescent="0.25">
      <c r="A24" s="3" t="str">
        <f>HLOOKUP('Output (1)'!$H$11,Traduções_4,ROW(),FALSE)</f>
        <v>Consumo para lavagem de ruas  (autorizado não facturado não medido)</v>
      </c>
      <c r="B24" s="424">
        <f>B25*B26*B27</f>
        <v>0</v>
      </c>
      <c r="C24" s="191" t="str">
        <f>C4</f>
        <v>m3/ano</v>
      </c>
      <c r="D24" s="298"/>
      <c r="E24" s="2"/>
      <c r="F24" s="512" t="str">
        <f>IF(B24&gt;0,CONCATENATE(H24*100,"-",I24*100," %")," ")</f>
        <v xml:space="preserve"> </v>
      </c>
      <c r="G24" s="775"/>
      <c r="H24" s="366">
        <f>IF(B24&gt;0,IF('Configuration options'!$A$16=1,H25+H26+H27,IF('Configuration options'!$A$16=2,INT(SQRT(H25^2+H26^2+H27^2)*100)/100,"Erro")),0)</f>
        <v>0</v>
      </c>
      <c r="I24" s="301">
        <f>IF(B24&gt;0,IF('Configuration options'!$A$16=1,I25+I26+I27,IF('Configuration options'!$A$16=2,INT(SQRT(I25^2+I26^2+I27^2)*100)/100,"Erro")),0)</f>
        <v>0</v>
      </c>
      <c r="J24" s="288">
        <f>H24*B24</f>
        <v>0</v>
      </c>
      <c r="K24" s="289">
        <f>I24*B24</f>
        <v>0</v>
      </c>
      <c r="L24" s="312">
        <f>H24*B24</f>
        <v>0</v>
      </c>
      <c r="M24" s="360">
        <f>I24*B24</f>
        <v>0</v>
      </c>
      <c r="AA24" s="596" t="s">
        <v>668</v>
      </c>
      <c r="AB24" s="596" t="s">
        <v>128</v>
      </c>
      <c r="AC24" s="596" t="s">
        <v>334</v>
      </c>
    </row>
    <row r="25" spans="1:29" x14ac:dyDescent="0.2">
      <c r="A25" s="192" t="str">
        <f>HLOOKUP('Output (1)'!$H$11,Traduções_4,ROW(),FALSE)</f>
        <v xml:space="preserve">   Número de enchimentos de autotanques por dia  </v>
      </c>
      <c r="B25" s="425"/>
      <c r="C25" s="36" t="str">
        <f>HLOOKUP('Output (1)'!$H$11,Traduções_4,53,FALSE)</f>
        <v>n.º/dia</v>
      </c>
      <c r="D25" s="298"/>
      <c r="E25" s="509" t="s">
        <v>425</v>
      </c>
      <c r="F25" s="509" t="s">
        <v>116</v>
      </c>
      <c r="G25" s="796"/>
      <c r="H25" s="353">
        <f>IF(F25=$I$46,'Configuration options'!$E$6,IF(F25=$I$47,'Configuration options'!$E$7/100,IF(F25=$I$48,'Configuration options'!$E$8/100,IF(F25=$I$49,'Configuration options'!$E$9/100,IF(F25=$I$50,'Configuration options'!$E$10/100,"erro")))))</f>
        <v>0.51</v>
      </c>
      <c r="I25" s="354">
        <f>IF(F25=$I$46,'Configuration options'!$G$6,IF(F25=$I$47,'Configuration options'!$G$7,IF(F25=$I$48,'Configuration options'!$G$8,IF(F25=$I$49,'Configuration options'!$G$9,IF(F25=$I$50,'Configuration options'!$G$10,"erro")))))</f>
        <v>1</v>
      </c>
      <c r="J25" s="384"/>
      <c r="K25" s="385"/>
      <c r="L25" s="385"/>
      <c r="M25" s="385"/>
      <c r="AA25" s="596" t="s">
        <v>612</v>
      </c>
      <c r="AB25" s="596" t="s">
        <v>167</v>
      </c>
      <c r="AC25" s="596" t="s">
        <v>335</v>
      </c>
    </row>
    <row r="26" spans="1:29" ht="14.25" x14ac:dyDescent="0.2">
      <c r="A26" s="192" t="str">
        <f>HLOOKUP('Output (1)'!$H$11,Traduções_4,ROW(),FALSE)</f>
        <v xml:space="preserve">   Capacidade média de cada autotanque</v>
      </c>
      <c r="B26" s="425"/>
      <c r="C26" s="43" t="s">
        <v>467</v>
      </c>
      <c r="D26" s="298"/>
      <c r="E26" s="509" t="s">
        <v>425</v>
      </c>
      <c r="F26" s="509" t="s">
        <v>116</v>
      </c>
      <c r="G26" s="796"/>
      <c r="H26" s="353">
        <f>IF(F26=$I$46,'Configuration options'!$E$6,IF(F26=$I$47,'Configuration options'!$E$7/100,IF(F26=$I$48,'Configuration options'!$E$8/100,IF(F26=$I$49,'Configuration options'!$E$9/100,IF(F26=$I$50,'Configuration options'!$E$10/100,"erro")))))</f>
        <v>0.51</v>
      </c>
      <c r="I26" s="354">
        <f>IF(F26=$I$46,'Configuration options'!$G$6,IF(F26=$I$47,'Configuration options'!$G$7,IF(F26=$I$48,'Configuration options'!$G$8,IF(F26=$I$49,'Configuration options'!$G$9,IF(F26=$I$50,'Configuration options'!$G$10,"erro")))))</f>
        <v>1</v>
      </c>
      <c r="J26" s="386"/>
      <c r="K26" s="278"/>
      <c r="L26" s="278"/>
      <c r="M26" s="278"/>
      <c r="AA26" s="596" t="s">
        <v>473</v>
      </c>
      <c r="AB26" s="596" t="s">
        <v>168</v>
      </c>
      <c r="AC26" s="596" t="s">
        <v>336</v>
      </c>
    </row>
    <row r="27" spans="1:29" ht="13.5" thickBot="1" x14ac:dyDescent="0.25">
      <c r="A27" s="192" t="str">
        <f>HLOOKUP('Output (1)'!$H$11,Traduções_4,ROW(),FALSE)</f>
        <v xml:space="preserve">   Número de dias de utilização por ano</v>
      </c>
      <c r="B27" s="426"/>
      <c r="C27" s="44" t="str">
        <f>HLOOKUP('Output (1)'!$H$11,Traduções_4,54,FALSE)</f>
        <v>dias/ano</v>
      </c>
      <c r="D27" s="298"/>
      <c r="E27" s="509" t="s">
        <v>425</v>
      </c>
      <c r="F27" s="509" t="s">
        <v>116</v>
      </c>
      <c r="G27" s="796"/>
      <c r="H27" s="353">
        <f>IF(F27=$I$46,'Configuration options'!$E$6,IF(F27=$I$47,'Configuration options'!$E$7/100,IF(F27=$I$48,'Configuration options'!$E$8/100,IF(F27=$I$49,'Configuration options'!$E$9/100,IF(F27=$I$50,'Configuration options'!$E$10/100,"erro")))))</f>
        <v>0.51</v>
      </c>
      <c r="I27" s="354">
        <f>IF(F27=$I$46,'Configuration options'!$G$6,IF(F27=$I$47,'Configuration options'!$G$7,IF(F27=$I$48,'Configuration options'!$G$8,IF(F27=$I$49,'Configuration options'!$G$9,IF(F27=$I$50,'Configuration options'!$G$10,"erro")))))</f>
        <v>1</v>
      </c>
      <c r="J27" s="387"/>
      <c r="K27" s="388"/>
      <c r="L27" s="388"/>
      <c r="M27" s="388"/>
      <c r="AA27" s="596" t="s">
        <v>474</v>
      </c>
      <c r="AB27" s="596" t="s">
        <v>169</v>
      </c>
      <c r="AC27" s="596" t="s">
        <v>337</v>
      </c>
    </row>
    <row r="28" spans="1:29" ht="25.5" customHeight="1" thickBot="1" x14ac:dyDescent="0.25">
      <c r="A28" s="3" t="str">
        <f>HLOOKUP('Output (1)'!$H$11,Traduções_4,ROW(),FALSE)</f>
        <v>Consumo para serviço de combate a incêndio  (autorizado não facturado não medido)</v>
      </c>
      <c r="B28" s="424">
        <f>B29*B30*B31</f>
        <v>0</v>
      </c>
      <c r="C28" s="191" t="str">
        <f>C4</f>
        <v>m3/ano</v>
      </c>
      <c r="D28" s="298"/>
      <c r="E28" s="2"/>
      <c r="F28" s="512" t="str">
        <f>IF(B28&gt;0,CONCATENATE(H28*100,"-",I28*100," %")," ")</f>
        <v xml:space="preserve"> </v>
      </c>
      <c r="G28" s="800"/>
      <c r="H28" s="366">
        <f>IF(B28&gt;0,IF('Configuration options'!$A$16=1,H29+H30+H31,IF('Configuration options'!$A$16=2,INT(SQRT(H29^2+H30^2+H31^2)*100)/100,"Erro")),0)</f>
        <v>0</v>
      </c>
      <c r="I28" s="301">
        <f>IF(B28&gt;0,IF('Configuration options'!$A$16=1,I29+I30+I31,IF('Configuration options'!$A$16=2,INT(SQRT(I29^2+I30^2+I31^2)*100)/100,"Erro")),0)</f>
        <v>0</v>
      </c>
      <c r="J28" s="288">
        <f>H28*B28</f>
        <v>0</v>
      </c>
      <c r="K28" s="289">
        <f>I28*B28</f>
        <v>0</v>
      </c>
      <c r="L28" s="312">
        <f>H28*B28</f>
        <v>0</v>
      </c>
      <c r="M28" s="360">
        <f>I28*B28</f>
        <v>0</v>
      </c>
      <c r="AA28" s="596" t="s">
        <v>669</v>
      </c>
      <c r="AB28" s="596" t="s">
        <v>129</v>
      </c>
      <c r="AC28" s="596" t="s">
        <v>338</v>
      </c>
    </row>
    <row r="29" spans="1:29" x14ac:dyDescent="0.2">
      <c r="A29" s="192" t="str">
        <f>HLOOKUP('Output (1)'!$H$11,Traduções_4,ROW(),FALSE)</f>
        <v xml:space="preserve">   Número de enchimentos de autotanques por dia  </v>
      </c>
      <c r="B29" s="427">
        <v>0</v>
      </c>
      <c r="C29" s="45" t="str">
        <f>HLOOKUP('Output (1)'!$H$11,Traduções_4,53,FALSE)</f>
        <v>n.º/dia</v>
      </c>
      <c r="D29" s="298"/>
      <c r="E29" s="509" t="s">
        <v>424</v>
      </c>
      <c r="F29" s="509" t="s">
        <v>68</v>
      </c>
      <c r="G29" s="796"/>
      <c r="H29" s="353">
        <f>IF(F29=$I$46,'Configuration options'!$E$6,IF(F29=$I$47,'Configuration options'!$E$7/100,IF(F29=$I$48,'Configuration options'!$E$8/100,IF(F29=$I$49,'Configuration options'!$E$9/100,IF(F29=$I$50,'Configuration options'!$E$10/100,"erro")))))</f>
        <v>1.01</v>
      </c>
      <c r="I29" s="354">
        <f>IF(F29=$I$46,'Configuration options'!$G$6,IF(F29=$I$47,'Configuration options'!$G$7,IF(F29=$I$48,'Configuration options'!$G$8,IF(F29=$I$49,'Configuration options'!$G$9,IF(F29=$I$50,'Configuration options'!$G$10,"erro")))))</f>
        <v>3</v>
      </c>
      <c r="J29" s="384"/>
      <c r="K29" s="385"/>
      <c r="L29" s="385"/>
      <c r="M29" s="385"/>
      <c r="AA29" s="596" t="s">
        <v>612</v>
      </c>
      <c r="AB29" s="596" t="s">
        <v>167</v>
      </c>
      <c r="AC29" s="596" t="s">
        <v>335</v>
      </c>
    </row>
    <row r="30" spans="1:29" ht="14.25" x14ac:dyDescent="0.2">
      <c r="A30" s="192" t="str">
        <f>HLOOKUP('Output (1)'!$H$11,Traduções_4,ROW(),FALSE)</f>
        <v xml:space="preserve">   Capacidade média de cada autotanque</v>
      </c>
      <c r="B30" s="425">
        <v>0</v>
      </c>
      <c r="C30" s="43" t="s">
        <v>467</v>
      </c>
      <c r="D30" s="298"/>
      <c r="E30" s="509" t="s">
        <v>424</v>
      </c>
      <c r="F30" s="509" t="s">
        <v>68</v>
      </c>
      <c r="G30" s="796"/>
      <c r="H30" s="353">
        <f>IF(F30=$I$46,'Configuration options'!$E$6,IF(F30=$I$47,'Configuration options'!$E$7/100,IF(F30=$I$48,'Configuration options'!$E$8/100,IF(F30=$I$49,'Configuration options'!$E$9/100,IF(F30=$I$50,'Configuration options'!$E$10/100,"erro")))))</f>
        <v>1.01</v>
      </c>
      <c r="I30" s="354">
        <f>IF(F30=$I$46,'Configuration options'!$G$6,IF(F30=$I$47,'Configuration options'!$G$7,IF(F30=$I$48,'Configuration options'!$G$8,IF(F30=$I$49,'Configuration options'!$G$9,IF(F30=$I$50,'Configuration options'!$G$10,"erro")))))</f>
        <v>3</v>
      </c>
      <c r="J30" s="386"/>
      <c r="K30" s="278"/>
      <c r="L30" s="278"/>
      <c r="M30" s="278"/>
      <c r="AA30" s="596" t="s">
        <v>473</v>
      </c>
      <c r="AB30" s="596" t="s">
        <v>168</v>
      </c>
      <c r="AC30" s="596" t="s">
        <v>336</v>
      </c>
    </row>
    <row r="31" spans="1:29" ht="15" customHeight="1" thickBot="1" x14ac:dyDescent="0.25">
      <c r="A31" s="192" t="str">
        <f>HLOOKUP('Output (1)'!$H$11,Traduções_4,ROW(),FALSE)</f>
        <v xml:space="preserve">   Número de dias de utilização por ano</v>
      </c>
      <c r="B31" s="425">
        <v>0</v>
      </c>
      <c r="C31" s="36" t="str">
        <f>HLOOKUP('Output (1)'!$H$11,Traduções_4,54,FALSE)</f>
        <v>dias/ano</v>
      </c>
      <c r="D31" s="298"/>
      <c r="E31" s="509" t="s">
        <v>424</v>
      </c>
      <c r="F31" s="509" t="s">
        <v>68</v>
      </c>
      <c r="G31" s="797"/>
      <c r="H31" s="353">
        <f>IF(F31=$I$46,'Configuration options'!$E$6,IF(F31=$I$47,'Configuration options'!$E$7/100,IF(F31=$I$48,'Configuration options'!$E$8/100,IF(F31=$I$49,'Configuration options'!$E$9/100,IF(F31=$I$50,'Configuration options'!$E$10/100,"erro")))))</f>
        <v>1.01</v>
      </c>
      <c r="I31" s="354">
        <f>IF(F31=$I$46,'Configuration options'!$G$6,IF(F31=$I$47,'Configuration options'!$G$7,IF(F31=$I$48,'Configuration options'!$G$8,IF(F31=$I$49,'Configuration options'!$G$9,IF(F31=$I$50,'Configuration options'!$G$10,"erro")))))</f>
        <v>3</v>
      </c>
      <c r="J31" s="387"/>
      <c r="K31" s="388"/>
      <c r="L31" s="388"/>
      <c r="M31" s="388"/>
      <c r="AA31" s="596" t="s">
        <v>474</v>
      </c>
      <c r="AB31" s="596" t="s">
        <v>170</v>
      </c>
      <c r="AC31" s="596" t="s">
        <v>339</v>
      </c>
    </row>
    <row r="32" spans="1:29" ht="20.25" customHeight="1" thickBot="1" x14ac:dyDescent="0.25">
      <c r="A32" s="41" t="str">
        <f>HLOOKUP('Output (1)'!$H$11,Traduções_4,ROW(),FALSE)</f>
        <v>Consumo próprio da entidade (não medido)</v>
      </c>
      <c r="B32" s="424">
        <f>SUM(D33:D37)</f>
        <v>0</v>
      </c>
      <c r="C32" s="556" t="str">
        <f>C4</f>
        <v>m3/ano</v>
      </c>
      <c r="D32" s="298"/>
      <c r="E32" s="2"/>
      <c r="F32" s="512" t="str">
        <f>IF(B32&gt;0,CONCATENATE(H32*100,"-",I32*100," %")," ")</f>
        <v xml:space="preserve"> </v>
      </c>
      <c r="G32" s="800"/>
      <c r="H32" s="366">
        <f>IF(B32&gt;0,IF('Configuration options'!$A$16=1,INT(J32/$B32*100)/100,IF('Configuration options'!$A$16=2,INT(L32/$B32*100)/100,"Erro")),0)</f>
        <v>0</v>
      </c>
      <c r="I32" s="321">
        <f>IF(B28&gt;0,IF('Configuration options'!$A$16=1,INT(K32/$B32*100)/100,IF('Configuration options'!$A$16=2,INT(M32/$B32*100)/100,"Erro")),0)</f>
        <v>0</v>
      </c>
      <c r="J32" s="367">
        <f>SUM(J33:J37)</f>
        <v>0</v>
      </c>
      <c r="K32" s="321">
        <f>SUM(K33:K37)</f>
        <v>0</v>
      </c>
      <c r="L32" s="366">
        <f>SQRT(L33^2+L34^2+L35^2+L36^2+L37^2)</f>
        <v>0</v>
      </c>
      <c r="M32" s="301">
        <f>SQRT(M33^2+M34^2+M35^2+M36^2+M37^2)</f>
        <v>0</v>
      </c>
      <c r="AA32" s="596" t="s">
        <v>670</v>
      </c>
      <c r="AB32" s="596" t="s">
        <v>171</v>
      </c>
      <c r="AC32" s="596" t="s">
        <v>340</v>
      </c>
    </row>
    <row r="33" spans="1:36" ht="14.25" customHeight="1" thickBot="1" x14ac:dyDescent="0.25">
      <c r="A33" s="192" t="str">
        <f>HLOOKUP('Output (1)'!$H$11,Traduções_4,ROW(),FALSE)</f>
        <v xml:space="preserve">   Consumo de processo no tratamento (excluindo volume reutilizado)</v>
      </c>
      <c r="B33" s="554"/>
      <c r="C33" s="544" t="s">
        <v>67</v>
      </c>
      <c r="D33" s="349">
        <f>IF(C33=$J$46,'Configuration options'!$K$6,IF(C33=$J$47,'Configuration options'!$K$7,IF(C33=$J$48,'Configuration options'!$K$8,IF(C33=$J$49,'Configuration options'!$K$9,IF(C33=$J$50,'Configuration options'!$K$10,IF(C33=$J$51,'Configuration options'!$K$11,"0"))))))*B33</f>
        <v>0</v>
      </c>
      <c r="E33" s="509" t="s">
        <v>425</v>
      </c>
      <c r="F33" s="509" t="s">
        <v>116</v>
      </c>
      <c r="G33" s="796"/>
      <c r="H33" s="353">
        <f>IF(F33=$I$46,'Configuration options'!$E$6,IF(F33=$I$47,'Configuration options'!$E$7/100,IF(F33=$I$48,'Configuration options'!$E$8/100,IF(F33=$I$49,'Configuration options'!$E$9/100,IF(F33=$I$50,'Configuration options'!$E$10/100,"erro")))))</f>
        <v>0.51</v>
      </c>
      <c r="I33" s="354">
        <f>IF(F33=$I$46,'Configuration options'!$G$6,IF(F33=$I$47,'Configuration options'!$G$7,IF(F33=$I$48,'Configuration options'!$G$8,IF(F33=$I$49,'Configuration options'!$G$9,IF(F33=$I$50,'Configuration options'!$G$10,"erro")))))</f>
        <v>1</v>
      </c>
      <c r="J33" s="355">
        <f>H33*D33</f>
        <v>0</v>
      </c>
      <c r="K33" s="356">
        <f>I33*D33</f>
        <v>0</v>
      </c>
      <c r="L33" s="319">
        <f>H33*D33</f>
        <v>0</v>
      </c>
      <c r="M33" s="308">
        <f>I33*D33</f>
        <v>0</v>
      </c>
      <c r="AA33" s="596" t="s">
        <v>504</v>
      </c>
      <c r="AB33" s="596" t="s">
        <v>172</v>
      </c>
      <c r="AC33" s="596" t="s">
        <v>341</v>
      </c>
    </row>
    <row r="34" spans="1:36" ht="14.25" customHeight="1" thickBot="1" x14ac:dyDescent="0.25">
      <c r="A34" s="192" t="str">
        <f>HLOOKUP('Output (1)'!$H$11,Traduções_4,ROW(),FALSE)</f>
        <v xml:space="preserve">   Consumo para lavagem de condutas e reservatórios</v>
      </c>
      <c r="B34" s="554"/>
      <c r="C34" s="544" t="s">
        <v>67</v>
      </c>
      <c r="D34" s="349">
        <f>IF(C34=$J$46,'Configuration options'!$K$6,IF(C34=$J$47,'Configuration options'!$K$7,IF(C34=$J$48,'Configuration options'!$K$8,IF(C34=$J$49,'Configuration options'!$K$9,IF(C34=$J$50,'Configuration options'!$K$10,IF(C34=$J$51,'Configuration options'!$K$11,"0"))))))*B34</f>
        <v>0</v>
      </c>
      <c r="E34" s="509" t="s">
        <v>425</v>
      </c>
      <c r="F34" s="509" t="s">
        <v>116</v>
      </c>
      <c r="G34" s="796"/>
      <c r="H34" s="353">
        <f>IF(F34=$I$46,'Configuration options'!$E$6,IF(F34=$I$47,'Configuration options'!$E$7/100,IF(F34=$I$48,'Configuration options'!$E$8/100,IF(F34=$I$49,'Configuration options'!$E$9/100,IF(F34=$I$50,'Configuration options'!$E$10/100,"erro")))))</f>
        <v>0.51</v>
      </c>
      <c r="I34" s="354">
        <f>IF(F34=$I$46,'Configuration options'!$G$6,IF(F34=$I$47,'Configuration options'!$G$7,IF(F34=$I$48,'Configuration options'!$G$8,IF(F34=$I$49,'Configuration options'!$G$9,IF(F34=$I$50,'Configuration options'!$G$10,"erro")))))</f>
        <v>1</v>
      </c>
      <c r="J34" s="327">
        <f>H34*D34</f>
        <v>0</v>
      </c>
      <c r="K34" s="328">
        <f>I34*D34</f>
        <v>0</v>
      </c>
      <c r="L34" s="319">
        <f>H34*D34</f>
        <v>0</v>
      </c>
      <c r="M34" s="308">
        <f>I34*D34</f>
        <v>0</v>
      </c>
      <c r="AA34" s="596" t="s">
        <v>505</v>
      </c>
      <c r="AB34" s="596" t="s">
        <v>173</v>
      </c>
      <c r="AC34" s="596" t="s">
        <v>342</v>
      </c>
    </row>
    <row r="35" spans="1:36" ht="14.25" customHeight="1" thickBot="1" x14ac:dyDescent="0.25">
      <c r="A35" s="192" t="str">
        <f>HLOOKUP('Output (1)'!$H$11,Traduções_4,ROW(),FALSE)</f>
        <v xml:space="preserve">   Consumo nas instalações e espaços verdes da entidade</v>
      </c>
      <c r="B35" s="555"/>
      <c r="C35" s="544" t="s">
        <v>67</v>
      </c>
      <c r="D35" s="349">
        <f>IF(C35=$J$46,'Configuration options'!$K$6,IF(C35=$J$47,'Configuration options'!$K$7,IF(C35=$J$48,'Configuration options'!$K$8,IF(C35=$J$49,'Configuration options'!$K$9,IF(C35=$J$50,'Configuration options'!$K$10,IF(C35=$J$51,'Configuration options'!$K$11,0))))))*B35</f>
        <v>0</v>
      </c>
      <c r="E35" s="509" t="s">
        <v>425</v>
      </c>
      <c r="F35" s="509" t="s">
        <v>116</v>
      </c>
      <c r="G35" s="796"/>
      <c r="H35" s="353">
        <f>IF(F35=$I$46,'Configuration options'!$E$6,IF(F35=$I$47,'Configuration options'!$E$7/100,IF(F35=$I$48,'Configuration options'!$E$8/100,IF(F35=$I$49,'Configuration options'!$E$9/100,IF(F35=$I$50,'Configuration options'!$E$10/100,"erro")))))</f>
        <v>0.51</v>
      </c>
      <c r="I35" s="354">
        <f>IF(F35=$I$46,'Configuration options'!$G$6,IF(F35=$I$47,'Configuration options'!$G$7,IF(F35=$I$48,'Configuration options'!$G$8,IF(F35=$I$49,'Configuration options'!$G$9,IF(F35=$I$50,'Configuration options'!$G$10,"erro")))))</f>
        <v>1</v>
      </c>
      <c r="J35" s="327">
        <f>H35*D35</f>
        <v>0</v>
      </c>
      <c r="K35" s="328">
        <f>I35*D35</f>
        <v>0</v>
      </c>
      <c r="L35" s="319">
        <f>H35*D35</f>
        <v>0</v>
      </c>
      <c r="M35" s="308">
        <f>I35*D35</f>
        <v>0</v>
      </c>
      <c r="AA35" s="596" t="s">
        <v>477</v>
      </c>
      <c r="AB35" s="596" t="s">
        <v>440</v>
      </c>
      <c r="AC35" s="596" t="s">
        <v>343</v>
      </c>
    </row>
    <row r="36" spans="1:36" ht="14.25" customHeight="1" thickBot="1" x14ac:dyDescent="0.25">
      <c r="A36" s="187"/>
      <c r="B36" s="555"/>
      <c r="C36" s="544"/>
      <c r="D36" s="349">
        <f>IF(C36=$J$46,'Configuration options'!$K$6,IF(C36=$J$47,'Configuration options'!$K$7,IF(C36=$J$48,'Configuration options'!$K$8,IF(C36=$J$49,'Configuration options'!$K$9,IF(C36=$J$50,'Configuration options'!$K$10,IF(C36=$J$51,'Configuration options'!$K$11,0))))))*B36</f>
        <v>0</v>
      </c>
      <c r="E36" s="509" t="s">
        <v>424</v>
      </c>
      <c r="F36" s="509" t="s">
        <v>68</v>
      </c>
      <c r="G36" s="796"/>
      <c r="H36" s="353">
        <f>IF(F36=$I$46,'Configuration options'!$E$6,IF(F36=$I$47,'Configuration options'!$E$7/100,IF(F36=$I$48,'Configuration options'!$E$8/100,IF(F36=$I$49,'Configuration options'!$E$9/100,IF(F36=$I$50,'Configuration options'!$E$10/100,"erro")))))</f>
        <v>1.01</v>
      </c>
      <c r="I36" s="354">
        <f>IF(F36=$I$46,'Configuration options'!$G$6,IF(F36=$I$47,'Configuration options'!$G$7,IF(F36=$I$48,'Configuration options'!$G$8,IF(F36=$I$49,'Configuration options'!$G$9,IF(F36=$I$50,'Configuration options'!$G$10,"erro")))))</f>
        <v>3</v>
      </c>
      <c r="J36" s="327">
        <f>H36*D36</f>
        <v>0</v>
      </c>
      <c r="K36" s="328">
        <f>I36*D36</f>
        <v>0</v>
      </c>
      <c r="L36" s="319">
        <f>H36*D36</f>
        <v>0</v>
      </c>
      <c r="M36" s="308">
        <f>I36*D36</f>
        <v>0</v>
      </c>
      <c r="AA36" s="596"/>
      <c r="AB36" s="596"/>
      <c r="AC36" s="596" t="s">
        <v>344</v>
      </c>
    </row>
    <row r="37" spans="1:36" ht="14.25" customHeight="1" thickBot="1" x14ac:dyDescent="0.25">
      <c r="A37" s="187"/>
      <c r="B37" s="555"/>
      <c r="C37" s="544"/>
      <c r="D37" s="349">
        <f>IF(C37=$J$46,'Configuration options'!$K$6,IF(C37=$J$47,'Configuration options'!$K$7,IF(C37=$J$48,'Configuration options'!$K$8,IF(C37=$J$49,'Configuration options'!$K$9,IF(C37=$J$50,'Configuration options'!$K$10,IF(C37=$J$51,'Configuration options'!$K$11,0))))))*B37</f>
        <v>0</v>
      </c>
      <c r="E37" s="509" t="s">
        <v>424</v>
      </c>
      <c r="F37" s="509" t="s">
        <v>68</v>
      </c>
      <c r="G37" s="797"/>
      <c r="H37" s="353">
        <f>IF(F37=$I$46,'Configuration options'!$E$6,IF(F37=$I$47,'Configuration options'!$E$7/100,IF(F37=$I$48,'Configuration options'!$E$8/100,IF(F37=$I$49,'Configuration options'!$E$9/100,IF(F37=$I$50,'Configuration options'!$E$10/100,"erro")))))</f>
        <v>1.01</v>
      </c>
      <c r="I37" s="354">
        <f>IF(F37=$I$46,'Configuration options'!$G$6,IF(F37=$I$47,'Configuration options'!$G$7,IF(F37=$I$48,'Configuration options'!$G$8,IF(F37=$I$49,'Configuration options'!$G$9,IF(F37=$I$50,'Configuration options'!$G$10,"erro")))))</f>
        <v>3</v>
      </c>
      <c r="J37" s="369">
        <f>H37*D37</f>
        <v>0</v>
      </c>
      <c r="K37" s="370">
        <f>I37*D37</f>
        <v>0</v>
      </c>
      <c r="L37" s="322">
        <f>H37*D37</f>
        <v>0</v>
      </c>
      <c r="M37" s="309">
        <f>I37*D37</f>
        <v>0</v>
      </c>
      <c r="AA37" s="596"/>
      <c r="AB37" s="596"/>
      <c r="AC37" s="596"/>
    </row>
    <row r="38" spans="1:36" ht="18.75" customHeight="1" thickBot="1" x14ac:dyDescent="0.25">
      <c r="A38" s="41" t="str">
        <f>HLOOKUP('Output (1)'!$H$11,Traduções_4,ROW(),FALSE)</f>
        <v>Outros consumos autorizados não facturados não medidos</v>
      </c>
      <c r="B38" s="428">
        <f>D39</f>
        <v>0</v>
      </c>
      <c r="C38" s="553" t="str">
        <f>C4</f>
        <v>m3/ano</v>
      </c>
      <c r="D38" s="298"/>
      <c r="E38" s="184"/>
      <c r="F38" s="512" t="str">
        <f>IF(B38&gt;0,CONCATENATE(H38*100,"-",I38*100," %")," ")</f>
        <v xml:space="preserve"> </v>
      </c>
      <c r="G38" s="775"/>
      <c r="H38" s="366">
        <f>IF(B38&gt;0,IF('Configuration options'!$A$16=1,INT(J38/$B38*100)/100,IF('Configuration options'!$A$16=2,INT(L38/$B38*100)/100,"Erro")),0)</f>
        <v>0</v>
      </c>
      <c r="I38" s="321">
        <f>IF(B38&gt;0,IF('Configuration options'!$A$16=1,INT(K38/$B38*100)/100,IF('Configuration options'!$A$16=2,INT(M38/$B38*100)/100,"Erro")),0)</f>
        <v>0</v>
      </c>
      <c r="J38" s="367">
        <f>J39</f>
        <v>0</v>
      </c>
      <c r="K38" s="321">
        <f>K39</f>
        <v>0</v>
      </c>
      <c r="L38" s="366">
        <f>L39</f>
        <v>0</v>
      </c>
      <c r="M38" s="301">
        <f>M39</f>
        <v>0</v>
      </c>
      <c r="AA38" s="596" t="s">
        <v>32</v>
      </c>
      <c r="AB38" s="596" t="s">
        <v>834</v>
      </c>
      <c r="AC38" s="596" t="s">
        <v>345</v>
      </c>
    </row>
    <row r="39" spans="1:36" ht="15.75" customHeight="1" thickBot="1" x14ac:dyDescent="0.25">
      <c r="A39" s="187"/>
      <c r="B39" s="557"/>
      <c r="C39" s="544"/>
      <c r="D39" s="349">
        <f>IF(C39=$J$46,'Configuration options'!$K$6,IF(C39=$J$47,'Configuration options'!$K$7,IF(C39=$J$48,'Configuration options'!$K$8,IF(C39=$J$49,'Configuration options'!$K$9,IF(C39=$J$50,'Configuration options'!$K$10,IF(C39=$J$51,'Configuration options'!$K$11,0))))))*B39</f>
        <v>0</v>
      </c>
      <c r="E39" s="513" t="s">
        <v>424</v>
      </c>
      <c r="F39" s="509" t="s">
        <v>68</v>
      </c>
      <c r="G39" s="797"/>
      <c r="H39" s="489">
        <f>IF(F39=$I$46,'Configuration options'!$E$6,IF(F39=$I$47,'Configuration options'!$E$7/100,IF(F39=$I$48,'Configuration options'!$E$8/100,IF(F39=$I$49,'Configuration options'!$E$9/100,IF(F39=$I$50,'Configuration options'!$E$10/100,"erro")))))</f>
        <v>1.01</v>
      </c>
      <c r="I39" s="488">
        <f>IF(F39=$I$46,'Configuration options'!$G$6,IF(F39=$I$47,'Configuration options'!$G$7,IF(F39=$I$48,'Configuration options'!$G$8,IF(F39=$I$49,'Configuration options'!$G$9,IF(F39=$I$50,'Configuration options'!$G$10,"erro")))))</f>
        <v>3</v>
      </c>
      <c r="J39" s="465">
        <f>H39*D39</f>
        <v>0</v>
      </c>
      <c r="K39" s="466">
        <f>I39*D39</f>
        <v>0</v>
      </c>
      <c r="L39" s="467">
        <f>H39*D39</f>
        <v>0</v>
      </c>
      <c r="M39" s="468">
        <f>I39*D39</f>
        <v>0</v>
      </c>
      <c r="AA39" s="596"/>
      <c r="AB39" s="596"/>
      <c r="AC39" s="596"/>
    </row>
    <row r="40" spans="1:36" ht="13.5" thickBot="1" x14ac:dyDescent="0.25">
      <c r="B40" s="419"/>
      <c r="C40" s="17"/>
      <c r="D40" s="298"/>
      <c r="E40" s="17"/>
      <c r="F40" s="462"/>
      <c r="G40" s="228"/>
      <c r="AA40" s="596"/>
      <c r="AB40" s="596"/>
      <c r="AC40" s="596"/>
    </row>
    <row r="41" spans="1:36" ht="13.5" thickBot="1" x14ac:dyDescent="0.25">
      <c r="A41" s="5" t="str">
        <f>HLOOKUP('Output (1)'!$H$11,Traduções_4,ROW(),FALSE)</f>
        <v xml:space="preserve">Consumo autorizado não facturado não medido: </v>
      </c>
      <c r="B41" s="422">
        <f>B17+B20+B24+B28+B32+D39</f>
        <v>0</v>
      </c>
      <c r="C41" s="38" t="str">
        <f>C4</f>
        <v>m3/ano</v>
      </c>
      <c r="D41" s="350"/>
      <c r="E41" s="17"/>
      <c r="F41" s="220" t="str">
        <f>IF(B41&gt;0,CONCATENATE(H41*100,"-",I41*100," %")," ")</f>
        <v xml:space="preserve"> </v>
      </c>
      <c r="G41" s="229"/>
      <c r="H41" s="312">
        <f>IF(B41&gt;0,IF('Configuration options'!$A$16=1,INT(J41/$B41*100)/100,IF('Configuration options'!$A$16=2,INT(L41/$B41*100)/100,"Erro")),0)</f>
        <v>0</v>
      </c>
      <c r="I41" s="289">
        <f>IF(B41&gt;0,IF('Configuration options'!$A$16=1,INT(K41/$B41*100)/100,IF('Configuration options'!$A$16=2,INT(M41/$B41*100)/100,"Erro")),0)</f>
        <v>0</v>
      </c>
      <c r="J41" s="382">
        <f>J17+J20+J24+J28+J32+J38</f>
        <v>0</v>
      </c>
      <c r="K41" s="289">
        <f>K17+K20+K24+K28+K32+K38</f>
        <v>0</v>
      </c>
      <c r="L41" s="382">
        <f>SQRT(L17^2+L20^2+L24^2+L28^2+L32^2+L38^2)</f>
        <v>0</v>
      </c>
      <c r="M41" s="360">
        <f>SQRT(M17^2+M20^2+M24^2+M28^2+M32^2+M38^2)</f>
        <v>0</v>
      </c>
      <c r="AA41" s="596" t="s">
        <v>487</v>
      </c>
      <c r="AB41" s="596" t="s">
        <v>1050</v>
      </c>
      <c r="AC41" s="596" t="s">
        <v>346</v>
      </c>
    </row>
    <row r="42" spans="1:36" ht="13.5" thickBot="1" x14ac:dyDescent="0.25">
      <c r="B42" s="419"/>
      <c r="C42" s="17"/>
      <c r="D42" s="298"/>
      <c r="E42" s="17"/>
      <c r="G42" s="223"/>
      <c r="AA42" s="596"/>
      <c r="AB42" s="596"/>
      <c r="AC42" s="596"/>
    </row>
    <row r="43" spans="1:36" ht="13.5" thickBot="1" x14ac:dyDescent="0.25">
      <c r="A43" s="6" t="str">
        <f>HLOOKUP('Output (1)'!$H$11,Traduções_4,ROW(),FALSE)</f>
        <v>CONSUMO AUTORIZADO NÃO FACTURADO (m3/ano)</v>
      </c>
      <c r="B43" s="422">
        <f>B14+B41</f>
        <v>0</v>
      </c>
      <c r="C43" s="38" t="str">
        <f>C4</f>
        <v>m3/ano</v>
      </c>
      <c r="D43" s="298"/>
      <c r="E43" s="17"/>
      <c r="F43" s="220" t="str">
        <f>IF(B43&gt;0,CONCATENATE(H43*100,"-",I43*100," %")," ")</f>
        <v xml:space="preserve"> </v>
      </c>
      <c r="G43" s="229"/>
      <c r="H43" s="312">
        <f>IF(B43&gt;0,IF('Configuration options'!$A$16=1,INT(J43/$B43*100)/100,IF('Configuration options'!$A$16=2,INT(L43/$B43*100)/100,"Erro")),0)</f>
        <v>0</v>
      </c>
      <c r="I43" s="312">
        <f>IF(B41&gt;0,IF('Configuration options'!$A$16=1,INT(K43/$B43*100)/100,IF('Configuration options'!$A$16=2,INT(M43/$B43*100)/100,"Erro")),0)</f>
        <v>0</v>
      </c>
      <c r="J43" s="382">
        <f>J14+J41</f>
        <v>0</v>
      </c>
      <c r="K43" s="289">
        <f>K14+K41</f>
        <v>0</v>
      </c>
      <c r="L43" s="312">
        <f>SQRT(L14^2+L41^2)</f>
        <v>0</v>
      </c>
      <c r="M43" s="360">
        <f>SQRT(M14^2+M41^2)</f>
        <v>0</v>
      </c>
      <c r="AA43" s="596" t="s">
        <v>671</v>
      </c>
      <c r="AB43" s="596" t="s">
        <v>833</v>
      </c>
      <c r="AC43" s="596" t="s">
        <v>347</v>
      </c>
    </row>
    <row r="44" spans="1:36" x14ac:dyDescent="0.2">
      <c r="C44" s="17"/>
      <c r="D44" s="298"/>
      <c r="E44" s="17"/>
    </row>
    <row r="45" spans="1:36" s="530" customFormat="1" ht="15" customHeight="1" x14ac:dyDescent="0.2">
      <c r="B45" s="612"/>
      <c r="D45" s="531"/>
      <c r="H45" s="531"/>
      <c r="I45" s="531"/>
      <c r="J45" s="531"/>
      <c r="K45" s="613"/>
      <c r="L45" s="613"/>
      <c r="M45" s="613"/>
      <c r="N45" s="531"/>
      <c r="O45" s="531"/>
      <c r="P45" s="531"/>
      <c r="Q45" s="531"/>
      <c r="R45" s="531"/>
      <c r="S45" s="531"/>
      <c r="T45" s="531"/>
      <c r="U45" s="531"/>
      <c r="V45" s="531"/>
      <c r="W45" s="531"/>
      <c r="X45" s="531"/>
      <c r="Y45" s="531"/>
      <c r="Z45" s="265" t="s">
        <v>673</v>
      </c>
      <c r="AA45" s="265" t="s">
        <v>87</v>
      </c>
      <c r="AB45" s="265" t="s">
        <v>86</v>
      </c>
      <c r="AC45" s="265" t="s">
        <v>282</v>
      </c>
      <c r="AD45" s="531"/>
      <c r="AE45" s="531"/>
      <c r="AF45" s="531"/>
      <c r="AG45" s="531"/>
      <c r="AH45" s="531"/>
      <c r="AI45" s="531"/>
      <c r="AJ45" s="531"/>
    </row>
    <row r="46" spans="1:36" ht="15" customHeight="1" x14ac:dyDescent="0.2">
      <c r="A46" s="22"/>
      <c r="H46" s="498" t="str">
        <f>'Configuration options'!A6</f>
        <v>***</v>
      </c>
      <c r="I46" s="498" t="str">
        <f>'Configuration options'!D6</f>
        <v>0-5%</v>
      </c>
      <c r="J46" s="498" t="str">
        <f>'Configuration options'!J6</f>
        <v>l/s</v>
      </c>
      <c r="K46" s="576"/>
      <c r="L46" s="611"/>
      <c r="M46" s="298"/>
      <c r="Z46" s="265" t="s">
        <v>647</v>
      </c>
      <c r="AA46" s="265" t="s">
        <v>67</v>
      </c>
      <c r="AB46" s="596" t="s">
        <v>405</v>
      </c>
      <c r="AC46" s="596" t="s">
        <v>790</v>
      </c>
    </row>
    <row r="47" spans="1:36" ht="15" customHeight="1" x14ac:dyDescent="0.2">
      <c r="H47" s="498" t="str">
        <f>'Configuration options'!A7</f>
        <v>**</v>
      </c>
      <c r="I47" s="498" t="str">
        <f>'Configuration options'!D7</f>
        <v>6-20%</v>
      </c>
      <c r="J47" s="498" t="str">
        <f>'Configuration options'!J7</f>
        <v>m3/h</v>
      </c>
      <c r="K47" s="576"/>
      <c r="L47" s="586"/>
      <c r="M47" s="298"/>
      <c r="Z47" s="265" t="s">
        <v>674</v>
      </c>
      <c r="AA47" s="265" t="s">
        <v>672</v>
      </c>
      <c r="AB47" s="596" t="s">
        <v>150</v>
      </c>
      <c r="AC47" s="596" t="s">
        <v>348</v>
      </c>
    </row>
    <row r="48" spans="1:36" x14ac:dyDescent="0.2">
      <c r="H48" s="498" t="str">
        <f>'Configuration options'!A8</f>
        <v>*</v>
      </c>
      <c r="I48" s="498" t="str">
        <f>'Configuration options'!D8</f>
        <v>21-50%</v>
      </c>
      <c r="J48" s="498" t="str">
        <f>'Configuration options'!J8</f>
        <v>l/dia</v>
      </c>
      <c r="K48" s="577"/>
      <c r="L48" s="296"/>
      <c r="M48" s="298"/>
      <c r="Z48" s="265" t="s">
        <v>675</v>
      </c>
      <c r="AA48" s="265" t="s">
        <v>422</v>
      </c>
      <c r="AB48" s="265" t="s">
        <v>893</v>
      </c>
      <c r="AC48" s="265" t="s">
        <v>776</v>
      </c>
    </row>
    <row r="49" spans="4:36" x14ac:dyDescent="0.2">
      <c r="H49" s="498"/>
      <c r="I49" s="498" t="str">
        <f>'Configuration options'!D9</f>
        <v>51-100%</v>
      </c>
      <c r="J49" s="498" t="str">
        <f>'Configuration options'!J9</f>
        <v>m3/dia</v>
      </c>
      <c r="K49" s="298"/>
      <c r="L49" s="298"/>
      <c r="M49" s="298"/>
      <c r="Z49" s="265" t="s">
        <v>676</v>
      </c>
      <c r="AA49" s="265" t="s">
        <v>423</v>
      </c>
      <c r="AB49" s="265" t="s">
        <v>894</v>
      </c>
      <c r="AC49" s="265" t="s">
        <v>729</v>
      </c>
    </row>
    <row r="50" spans="4:36" x14ac:dyDescent="0.2">
      <c r="H50" s="498"/>
      <c r="I50" s="498" t="str">
        <f>'Configuration options'!D10</f>
        <v>101-300%</v>
      </c>
      <c r="J50" s="498" t="str">
        <f>'Configuration options'!J10</f>
        <v>m3/mês</v>
      </c>
      <c r="K50" s="298"/>
      <c r="L50" s="298"/>
      <c r="M50" s="298"/>
      <c r="Z50" s="265" t="s">
        <v>677</v>
      </c>
      <c r="AA50" s="265" t="s">
        <v>35</v>
      </c>
      <c r="AB50" s="265" t="s">
        <v>394</v>
      </c>
      <c r="AC50" s="265" t="s">
        <v>789</v>
      </c>
    </row>
    <row r="51" spans="4:36" x14ac:dyDescent="0.2">
      <c r="H51" s="498"/>
      <c r="I51" s="498"/>
      <c r="J51" s="498" t="str">
        <f>'Configuration options'!J11</f>
        <v>m3/ano</v>
      </c>
      <c r="K51" s="298"/>
      <c r="L51" s="298"/>
      <c r="M51" s="298"/>
    </row>
    <row r="52" spans="4:36" x14ac:dyDescent="0.2">
      <c r="G52" s="17"/>
      <c r="H52" s="298"/>
      <c r="I52" s="298"/>
      <c r="J52" s="298"/>
      <c r="K52" s="298"/>
      <c r="L52" s="298"/>
      <c r="M52" s="298"/>
      <c r="N52" s="298"/>
      <c r="Z52" s="265" t="s">
        <v>681</v>
      </c>
      <c r="AA52" s="265" t="s">
        <v>27</v>
      </c>
      <c r="AB52" s="265" t="s">
        <v>678</v>
      </c>
      <c r="AC52" s="265" t="s">
        <v>349</v>
      </c>
    </row>
    <row r="53" spans="4:36" x14ac:dyDescent="0.2">
      <c r="G53" s="17"/>
      <c r="L53" s="296"/>
      <c r="M53" s="597"/>
      <c r="N53" s="298"/>
      <c r="Z53" s="265" t="s">
        <v>682</v>
      </c>
      <c r="AA53" s="265" t="s">
        <v>33</v>
      </c>
      <c r="AB53" s="265" t="s">
        <v>679</v>
      </c>
      <c r="AC53" s="265" t="s">
        <v>350</v>
      </c>
    </row>
    <row r="54" spans="4:36" s="639" customFormat="1" x14ac:dyDescent="0.2">
      <c r="D54" s="640"/>
      <c r="G54" s="646"/>
      <c r="H54" s="640"/>
      <c r="I54" s="640"/>
      <c r="J54" s="640"/>
      <c r="K54" s="640"/>
      <c r="L54" s="635"/>
      <c r="M54" s="659"/>
      <c r="N54" s="647"/>
      <c r="O54" s="640"/>
      <c r="P54" s="640"/>
      <c r="Q54" s="640"/>
      <c r="R54" s="640"/>
      <c r="S54" s="640"/>
      <c r="T54" s="640"/>
      <c r="U54" s="640"/>
      <c r="V54" s="640"/>
      <c r="W54" s="640"/>
      <c r="X54" s="640"/>
      <c r="Y54" s="640"/>
      <c r="Z54" s="640" t="s">
        <v>683</v>
      </c>
      <c r="AA54" s="640" t="s">
        <v>475</v>
      </c>
      <c r="AB54" s="640" t="s">
        <v>680</v>
      </c>
      <c r="AC54" s="640" t="s">
        <v>351</v>
      </c>
      <c r="AD54" s="640"/>
      <c r="AE54" s="640"/>
      <c r="AF54" s="640"/>
      <c r="AG54" s="640"/>
      <c r="AH54" s="640"/>
      <c r="AI54" s="640"/>
      <c r="AJ54" s="640"/>
    </row>
    <row r="55" spans="4:36" s="639" customFormat="1" x14ac:dyDescent="0.2">
      <c r="D55" s="640"/>
      <c r="G55" s="646"/>
      <c r="H55" s="640"/>
      <c r="I55" s="640"/>
      <c r="J55" s="640"/>
      <c r="K55" s="640"/>
      <c r="L55" s="647"/>
      <c r="M55" s="647"/>
      <c r="N55" s="647"/>
      <c r="O55" s="640"/>
      <c r="P55" s="640"/>
      <c r="Q55" s="640"/>
      <c r="R55" s="640"/>
      <c r="S55" s="640"/>
      <c r="T55" s="640"/>
      <c r="U55" s="640"/>
      <c r="V55" s="640"/>
      <c r="W55" s="640"/>
      <c r="X55" s="640"/>
      <c r="Y55" s="640"/>
      <c r="Z55" s="632" t="s">
        <v>901</v>
      </c>
      <c r="AA55" s="576" t="s">
        <v>912</v>
      </c>
      <c r="AB55" s="576" t="s">
        <v>913</v>
      </c>
      <c r="AC55" s="576" t="s">
        <v>251</v>
      </c>
      <c r="AD55" s="640"/>
      <c r="AE55" s="640"/>
      <c r="AF55" s="640"/>
      <c r="AG55" s="640"/>
      <c r="AH55" s="640"/>
      <c r="AI55" s="640"/>
      <c r="AJ55" s="640"/>
    </row>
    <row r="56" spans="4:36" s="639" customFormat="1" ht="22.5" x14ac:dyDescent="0.2">
      <c r="D56" s="640"/>
      <c r="G56" s="646"/>
      <c r="H56" s="640"/>
      <c r="I56" s="640"/>
      <c r="J56" s="640"/>
      <c r="K56" s="640"/>
      <c r="L56" s="647"/>
      <c r="M56" s="647"/>
      <c r="N56" s="647"/>
      <c r="O56" s="640"/>
      <c r="P56" s="640"/>
      <c r="Q56" s="640"/>
      <c r="R56" s="640"/>
      <c r="S56" s="640"/>
      <c r="T56" s="640"/>
      <c r="U56" s="640"/>
      <c r="V56" s="640"/>
      <c r="W56" s="640"/>
      <c r="X56" s="640"/>
      <c r="Y56" s="640"/>
      <c r="Z56" s="641" t="s">
        <v>935</v>
      </c>
      <c r="AA56" s="656" t="s">
        <v>837</v>
      </c>
      <c r="AB56" s="656" t="s">
        <v>264</v>
      </c>
      <c r="AC56" s="656" t="s">
        <v>308</v>
      </c>
      <c r="AD56" s="640"/>
      <c r="AE56" s="640"/>
      <c r="AF56" s="640"/>
      <c r="AG56" s="640"/>
      <c r="AH56" s="640"/>
      <c r="AI56" s="640"/>
      <c r="AJ56" s="640"/>
    </row>
    <row r="57" spans="4:36" s="639" customFormat="1" x14ac:dyDescent="0.2">
      <c r="D57" s="640"/>
      <c r="G57" s="646"/>
      <c r="H57" s="640"/>
      <c r="I57" s="640"/>
      <c r="J57" s="640"/>
      <c r="K57" s="640"/>
      <c r="L57" s="640"/>
      <c r="M57" s="640"/>
      <c r="N57" s="640"/>
      <c r="O57" s="640"/>
      <c r="P57" s="640"/>
      <c r="Q57" s="640"/>
      <c r="R57" s="640"/>
      <c r="S57" s="640"/>
      <c r="T57" s="640"/>
      <c r="U57" s="640"/>
      <c r="V57" s="640"/>
      <c r="W57" s="640"/>
      <c r="X57" s="640"/>
      <c r="Y57" s="640"/>
      <c r="Z57" s="641" t="s">
        <v>936</v>
      </c>
      <c r="AA57" s="656" t="s">
        <v>925</v>
      </c>
      <c r="AB57" s="656" t="s">
        <v>925</v>
      </c>
      <c r="AC57" s="655" t="s">
        <v>352</v>
      </c>
      <c r="AD57" s="640"/>
      <c r="AE57" s="640"/>
      <c r="AF57" s="640"/>
      <c r="AG57" s="640"/>
      <c r="AH57" s="640"/>
      <c r="AI57" s="640"/>
      <c r="AJ57" s="640"/>
    </row>
    <row r="58" spans="4:36" s="639" customFormat="1" ht="22.5" x14ac:dyDescent="0.2">
      <c r="D58" s="640"/>
      <c r="G58" s="646"/>
      <c r="H58" s="640"/>
      <c r="I58" s="640"/>
      <c r="J58" s="640"/>
      <c r="K58" s="640"/>
      <c r="L58" s="640"/>
      <c r="M58" s="640"/>
      <c r="N58" s="640"/>
      <c r="O58" s="640"/>
      <c r="P58" s="640"/>
      <c r="Q58" s="640"/>
      <c r="R58" s="640"/>
      <c r="S58" s="640"/>
      <c r="T58" s="640"/>
      <c r="U58" s="640"/>
      <c r="V58" s="640"/>
      <c r="W58" s="640"/>
      <c r="X58" s="640"/>
      <c r="Y58" s="640"/>
      <c r="Z58" s="654" t="s">
        <v>941</v>
      </c>
      <c r="AA58" s="656" t="s">
        <v>928</v>
      </c>
      <c r="AB58" s="655" t="s">
        <v>266</v>
      </c>
      <c r="AC58" s="655" t="s">
        <v>310</v>
      </c>
      <c r="AD58" s="640"/>
      <c r="AE58" s="640"/>
      <c r="AF58" s="640"/>
      <c r="AG58" s="640"/>
      <c r="AH58" s="640"/>
      <c r="AI58" s="640"/>
      <c r="AJ58" s="640"/>
    </row>
    <row r="59" spans="4:36" s="639" customFormat="1" ht="22.5" x14ac:dyDescent="0.2">
      <c r="D59" s="640"/>
      <c r="G59" s="646"/>
      <c r="H59" s="640"/>
      <c r="I59" s="640"/>
      <c r="J59" s="640"/>
      <c r="K59" s="640"/>
      <c r="L59" s="640"/>
      <c r="M59" s="640"/>
      <c r="N59" s="640"/>
      <c r="O59" s="640"/>
      <c r="P59" s="640"/>
      <c r="Q59" s="640"/>
      <c r="R59" s="640"/>
      <c r="S59" s="640"/>
      <c r="T59" s="640"/>
      <c r="U59" s="640"/>
      <c r="V59" s="640"/>
      <c r="W59" s="640"/>
      <c r="X59" s="640"/>
      <c r="Y59" s="640"/>
      <c r="Z59" s="654" t="s">
        <v>937</v>
      </c>
      <c r="AA59" s="656" t="s">
        <v>836</v>
      </c>
      <c r="AB59" s="656" t="s">
        <v>835</v>
      </c>
      <c r="AC59" s="655" t="s">
        <v>353</v>
      </c>
      <c r="AD59" s="640"/>
      <c r="AE59" s="640"/>
      <c r="AF59" s="640"/>
      <c r="AG59" s="640"/>
      <c r="AH59" s="640"/>
      <c r="AI59" s="640"/>
      <c r="AJ59" s="640"/>
    </row>
    <row r="60" spans="4:36" s="639" customFormat="1" ht="22.5" x14ac:dyDescent="0.2">
      <c r="D60" s="640"/>
      <c r="H60" s="640"/>
      <c r="I60" s="640"/>
      <c r="J60" s="640"/>
      <c r="K60" s="640"/>
      <c r="L60" s="640"/>
      <c r="M60" s="640"/>
      <c r="N60" s="640"/>
      <c r="O60" s="640"/>
      <c r="P60" s="640"/>
      <c r="Q60" s="640"/>
      <c r="R60" s="640"/>
      <c r="S60" s="640"/>
      <c r="T60" s="640"/>
      <c r="U60" s="640"/>
      <c r="V60" s="640"/>
      <c r="W60" s="640"/>
      <c r="X60" s="640"/>
      <c r="Y60" s="640"/>
      <c r="Z60" s="654" t="s">
        <v>938</v>
      </c>
      <c r="AA60" s="656" t="s">
        <v>269</v>
      </c>
      <c r="AB60" s="655" t="s">
        <v>270</v>
      </c>
      <c r="AC60" s="655" t="s">
        <v>313</v>
      </c>
      <c r="AD60" s="640"/>
      <c r="AE60" s="640"/>
      <c r="AF60" s="640"/>
      <c r="AG60" s="640"/>
      <c r="AH60" s="640"/>
      <c r="AI60" s="640"/>
      <c r="AJ60" s="640"/>
    </row>
    <row r="61" spans="4:36" x14ac:dyDescent="0.2">
      <c r="H61" s="653"/>
      <c r="Z61" s="654" t="s">
        <v>939</v>
      </c>
      <c r="AA61" s="656" t="s">
        <v>895</v>
      </c>
      <c r="AB61" s="633" t="s">
        <v>914</v>
      </c>
      <c r="AC61" s="633" t="s">
        <v>354</v>
      </c>
    </row>
    <row r="62" spans="4:36" ht="22.5" x14ac:dyDescent="0.2">
      <c r="H62" s="653"/>
      <c r="Z62" s="651" t="s">
        <v>940</v>
      </c>
      <c r="AA62" s="655" t="s">
        <v>409</v>
      </c>
      <c r="AB62" s="655" t="s">
        <v>272</v>
      </c>
      <c r="AC62" s="655" t="s">
        <v>316</v>
      </c>
    </row>
  </sheetData>
  <sheetProtection sheet="1" objects="1" scenarios="1"/>
  <mergeCells count="8">
    <mergeCell ref="G4:G9"/>
    <mergeCell ref="G10:G12"/>
    <mergeCell ref="G32:G37"/>
    <mergeCell ref="G38:G39"/>
    <mergeCell ref="G17:G19"/>
    <mergeCell ref="G20:G23"/>
    <mergeCell ref="G24:G27"/>
    <mergeCell ref="G28:G31"/>
  </mergeCells>
  <phoneticPr fontId="8" type="noConversion"/>
  <dataValidations count="3">
    <dataValidation type="list" allowBlank="1" showInputMessage="1" showErrorMessage="1" sqref="E5:E9 E11:E12 E18:E19 E21:E23 E39 E29:E31 E33:E37 E25:E27" xr:uid="{00000000-0002-0000-0800-000000000000}">
      <formula1>$H$46:$H$48</formula1>
    </dataValidation>
    <dataValidation type="list" allowBlank="1" showInputMessage="1" showErrorMessage="1" sqref="F5:F9 F11:F12 F18:F19 F21:F23 F39 F29:F31 F33:F37 F25:F27" xr:uid="{00000000-0002-0000-0800-000001000000}">
      <formula1>$I$46:$I$50</formula1>
    </dataValidation>
    <dataValidation type="list" allowBlank="1" showInputMessage="1" showErrorMessage="1" sqref="C5:C9 C11:C12 C19 C21 C33:C37 C39" xr:uid="{00000000-0002-0000-0800-000002000000}">
      <formula1>$J$45:$J$51</formula1>
    </dataValidation>
  </dataValidations>
  <pageMargins left="0.75" right="0.75" top="1" bottom="1" header="0.5" footer="0.5"/>
  <pageSetup paperSize="9" orientation="portrait"/>
  <headerFooter alignWithMargins="0"/>
  <ignoredErrors>
    <ignoredError sqref="A5:A7 A21:A35" unlockedFormula="1"/>
  </ignoredErrors>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12</vt:i4>
      </vt:variant>
      <vt:variant>
        <vt:lpstr>Intervalos com Nome</vt:lpstr>
      </vt:variant>
      <vt:variant>
        <vt:i4>14</vt:i4>
      </vt:variant>
    </vt:vector>
  </HeadingPairs>
  <TitlesOfParts>
    <vt:vector size="26" baseType="lpstr">
      <vt:lpstr>Output (1)</vt:lpstr>
      <vt:lpstr>Instruc.</vt:lpstr>
      <vt:lpstr>Output (2)</vt:lpstr>
      <vt:lpstr>Output (3)</vt:lpstr>
      <vt:lpstr>Output (4)</vt:lpstr>
      <vt:lpstr>Input (1)</vt:lpstr>
      <vt:lpstr>Input (2)</vt:lpstr>
      <vt:lpstr>Input (3)</vt:lpstr>
      <vt:lpstr>Input (4)</vt:lpstr>
      <vt:lpstr>Input (5)</vt:lpstr>
      <vt:lpstr>Input (6)</vt:lpstr>
      <vt:lpstr>Configuration options</vt:lpstr>
      <vt:lpstr>'Output (3)'!_Toc54488893</vt:lpstr>
      <vt:lpstr>'Output (4)'!Área_de_Impressão</vt:lpstr>
      <vt:lpstr>Traduções_1</vt:lpstr>
      <vt:lpstr>Traduções_2</vt:lpstr>
      <vt:lpstr>Traduções_3</vt:lpstr>
      <vt:lpstr>Traduções_4</vt:lpstr>
      <vt:lpstr>Traduções_5</vt:lpstr>
      <vt:lpstr>Traduções_6</vt:lpstr>
      <vt:lpstr>Traduções_Instruções</vt:lpstr>
      <vt:lpstr>Traduções_Opçõesdeconfiguração</vt:lpstr>
      <vt:lpstr>Traduções_ResBalanço</vt:lpstr>
      <vt:lpstr>Traduções_ResIndicadores</vt:lpstr>
      <vt:lpstr>Traduções_ResSintese</vt:lpstr>
      <vt:lpstr>Traduções_Rosto</vt:lpstr>
    </vt:vector>
  </TitlesOfParts>
  <Company>LNEC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Helena Alegre</dc:creator>
  <cp:lastModifiedBy>Regina Casimiro</cp:lastModifiedBy>
  <cp:lastPrinted>2006-05-26T08:41:40Z</cp:lastPrinted>
  <dcterms:created xsi:type="dcterms:W3CDTF">2004-10-26T20:30:12Z</dcterms:created>
  <dcterms:modified xsi:type="dcterms:W3CDTF">2019-08-28T15:11:54Z</dcterms:modified>
</cp:coreProperties>
</file>