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genbaev_S\Downloads\БайТушум\"/>
    </mc:Choice>
  </mc:AlternateContent>
  <bookViews>
    <workbookView xWindow="0" yWindow="0" windowWidth="25110" windowHeight="11880"/>
  </bookViews>
  <sheets>
    <sheet name="Банк" sheetId="2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6" i="2" l="1"/>
  <c r="AB97" i="2"/>
  <c r="Z97" i="2" l="1"/>
  <c r="AA97" i="2"/>
  <c r="Y97" i="2"/>
  <c r="Z96" i="2"/>
  <c r="AA96" i="2"/>
  <c r="AB96" i="2"/>
  <c r="Y96" i="2"/>
  <c r="Z95" i="2"/>
  <c r="AA95" i="2"/>
  <c r="AB95" i="2"/>
  <c r="Y95" i="2"/>
  <c r="Z94" i="2"/>
  <c r="AA94" i="2"/>
  <c r="AB94" i="2"/>
  <c r="Y94" i="2"/>
  <c r="AC91" i="2"/>
  <c r="AC90" i="2"/>
  <c r="AB88" i="2"/>
  <c r="AA88" i="2"/>
  <c r="Z88" i="2"/>
  <c r="Y88" i="2"/>
  <c r="AB87" i="2"/>
  <c r="AA87" i="2"/>
  <c r="Z87" i="2"/>
  <c r="Y87" i="2"/>
  <c r="AB86" i="2"/>
  <c r="AA86" i="2"/>
  <c r="Z86" i="2"/>
  <c r="Y86" i="2"/>
  <c r="AB85" i="2"/>
  <c r="AA85" i="2"/>
  <c r="Z85" i="2"/>
  <c r="Y85" i="2"/>
  <c r="AB84" i="2"/>
  <c r="AA84" i="2"/>
  <c r="Z84" i="2"/>
  <c r="Y84" i="2"/>
  <c r="H41" i="2"/>
  <c r="AE29" i="2" l="1"/>
  <c r="AC29" i="2"/>
  <c r="AE28" i="2"/>
  <c r="AC28" i="2"/>
  <c r="AF27" i="2"/>
  <c r="AE27" i="2"/>
  <c r="AD27" i="2"/>
  <c r="AC27" i="2"/>
  <c r="AF26" i="2"/>
  <c r="AE26" i="2"/>
  <c r="AD26" i="2"/>
  <c r="AC26" i="2"/>
  <c r="Y28" i="2"/>
  <c r="Z28" i="2"/>
  <c r="AA28" i="2"/>
  <c r="AB28" i="2"/>
  <c r="Y29" i="2"/>
  <c r="Z29" i="2"/>
  <c r="AA29" i="2"/>
  <c r="AB29" i="2"/>
  <c r="X29" i="2"/>
  <c r="X28" i="2"/>
  <c r="Y27" i="2"/>
  <c r="Z27" i="2"/>
  <c r="AA27" i="2"/>
  <c r="AB27" i="2"/>
  <c r="X27" i="2"/>
  <c r="Y26" i="2"/>
  <c r="Z26" i="2"/>
  <c r="AA26" i="2"/>
  <c r="AB26" i="2"/>
  <c r="X26" i="2"/>
  <c r="AC25" i="2"/>
  <c r="AC24" i="2"/>
  <c r="X24" i="2"/>
  <c r="Y24" i="2"/>
  <c r="Z24" i="2"/>
  <c r="AA24" i="2"/>
  <c r="X25" i="2"/>
  <c r="Y25" i="2"/>
  <c r="Z25" i="2"/>
  <c r="AA25" i="2"/>
  <c r="H15" i="2"/>
  <c r="H24" i="2"/>
  <c r="H38" i="2"/>
  <c r="AC47" i="2"/>
  <c r="AC46" i="2"/>
  <c r="AC45" i="2"/>
  <c r="AC44" i="2"/>
  <c r="AC42" i="2"/>
  <c r="AC41" i="2"/>
  <c r="AC39" i="2"/>
  <c r="AC38" i="2"/>
  <c r="AC37" i="2"/>
  <c r="AC36" i="2"/>
  <c r="AC35" i="2"/>
  <c r="AD75" i="2"/>
  <c r="AC75" i="2"/>
  <c r="AD73" i="2"/>
  <c r="AC73" i="2"/>
  <c r="AD72" i="2"/>
  <c r="AC72" i="2"/>
  <c r="AD70" i="2"/>
  <c r="AC70" i="2"/>
  <c r="AD68" i="2"/>
  <c r="AC68" i="2"/>
  <c r="AD67" i="2"/>
  <c r="AC67" i="2"/>
  <c r="C37" i="2"/>
  <c r="C21" i="2"/>
  <c r="C17" i="2" l="1"/>
  <c r="Y80" i="2"/>
  <c r="Y81" i="2"/>
  <c r="Y82" i="2"/>
  <c r="Y90" i="2"/>
  <c r="Y66" i="2"/>
  <c r="Y67" i="2"/>
  <c r="Y68" i="2"/>
  <c r="Y69" i="2" s="1"/>
  <c r="Y71" i="2" s="1"/>
  <c r="Y74" i="2" s="1"/>
  <c r="Y76" i="2" s="1"/>
  <c r="Y77" i="2" s="1"/>
  <c r="Y70" i="2"/>
  <c r="Y72" i="2"/>
  <c r="Y73" i="2"/>
  <c r="Y75" i="2"/>
  <c r="Y31" i="2"/>
  <c r="Y32" i="2"/>
  <c r="Y33" i="2"/>
  <c r="Y35" i="2"/>
  <c r="Y36" i="2"/>
  <c r="Y37" i="2"/>
  <c r="Y38" i="2"/>
  <c r="Y39" i="2"/>
  <c r="Y41" i="2"/>
  <c r="Y42" i="2"/>
  <c r="Y44" i="2"/>
  <c r="Y45" i="2"/>
  <c r="Y46" i="2"/>
  <c r="Y47" i="2"/>
  <c r="Y2" i="2"/>
  <c r="Y5" i="2"/>
  <c r="Y6" i="2"/>
  <c r="Y21" i="2" s="1"/>
  <c r="Y23" i="2" s="1"/>
  <c r="Y7" i="2"/>
  <c r="Y8" i="2"/>
  <c r="Y9" i="2"/>
  <c r="Y10" i="2"/>
  <c r="Y12" i="2"/>
  <c r="Y13" i="2"/>
  <c r="Y14" i="2"/>
  <c r="Y15" i="2"/>
  <c r="Y16" i="2"/>
  <c r="Y17" i="2"/>
  <c r="Y18" i="2"/>
  <c r="Y20" i="2"/>
  <c r="Y22" i="2"/>
  <c r="L17" i="2"/>
  <c r="L16" i="2"/>
  <c r="L15" i="2"/>
  <c r="L14" i="2"/>
  <c r="L13" i="2"/>
  <c r="L12" i="2"/>
  <c r="L11" i="2"/>
  <c r="L10" i="2"/>
  <c r="L9" i="2"/>
  <c r="L8" i="2"/>
  <c r="L7" i="2"/>
  <c r="L6" i="2"/>
  <c r="L18" i="2" s="1"/>
  <c r="L5" i="2"/>
  <c r="L4" i="2"/>
  <c r="L3" i="2"/>
  <c r="D145" i="2"/>
  <c r="D143" i="2"/>
  <c r="D142" i="2"/>
  <c r="D140" i="2"/>
  <c r="D138" i="2"/>
  <c r="D136" i="2"/>
  <c r="D132" i="2"/>
  <c r="D123" i="2"/>
  <c r="D119" i="2"/>
  <c r="D118" i="2"/>
  <c r="D117" i="2"/>
  <c r="D116" i="2"/>
  <c r="D111" i="2"/>
  <c r="D108" i="2"/>
  <c r="D106" i="2"/>
  <c r="D105" i="2"/>
  <c r="D95" i="2"/>
  <c r="D90" i="2"/>
  <c r="D88" i="2"/>
  <c r="D81" i="2"/>
  <c r="D80" i="2"/>
  <c r="D85" i="2" s="1"/>
  <c r="D79" i="2"/>
  <c r="D94" i="2" s="1"/>
  <c r="D75" i="2"/>
  <c r="D58" i="2"/>
  <c r="D120" i="2" s="1"/>
  <c r="D57" i="2"/>
  <c r="D60" i="2" s="1"/>
  <c r="D62" i="2" s="1"/>
  <c r="D64" i="2" s="1"/>
  <c r="D66" i="2" s="1"/>
  <c r="D55" i="2"/>
  <c r="D50" i="2"/>
  <c r="D137" i="2" s="1"/>
  <c r="D39" i="2"/>
  <c r="D139" i="2" s="1"/>
  <c r="D37" i="2"/>
  <c r="D128" i="2" s="1"/>
  <c r="D23" i="2"/>
  <c r="D21" i="2"/>
  <c r="D16" i="2"/>
  <c r="D141" i="2" s="1"/>
  <c r="D13" i="2"/>
  <c r="D9" i="2"/>
  <c r="D22" i="2" s="1"/>
  <c r="Y91" i="2" l="1"/>
  <c r="D112" i="2"/>
  <c r="D72" i="2"/>
  <c r="D144" i="2"/>
  <c r="D133" i="2"/>
  <c r="D129" i="2"/>
  <c r="D124" i="2"/>
  <c r="D122" i="2"/>
  <c r="D114" i="2"/>
  <c r="D109" i="2"/>
  <c r="D135" i="2"/>
  <c r="D126" i="2"/>
  <c r="D40" i="2"/>
  <c r="D51" i="2"/>
  <c r="D52" i="2" s="1"/>
  <c r="D74" i="2"/>
  <c r="D77" i="2"/>
  <c r="D89" i="2"/>
  <c r="D110" i="2"/>
  <c r="D125" i="2"/>
  <c r="H48" i="2"/>
  <c r="Z66" i="2"/>
  <c r="AA66" i="2"/>
  <c r="AB66" i="2"/>
  <c r="X66" i="2"/>
  <c r="Z75" i="2"/>
  <c r="AA75" i="2"/>
  <c r="AB75" i="2"/>
  <c r="X75" i="2"/>
  <c r="Z73" i="2"/>
  <c r="AA73" i="2"/>
  <c r="AB73" i="2"/>
  <c r="X73" i="2"/>
  <c r="X70" i="2"/>
  <c r="Z70" i="2"/>
  <c r="AA70" i="2"/>
  <c r="AB70" i="2"/>
  <c r="X68" i="2"/>
  <c r="Z68" i="2"/>
  <c r="AA68" i="2"/>
  <c r="AB68" i="2"/>
  <c r="Z67" i="2"/>
  <c r="AA67" i="2"/>
  <c r="Z81" i="2"/>
  <c r="AA81" i="2"/>
  <c r="Z13" i="2"/>
  <c r="AA13" i="2"/>
  <c r="AB13" i="2"/>
  <c r="X13" i="2"/>
  <c r="Z14" i="2"/>
  <c r="AA14" i="2"/>
  <c r="AB2" i="2"/>
  <c r="Z2" i="2"/>
  <c r="AA2" i="2"/>
  <c r="Z8" i="2"/>
  <c r="AA8" i="2"/>
  <c r="X2" i="2"/>
  <c r="M11" i="2"/>
  <c r="N11" i="2"/>
  <c r="O11" i="2"/>
  <c r="K11" i="2"/>
  <c r="G58" i="2"/>
  <c r="G37" i="2"/>
  <c r="AB14" i="2" s="1"/>
  <c r="G21" i="2"/>
  <c r="G17" i="2"/>
  <c r="G5" i="2"/>
  <c r="G4" i="2"/>
  <c r="D92" i="2" l="1"/>
  <c r="D93" i="2"/>
  <c r="D82" i="2"/>
  <c r="D78" i="2"/>
  <c r="D84" i="2" s="1"/>
  <c r="D87" i="2"/>
  <c r="AA69" i="2"/>
  <c r="AA71" i="2" s="1"/>
  <c r="Z69" i="2"/>
  <c r="Z71" i="2" s="1"/>
  <c r="AC13" i="2"/>
  <c r="AE13" i="2"/>
  <c r="AF14" i="2"/>
  <c r="AF13" i="2"/>
  <c r="AD13" i="2"/>
  <c r="AE14" i="2"/>
  <c r="F58" i="2"/>
  <c r="AA72" i="2" s="1"/>
  <c r="E58" i="2"/>
  <c r="Z72" i="2" s="1"/>
  <c r="Z74" i="2" s="1"/>
  <c r="Z76" i="2" s="1"/>
  <c r="E24" i="2"/>
  <c r="Z12" i="2" s="1"/>
  <c r="Z15" i="2" s="1"/>
  <c r="F24" i="2"/>
  <c r="F39" i="2" s="1"/>
  <c r="N12" i="2" s="1"/>
  <c r="E106" i="2"/>
  <c r="E21" i="2"/>
  <c r="Z9" i="2" s="1"/>
  <c r="F21" i="2"/>
  <c r="AA9" i="2" s="1"/>
  <c r="E16" i="2"/>
  <c r="Z7" i="2" s="1"/>
  <c r="F16" i="2"/>
  <c r="AA7" i="2" s="1"/>
  <c r="X9" i="2"/>
  <c r="G145" i="2"/>
  <c r="F145" i="2"/>
  <c r="E145" i="2"/>
  <c r="C145" i="2"/>
  <c r="G143" i="2"/>
  <c r="F143" i="2"/>
  <c r="E143" i="2"/>
  <c r="C143" i="2"/>
  <c r="G142" i="2"/>
  <c r="F142" i="2"/>
  <c r="E142" i="2"/>
  <c r="C142" i="2"/>
  <c r="G140" i="2"/>
  <c r="F140" i="2"/>
  <c r="E140" i="2"/>
  <c r="C140" i="2"/>
  <c r="G138" i="2"/>
  <c r="F138" i="2"/>
  <c r="G136" i="2"/>
  <c r="F136" i="2"/>
  <c r="E136" i="2"/>
  <c r="C136" i="2"/>
  <c r="G132" i="2"/>
  <c r="F132" i="2"/>
  <c r="E132" i="2"/>
  <c r="C132" i="2"/>
  <c r="G128" i="2"/>
  <c r="F128" i="2"/>
  <c r="C128" i="2"/>
  <c r="G123" i="2"/>
  <c r="F123" i="2"/>
  <c r="E123" i="2"/>
  <c r="C123" i="2"/>
  <c r="G120" i="2"/>
  <c r="G119" i="2"/>
  <c r="G118" i="2"/>
  <c r="F118" i="2"/>
  <c r="E118" i="2"/>
  <c r="C118" i="2"/>
  <c r="G117" i="2"/>
  <c r="G116" i="2"/>
  <c r="F116" i="2"/>
  <c r="E116" i="2"/>
  <c r="C116" i="2"/>
  <c r="G108" i="2"/>
  <c r="C108" i="2"/>
  <c r="G106" i="2"/>
  <c r="C106" i="2"/>
  <c r="G105" i="2"/>
  <c r="F105" i="2"/>
  <c r="E105" i="2"/>
  <c r="C105" i="2"/>
  <c r="G90" i="2"/>
  <c r="V88" i="2"/>
  <c r="V87" i="2"/>
  <c r="V86" i="2"/>
  <c r="V85" i="2"/>
  <c r="G81" i="2"/>
  <c r="F81" i="2"/>
  <c r="E81" i="2"/>
  <c r="C81" i="2"/>
  <c r="G79" i="2"/>
  <c r="F79" i="2"/>
  <c r="E79" i="2"/>
  <c r="C79" i="2"/>
  <c r="V82" i="2"/>
  <c r="V81" i="2"/>
  <c r="G77" i="2"/>
  <c r="G78" i="2" s="1"/>
  <c r="G75" i="2"/>
  <c r="F75" i="2"/>
  <c r="C75" i="2"/>
  <c r="AB72" i="2"/>
  <c r="AB67" i="2"/>
  <c r="X67" i="2"/>
  <c r="G55" i="2"/>
  <c r="G88" i="2" s="1"/>
  <c r="F55" i="2"/>
  <c r="E55" i="2"/>
  <c r="C55" i="2"/>
  <c r="G50" i="2"/>
  <c r="F50" i="2"/>
  <c r="E50" i="2"/>
  <c r="C50" i="2"/>
  <c r="A42" i="2"/>
  <c r="A43" i="2" s="1"/>
  <c r="A44" i="2" s="1"/>
  <c r="A45" i="2" s="1"/>
  <c r="A46" i="2" s="1"/>
  <c r="A47" i="2" s="1"/>
  <c r="A48" i="2" s="1"/>
  <c r="A49" i="2" s="1"/>
  <c r="A50" i="2" s="1"/>
  <c r="A51" i="2" s="1"/>
  <c r="G39" i="2"/>
  <c r="O12" i="2" s="1"/>
  <c r="G23" i="2"/>
  <c r="C23" i="2"/>
  <c r="G16" i="2"/>
  <c r="AB7" i="2" s="1"/>
  <c r="C16" i="2"/>
  <c r="X7" i="2" s="1"/>
  <c r="O15" i="2"/>
  <c r="N15" i="2"/>
  <c r="M15" i="2"/>
  <c r="K15" i="2"/>
  <c r="O14" i="2"/>
  <c r="N14" i="2"/>
  <c r="M14" i="2"/>
  <c r="K14" i="2"/>
  <c r="O13" i="2"/>
  <c r="N13" i="2"/>
  <c r="M13" i="2"/>
  <c r="K13" i="2"/>
  <c r="G13" i="2"/>
  <c r="F13" i="2"/>
  <c r="E13" i="2"/>
  <c r="Z6" i="2" s="1"/>
  <c r="C13" i="2"/>
  <c r="K8" i="2" s="1"/>
  <c r="AB12" i="2"/>
  <c r="X12" i="2"/>
  <c r="O10" i="2"/>
  <c r="K10" i="2"/>
  <c r="AB9" i="2"/>
  <c r="G9" i="2"/>
  <c r="O4" i="2" s="1"/>
  <c r="F9" i="2"/>
  <c r="AA5" i="2" s="1"/>
  <c r="E9" i="2"/>
  <c r="C9" i="2"/>
  <c r="K4" i="2" s="1"/>
  <c r="AB8" i="2"/>
  <c r="X8" i="2"/>
  <c r="O8" i="2"/>
  <c r="AB6" i="2"/>
  <c r="O6" i="2"/>
  <c r="K6" i="2"/>
  <c r="P6" i="2" s="1"/>
  <c r="O5" i="2"/>
  <c r="N5" i="2"/>
  <c r="M5" i="2"/>
  <c r="K5" i="2"/>
  <c r="P5" i="2" s="1"/>
  <c r="N4" i="2"/>
  <c r="O3" i="2"/>
  <c r="N3" i="2"/>
  <c r="M3" i="2"/>
  <c r="K3" i="2"/>
  <c r="AC85" i="2" l="1"/>
  <c r="AD85" i="2"/>
  <c r="AC88" i="2"/>
  <c r="AD88" i="2"/>
  <c r="AC87" i="2"/>
  <c r="AD87" i="2"/>
  <c r="AC86" i="2"/>
  <c r="AD86" i="2"/>
  <c r="X16" i="2"/>
  <c r="D68" i="2"/>
  <c r="D73" i="2" s="1"/>
  <c r="O16" i="2"/>
  <c r="H50" i="2"/>
  <c r="M8" i="2"/>
  <c r="N10" i="2"/>
  <c r="X5" i="2"/>
  <c r="X32" i="2" s="1"/>
  <c r="N7" i="2"/>
  <c r="AF8" i="2"/>
  <c r="AE8" i="2"/>
  <c r="AC8" i="2"/>
  <c r="AD8" i="2"/>
  <c r="M4" i="2"/>
  <c r="Z5" i="2"/>
  <c r="N8" i="2"/>
  <c r="AA6" i="2"/>
  <c r="AF6" i="2" s="1"/>
  <c r="M16" i="2"/>
  <c r="Z16" i="2"/>
  <c r="Z17" i="2" s="1"/>
  <c r="X69" i="2"/>
  <c r="X71" i="2" s="1"/>
  <c r="AB82" i="2"/>
  <c r="Z21" i="2"/>
  <c r="AA82" i="2"/>
  <c r="AA80" i="2"/>
  <c r="M7" i="2"/>
  <c r="AA20" i="2"/>
  <c r="AF9" i="2"/>
  <c r="AD9" i="2"/>
  <c r="AC9" i="2"/>
  <c r="AE9" i="2"/>
  <c r="M10" i="2"/>
  <c r="AD12" i="2"/>
  <c r="AC12" i="2"/>
  <c r="AF7" i="2"/>
  <c r="AD7" i="2"/>
  <c r="AC7" i="2"/>
  <c r="AE7" i="2"/>
  <c r="N16" i="2"/>
  <c r="AA16" i="2"/>
  <c r="AB69" i="2"/>
  <c r="C138" i="2"/>
  <c r="X14" i="2"/>
  <c r="E15" i="2"/>
  <c r="F15" i="2"/>
  <c r="F106" i="2"/>
  <c r="AA12" i="2"/>
  <c r="AA15" i="2" s="1"/>
  <c r="Z80" i="2"/>
  <c r="Z82" i="2"/>
  <c r="AA74" i="2"/>
  <c r="AA76" i="2" s="1"/>
  <c r="X6" i="2"/>
  <c r="AC6" i="2" s="1"/>
  <c r="O7" i="2"/>
  <c r="AB16" i="2"/>
  <c r="O18" i="2"/>
  <c r="E75" i="2"/>
  <c r="F23" i="2"/>
  <c r="C39" i="2"/>
  <c r="C51" i="2" s="1"/>
  <c r="C40" i="2" s="1"/>
  <c r="K7" i="2"/>
  <c r="AB80" i="2"/>
  <c r="K16" i="2"/>
  <c r="F51" i="2"/>
  <c r="F40" i="2" s="1"/>
  <c r="K18" i="2"/>
  <c r="E22" i="2"/>
  <c r="G22" i="2"/>
  <c r="C22" i="2"/>
  <c r="D67" i="2" s="1"/>
  <c r="D71" i="2" s="1"/>
  <c r="F22" i="2"/>
  <c r="AB5" i="2"/>
  <c r="F124" i="2"/>
  <c r="AB15" i="2"/>
  <c r="E141" i="2"/>
  <c r="E135" i="2" s="1"/>
  <c r="E111" i="2"/>
  <c r="G141" i="2"/>
  <c r="G135" i="2" s="1"/>
  <c r="G111" i="2"/>
  <c r="AB21" i="2"/>
  <c r="X15" i="2"/>
  <c r="C141" i="2"/>
  <c r="C135" i="2" s="1"/>
  <c r="C111" i="2"/>
  <c r="F141" i="2"/>
  <c r="F135" i="2" s="1"/>
  <c r="F111" i="2"/>
  <c r="E138" i="2"/>
  <c r="E128" i="2"/>
  <c r="E39" i="2"/>
  <c r="G139" i="2"/>
  <c r="E137" i="2"/>
  <c r="E126" i="2"/>
  <c r="G137" i="2"/>
  <c r="G126" i="2"/>
  <c r="E57" i="2"/>
  <c r="G57" i="2"/>
  <c r="C68" i="2"/>
  <c r="F68" i="2"/>
  <c r="AB81" i="2"/>
  <c r="C95" i="2"/>
  <c r="C94" i="2"/>
  <c r="F95" i="2"/>
  <c r="F94" i="2"/>
  <c r="C80" i="2"/>
  <c r="F80" i="2"/>
  <c r="F139" i="2"/>
  <c r="C137" i="2"/>
  <c r="C126" i="2"/>
  <c r="F137" i="2"/>
  <c r="F126" i="2"/>
  <c r="G51" i="2"/>
  <c r="G40" i="2" s="1"/>
  <c r="C57" i="2"/>
  <c r="F57" i="2"/>
  <c r="E68" i="2"/>
  <c r="G68" i="2"/>
  <c r="G93" i="2"/>
  <c r="G92" i="2"/>
  <c r="G82" i="2"/>
  <c r="E95" i="2"/>
  <c r="E94" i="2"/>
  <c r="G95" i="2"/>
  <c r="G94" i="2"/>
  <c r="G87" i="2"/>
  <c r="E80" i="2"/>
  <c r="G80" i="2"/>
  <c r="AC81" i="2" l="1"/>
  <c r="AD81" i="2"/>
  <c r="AC82" i="2"/>
  <c r="AD82" i="2"/>
  <c r="AC84" i="2"/>
  <c r="AD84" i="2"/>
  <c r="AB91" i="2"/>
  <c r="AC80" i="2"/>
  <c r="AD80" i="2"/>
  <c r="AC69" i="2"/>
  <c r="AD69" i="2"/>
  <c r="X17" i="2"/>
  <c r="X44" i="2" s="1"/>
  <c r="AA90" i="2"/>
  <c r="AA91" i="2"/>
  <c r="Z90" i="2"/>
  <c r="Z91" i="2"/>
  <c r="P7" i="2"/>
  <c r="E112" i="2"/>
  <c r="E74" i="2"/>
  <c r="E129" i="2"/>
  <c r="E110" i="2"/>
  <c r="E72" i="2"/>
  <c r="E122" i="2"/>
  <c r="E144" i="2"/>
  <c r="AA21" i="2"/>
  <c r="G110" i="2"/>
  <c r="AA17" i="2"/>
  <c r="AA10" i="2"/>
  <c r="AA23" i="2" s="1"/>
  <c r="Z45" i="2"/>
  <c r="Z42" i="2"/>
  <c r="Z41" i="2"/>
  <c r="Z46" i="2"/>
  <c r="Z47" i="2"/>
  <c r="Z44" i="2"/>
  <c r="AF15" i="2"/>
  <c r="AE15" i="2"/>
  <c r="AD15" i="2"/>
  <c r="AC15" i="2"/>
  <c r="F108" i="2"/>
  <c r="N6" i="2"/>
  <c r="N18" i="2" s="1"/>
  <c r="AC14" i="2"/>
  <c r="AD14" i="2"/>
  <c r="AB71" i="2"/>
  <c r="AE12" i="2"/>
  <c r="AA32" i="2"/>
  <c r="AD6" i="2"/>
  <c r="AF21" i="2"/>
  <c r="AE21" i="2"/>
  <c r="AF5" i="2"/>
  <c r="AD5" i="2"/>
  <c r="AE5" i="2"/>
  <c r="AC5" i="2"/>
  <c r="AF16" i="2"/>
  <c r="AD16" i="2"/>
  <c r="AC16" i="2"/>
  <c r="AE16" i="2"/>
  <c r="E23" i="2"/>
  <c r="M6" i="2"/>
  <c r="M18" i="2" s="1"/>
  <c r="E108" i="2"/>
  <c r="AF12" i="2"/>
  <c r="AA33" i="2"/>
  <c r="AA38" i="2"/>
  <c r="Z10" i="2"/>
  <c r="Z20" i="2"/>
  <c r="Z32" i="2"/>
  <c r="Z33" i="2"/>
  <c r="Z35" i="2"/>
  <c r="AE6" i="2"/>
  <c r="C139" i="2"/>
  <c r="M9" i="2"/>
  <c r="E109" i="2"/>
  <c r="E114" i="2"/>
  <c r="E124" i="2"/>
  <c r="E133" i="2"/>
  <c r="AB33" i="2"/>
  <c r="X21" i="2"/>
  <c r="AC21" i="2" s="1"/>
  <c r="X10" i="2"/>
  <c r="X33" i="2"/>
  <c r="X20" i="2"/>
  <c r="G129" i="2"/>
  <c r="G125" i="2"/>
  <c r="G112" i="2"/>
  <c r="AB32" i="2"/>
  <c r="AB20" i="2"/>
  <c r="AB10" i="2"/>
  <c r="G74" i="2"/>
  <c r="G72" i="2"/>
  <c r="G122" i="2"/>
  <c r="G144" i="2"/>
  <c r="F109" i="2"/>
  <c r="F52" i="2"/>
  <c r="F114" i="2"/>
  <c r="F133" i="2"/>
  <c r="F125" i="2"/>
  <c r="F110" i="2"/>
  <c r="F74" i="2"/>
  <c r="N9" i="2"/>
  <c r="F72" i="2"/>
  <c r="F112" i="2"/>
  <c r="F122" i="2"/>
  <c r="F129" i="2"/>
  <c r="F144" i="2"/>
  <c r="K12" i="2"/>
  <c r="C144" i="2"/>
  <c r="C125" i="2"/>
  <c r="C72" i="2"/>
  <c r="C122" i="2"/>
  <c r="E85" i="2"/>
  <c r="X42" i="2"/>
  <c r="X41" i="2"/>
  <c r="K9" i="2"/>
  <c r="C112" i="2"/>
  <c r="C129" i="2"/>
  <c r="O9" i="2"/>
  <c r="G109" i="2"/>
  <c r="G114" i="2"/>
  <c r="G124" i="2"/>
  <c r="G133" i="2"/>
  <c r="C110" i="2"/>
  <c r="C74" i="2"/>
  <c r="C52" i="2"/>
  <c r="C109" i="2"/>
  <c r="C114" i="2"/>
  <c r="C124" i="2"/>
  <c r="C133" i="2"/>
  <c r="G85" i="2"/>
  <c r="C85" i="2"/>
  <c r="G89" i="2"/>
  <c r="G60" i="2"/>
  <c r="G62" i="2" s="1"/>
  <c r="X36" i="2"/>
  <c r="G52" i="2"/>
  <c r="AB90" i="2"/>
  <c r="F85" i="2"/>
  <c r="E60" i="2"/>
  <c r="E62" i="2" s="1"/>
  <c r="E64" i="2" s="1"/>
  <c r="E139" i="2"/>
  <c r="E125" i="2"/>
  <c r="E51" i="2"/>
  <c r="M12" i="2"/>
  <c r="AB17" i="2"/>
  <c r="AC71" i="2" l="1"/>
  <c r="AD71" i="2"/>
  <c r="X46" i="2"/>
  <c r="X45" i="2"/>
  <c r="X47" i="2"/>
  <c r="X31" i="2"/>
  <c r="AA39" i="2"/>
  <c r="AA36" i="2"/>
  <c r="AA31" i="2"/>
  <c r="X37" i="2"/>
  <c r="AA46" i="2"/>
  <c r="AA41" i="2"/>
  <c r="AA44" i="2"/>
  <c r="AA42" i="2"/>
  <c r="AA45" i="2"/>
  <c r="AD21" i="2"/>
  <c r="AA35" i="2"/>
  <c r="AA37" i="2"/>
  <c r="AA22" i="2"/>
  <c r="AA47" i="2"/>
  <c r="AF20" i="2"/>
  <c r="AE20" i="2"/>
  <c r="AC20" i="2"/>
  <c r="AD20" i="2"/>
  <c r="Z38" i="2"/>
  <c r="Z31" i="2"/>
  <c r="Z37" i="2"/>
  <c r="Z36" i="2"/>
  <c r="Z39" i="2"/>
  <c r="AB74" i="2"/>
  <c r="AF17" i="2"/>
  <c r="AE17" i="2"/>
  <c r="AC17" i="2"/>
  <c r="AD17" i="2"/>
  <c r="Z18" i="2"/>
  <c r="Z77" i="2"/>
  <c r="X22" i="2"/>
  <c r="AB35" i="2"/>
  <c r="AF10" i="2"/>
  <c r="AE10" i="2"/>
  <c r="AD10" i="2"/>
  <c r="AC10" i="2"/>
  <c r="Z22" i="2"/>
  <c r="Z23" i="2"/>
  <c r="AB39" i="2"/>
  <c r="X35" i="2"/>
  <c r="X38" i="2"/>
  <c r="X39" i="2"/>
  <c r="X23" i="2"/>
  <c r="AB37" i="2"/>
  <c r="AB38" i="2"/>
  <c r="AB31" i="2"/>
  <c r="AB22" i="2"/>
  <c r="AB36" i="2"/>
  <c r="AB23" i="2"/>
  <c r="E66" i="2"/>
  <c r="M17" i="2"/>
  <c r="F120" i="2"/>
  <c r="F119" i="2"/>
  <c r="F117" i="2"/>
  <c r="F90" i="2"/>
  <c r="F89" i="2"/>
  <c r="F77" i="2"/>
  <c r="F93" i="2" s="1"/>
  <c r="F88" i="2"/>
  <c r="E40" i="2"/>
  <c r="E52" i="2"/>
  <c r="F60" i="2"/>
  <c r="F62" i="2" s="1"/>
  <c r="F64" i="2" s="1"/>
  <c r="C120" i="2"/>
  <c r="C119" i="2"/>
  <c r="C117" i="2"/>
  <c r="C90" i="2"/>
  <c r="C89" i="2"/>
  <c r="C77" i="2"/>
  <c r="X72" i="2"/>
  <c r="C88" i="2"/>
  <c r="C60" i="2"/>
  <c r="G67" i="2"/>
  <c r="E67" i="2"/>
  <c r="F67" i="2"/>
  <c r="C67" i="2"/>
  <c r="AB41" i="2"/>
  <c r="AB46" i="2"/>
  <c r="AB44" i="2"/>
  <c r="AB45" i="2"/>
  <c r="AB47" i="2"/>
  <c r="AB42" i="2"/>
  <c r="E120" i="2"/>
  <c r="E119" i="2"/>
  <c r="E117" i="2"/>
  <c r="E90" i="2"/>
  <c r="E89" i="2"/>
  <c r="E77" i="2"/>
  <c r="E88" i="2"/>
  <c r="AC74" i="2" l="1"/>
  <c r="AD74" i="2"/>
  <c r="AB76" i="2"/>
  <c r="X74" i="2"/>
  <c r="X76" i="2" s="1"/>
  <c r="AA18" i="2"/>
  <c r="AA77" i="2"/>
  <c r="AE23" i="2"/>
  <c r="AC23" i="2"/>
  <c r="AE22" i="2"/>
  <c r="AC22" i="2"/>
  <c r="E92" i="2"/>
  <c r="E82" i="2"/>
  <c r="E78" i="2"/>
  <c r="E87" i="2"/>
  <c r="F66" i="2"/>
  <c r="N17" i="2"/>
  <c r="G64" i="2"/>
  <c r="E93" i="2"/>
  <c r="C62" i="2"/>
  <c r="C92" i="2"/>
  <c r="C82" i="2"/>
  <c r="C78" i="2"/>
  <c r="C87" i="2"/>
  <c r="C93" i="2"/>
  <c r="F92" i="2"/>
  <c r="F82" i="2"/>
  <c r="F78" i="2"/>
  <c r="F87" i="2"/>
  <c r="E73" i="2"/>
  <c r="E71" i="2"/>
  <c r="AC76" i="2" l="1"/>
  <c r="AD76" i="2"/>
  <c r="AB77" i="2"/>
  <c r="F84" i="2"/>
  <c r="G84" i="2"/>
  <c r="C84" i="2"/>
  <c r="C64" i="2"/>
  <c r="X77" i="2" s="1"/>
  <c r="F73" i="2"/>
  <c r="F71" i="2"/>
  <c r="E84" i="2"/>
  <c r="G66" i="2"/>
  <c r="AB18" i="2"/>
  <c r="O17" i="2"/>
  <c r="AF18" i="2" l="1"/>
  <c r="AB24" i="2"/>
  <c r="AE18" i="2"/>
  <c r="AB25" i="2"/>
  <c r="G73" i="2"/>
  <c r="G71" i="2"/>
  <c r="C66" i="2"/>
  <c r="K17" i="2"/>
  <c r="AE25" i="2" l="1"/>
  <c r="AE24" i="2"/>
  <c r="AD18" i="2"/>
  <c r="AC18" i="2"/>
  <c r="C73" i="2"/>
  <c r="C71" i="2"/>
</calcChain>
</file>

<file path=xl/comments1.xml><?xml version="1.0" encoding="utf-8"?>
<comments xmlns="http://schemas.openxmlformats.org/spreadsheetml/2006/main">
  <authors>
    <author>aleks</author>
    <author>AnaraK</author>
    <author>Manager</author>
  </authors>
  <commentList>
    <comment ref="B25" authorId="0" shapeId="0">
      <text>
        <r>
          <rPr>
            <b/>
            <sz val="10"/>
            <color indexed="81"/>
            <rFont val="Tahoma"/>
            <family val="2"/>
            <charset val="204"/>
          </rPr>
          <t>aleks:</t>
        </r>
        <r>
          <rPr>
            <sz val="10"/>
            <color indexed="81"/>
            <rFont val="Tahoma"/>
            <family val="2"/>
            <charset val="204"/>
          </rPr>
          <t xml:space="preserve">
Сберегательные депозиты делятся 30/70 
</t>
        </r>
      </text>
    </comment>
    <comment ref="B72" authorId="1" shapeId="0">
      <text>
        <r>
          <rPr>
            <b/>
            <sz val="5"/>
            <color indexed="81"/>
            <rFont val="Tahoma"/>
            <family val="2"/>
            <charset val="204"/>
          </rPr>
          <t>AnaraK:</t>
        </r>
        <r>
          <rPr>
            <sz val="5"/>
            <color indexed="81"/>
            <rFont val="Tahoma"/>
            <family val="2"/>
            <charset val="204"/>
          </rPr>
          <t xml:space="preserve">
в уставный капитал включен субординированный долг, капитал внесенный сверх номинала </t>
        </r>
      </text>
    </comment>
    <comment ref="B114" authorId="2" shapeId="0">
      <text>
        <r>
          <rPr>
            <b/>
            <sz val="8"/>
            <color indexed="81"/>
            <rFont val="Tahoma"/>
            <family val="2"/>
            <charset val="204"/>
          </rPr>
          <t>Manager:</t>
        </r>
        <r>
          <rPr>
            <sz val="8"/>
            <color indexed="81"/>
            <rFont val="Tahoma"/>
            <family val="2"/>
            <charset val="204"/>
          </rPr>
          <t xml:space="preserve">
если в плюсе - то донор на межбанковском рынке, если в минусе - то выкачивает из межбанка средства. Значение коэффициента обозначает долю "разницы" от суммарных активов</t>
        </r>
      </text>
    </comment>
    <comment ref="B122" authorId="2" shapeId="0">
      <text>
        <r>
          <rPr>
            <b/>
            <sz val="8"/>
            <color indexed="81"/>
            <rFont val="Tahoma"/>
            <family val="2"/>
          </rPr>
          <t>Manager:</t>
        </r>
        <r>
          <rPr>
            <sz val="8"/>
            <color indexed="81"/>
            <rFont val="Tahoma"/>
            <family val="2"/>
          </rPr>
          <t xml:space="preserve">
если в плюсе - то инвестирует в экономику больше чем привлекает, если в минусе - то больше выкачивает из экономики чем вливает. Значение коэффициента обозначает долю "разницы" от суммарных активов</t>
        </r>
        <r>
          <rPr>
            <sz val="8"/>
            <color indexed="81"/>
            <rFont val="Tahoma"/>
            <family val="2"/>
            <charset val="204"/>
          </rPr>
          <t xml:space="preserve"> </t>
        </r>
      </text>
    </comment>
    <comment ref="B128" authorId="2" shapeId="0">
      <text>
        <r>
          <rPr>
            <b/>
            <sz val="8"/>
            <color indexed="81"/>
            <rFont val="Tahoma"/>
            <family val="2"/>
            <charset val="204"/>
          </rPr>
          <t>Manager:</t>
        </r>
        <r>
          <rPr>
            <sz val="8"/>
            <color indexed="81"/>
            <rFont val="Tahoma"/>
            <family val="2"/>
            <charset val="204"/>
          </rPr>
          <t xml:space="preserve">
значение коэффициента до 3 можно считать приемлимыми, всё что выше - потенциальный индикатор проблем с ликвидностью. Необходимо изучать вкупе с донорством/впитыванием на рынке депозитов и на межбанке</t>
        </r>
      </text>
    </comment>
    <comment ref="B131" authorId="1" shapeId="0">
      <text>
        <r>
          <rPr>
            <b/>
            <sz val="6"/>
            <color indexed="81"/>
            <rFont val="Tahoma"/>
            <family val="2"/>
            <charset val="204"/>
          </rPr>
          <t>AnaraK:</t>
        </r>
        <r>
          <rPr>
            <sz val="6"/>
            <color indexed="81"/>
            <rFont val="Tahoma"/>
            <family val="2"/>
            <charset val="204"/>
          </rPr>
          <t xml:space="preserve">
посл. данные из Бюллетеня № 1  2006 г.</t>
        </r>
      </text>
    </comment>
    <comment ref="B138" authorId="0" shapeId="0">
      <text>
        <r>
          <rPr>
            <b/>
            <sz val="10"/>
            <color indexed="81"/>
            <rFont val="Tahoma"/>
            <family val="2"/>
            <charset val="204"/>
          </rPr>
          <t>aleks:</t>
        </r>
        <r>
          <rPr>
            <sz val="10"/>
            <color indexed="81"/>
            <rFont val="Tahoma"/>
            <family val="2"/>
            <charset val="204"/>
          </rPr>
          <t xml:space="preserve">
скорректировать </t>
        </r>
      </text>
    </comment>
  </commentList>
</comments>
</file>

<file path=xl/sharedStrings.xml><?xml version="1.0" encoding="utf-8"?>
<sst xmlns="http://schemas.openxmlformats.org/spreadsheetml/2006/main" count="215" uniqueCount="169">
  <si>
    <t>Наименование банков</t>
  </si>
  <si>
    <t>Активы</t>
  </si>
  <si>
    <t>Динамика</t>
  </si>
  <si>
    <t>Наименование статьи, в тыс. сом</t>
  </si>
  <si>
    <t>откл. в %</t>
  </si>
  <si>
    <t>Касса и средства в Национальном банке КР</t>
  </si>
  <si>
    <t>Активы денежного рынка</t>
  </si>
  <si>
    <t xml:space="preserve">Ссуды и средства, предоставленные банкам, нетто </t>
  </si>
  <si>
    <t xml:space="preserve">                    в том числе:        счета "ностро" и депозиты в банках</t>
  </si>
  <si>
    <t>РППУ</t>
  </si>
  <si>
    <t>Ценные бумаги</t>
  </si>
  <si>
    <t xml:space="preserve">                                              кредиты банкам</t>
  </si>
  <si>
    <t>Кредиты-нетто</t>
  </si>
  <si>
    <t>Операции по РЕПО-соглашению</t>
  </si>
  <si>
    <t>Основные средства</t>
  </si>
  <si>
    <t>Всего: активы денежного рынка</t>
  </si>
  <si>
    <t>Прочие активы</t>
  </si>
  <si>
    <t xml:space="preserve">Ценные бумаги, удержив. до погашения </t>
  </si>
  <si>
    <t>Счета клиентов</t>
  </si>
  <si>
    <t>ВСЕГО: АКТИВЫ</t>
  </si>
  <si>
    <t xml:space="preserve">Торговые ценные бумаги </t>
  </si>
  <si>
    <t>Обязательства</t>
  </si>
  <si>
    <t>Ценные бумаги, годные для продажи</t>
  </si>
  <si>
    <t>Всего: ценные бумаги</t>
  </si>
  <si>
    <t>Уставный капитал</t>
  </si>
  <si>
    <t>Средства и кредиты банков</t>
  </si>
  <si>
    <t xml:space="preserve">Ссуды и средства, предоставленные клиентам </t>
  </si>
  <si>
    <t>Резервы</t>
  </si>
  <si>
    <t>Прочие обязательства</t>
  </si>
  <si>
    <t>минус: РППУ</t>
  </si>
  <si>
    <t>Нерас. прибыль</t>
  </si>
  <si>
    <t>ВСЕГО: ОБЯЗАТЕЛЬСТВА</t>
  </si>
  <si>
    <t>Всего: чистые кредиты (нетто)</t>
  </si>
  <si>
    <t>Капитал</t>
  </si>
  <si>
    <t>Основные средства банка+нематериальные активы</t>
  </si>
  <si>
    <t>Прибыль</t>
  </si>
  <si>
    <t>ВСЕГО: ОБЯЗАТЕЛЬСТВА И КАПИТАЛ</t>
  </si>
  <si>
    <t>Прочая собственность банка</t>
  </si>
  <si>
    <t>Качество КП</t>
  </si>
  <si>
    <t>ЧИСТАЯ  ПРИБЫЛЬ (УБЫТКИ)</t>
  </si>
  <si>
    <t>Инвестиции и финансовое участие</t>
  </si>
  <si>
    <t>Начисленные проценты к получению</t>
  </si>
  <si>
    <t>Ликвидные активы</t>
  </si>
  <si>
    <t>Доходные активы</t>
  </si>
  <si>
    <t xml:space="preserve">ВСЕГО: АКТИВЫ  </t>
  </si>
  <si>
    <t>Доля ликвидных активов</t>
  </si>
  <si>
    <t>Доля доходных активов</t>
  </si>
  <si>
    <t>ROA</t>
  </si>
  <si>
    <t xml:space="preserve">                  в том числе:             депозиты до востребования</t>
  </si>
  <si>
    <t>ROE</t>
  </si>
  <si>
    <t xml:space="preserve">                                                 срочные депозиты</t>
  </si>
  <si>
    <t xml:space="preserve">Средства и кредиты, полученные от банков </t>
  </si>
  <si>
    <t xml:space="preserve">                  в том числе:             депозиты от банков</t>
  </si>
  <si>
    <t>Общая ликвидность</t>
  </si>
  <si>
    <t xml:space="preserve">                                                 кредиты от банков</t>
  </si>
  <si>
    <t>Мгновенная ликвидность</t>
  </si>
  <si>
    <t>Операции по обратному РЕПО-соглашению</t>
  </si>
  <si>
    <t>Текущая ликвидность</t>
  </si>
  <si>
    <t>Кредиты, полученные от НБКР</t>
  </si>
  <si>
    <t>Депозиты и кредиты правит. учреждений КР и местн. органов власти</t>
  </si>
  <si>
    <t>Начисленные проценты к выплате</t>
  </si>
  <si>
    <t>Дивиденды к выплате</t>
  </si>
  <si>
    <t>Ценные бумаги, выпущенные банком</t>
  </si>
  <si>
    <t>Другие долгосрочные обязательства и кредиты</t>
  </si>
  <si>
    <t>Субординированные облигации</t>
  </si>
  <si>
    <t>Привлеченные средства</t>
  </si>
  <si>
    <t>Собственные средства</t>
  </si>
  <si>
    <t xml:space="preserve">Капитал </t>
  </si>
  <si>
    <t>Простые акции</t>
  </si>
  <si>
    <t>Привилегированные акции</t>
  </si>
  <si>
    <t>Капитал, внесенный сверх номинала</t>
  </si>
  <si>
    <t>Резервы для будущих потребностей банка</t>
  </si>
  <si>
    <t>Резервы по пересчету основных средств</t>
  </si>
  <si>
    <t>Резервы по пересчету иностранной валюты</t>
  </si>
  <si>
    <t>Резерв по переоценке ценных бумаг</t>
  </si>
  <si>
    <t>Нераспределенная прибыль</t>
  </si>
  <si>
    <t>Доля меньшинства</t>
  </si>
  <si>
    <t>ВСЕГО: КАПИТАЛ</t>
  </si>
  <si>
    <t xml:space="preserve">ОТЧЕТЫ БАНКОВ О ПРИБЫЛЯХ И УБЫТКАХ </t>
  </si>
  <si>
    <t>Процентные доходы</t>
  </si>
  <si>
    <t>Процентные расходы</t>
  </si>
  <si>
    <t>ЧИСТЫЙ ПРОЦЕНТНЫЙ ДОХОД</t>
  </si>
  <si>
    <t>Минус: расходы по РППУ</t>
  </si>
  <si>
    <t>ЧИСТЫЙ ПРОЦЕНТНЫЙ ДОХОД ПОСЛЕ ОТЧИСЛЕНИЙ В РППУ</t>
  </si>
  <si>
    <t>Непроцентные доходы</t>
  </si>
  <si>
    <t>Операционные расходы</t>
  </si>
  <si>
    <t>ПРИБЫЛЬ(УБЫТКИ) ДО ВЫЧЕТА НАЛ. НА ПРИБ. И НЕПРЕДВ. ДОХ. И РАСХ.</t>
  </si>
  <si>
    <t>РАСХОДЫ ПО НАЛОГУ НА ПРИБЫЛЬ</t>
  </si>
  <si>
    <t>Чистый доход (убытки) до непредвиденн. доходов и расходов</t>
  </si>
  <si>
    <t>Непредвиденные доходы и расходы, в т.ч. Резервы по потери по прочим операциям</t>
  </si>
  <si>
    <t>ЧП приведенная к году</t>
  </si>
  <si>
    <t>Среднегодовой объем Активов</t>
  </si>
  <si>
    <t>Среднегодовой размер Собственного Капитала</t>
  </si>
  <si>
    <t>Коэффициентный анализ деятельности</t>
  </si>
  <si>
    <t>Общая рентабельность (чд/активы),%</t>
  </si>
  <si>
    <t>Мультипликатор капитала (активы/уставн.капитал)</t>
  </si>
  <si>
    <t>Рентабельность капитала (чд/суммар. собст. капитал),%</t>
  </si>
  <si>
    <t>Собственный капитал/активы</t>
  </si>
  <si>
    <t>Общий доход/активы</t>
  </si>
  <si>
    <t>Всего доходы</t>
  </si>
  <si>
    <t>Совокупные доходы</t>
  </si>
  <si>
    <t>Совокупные доходы (приведен к году)</t>
  </si>
  <si>
    <t>Совокупные расходы</t>
  </si>
  <si>
    <t>Совокупные расходы (приведен к году)</t>
  </si>
  <si>
    <t>Всего расходы</t>
  </si>
  <si>
    <t>ЧП</t>
  </si>
  <si>
    <t>Темп прироста совок доходов (годов.)</t>
  </si>
  <si>
    <t>Темп прироста совок расходов (годов.)</t>
  </si>
  <si>
    <t>Отношение расходов к доходам (Общие расходы / общие доходы)</t>
  </si>
  <si>
    <t>CIR Операцион расходы / совокупные доходы</t>
  </si>
  <si>
    <t>Операцион расходы / операц доходы</t>
  </si>
  <si>
    <t>Операцион расходы / непроц доходы</t>
  </si>
  <si>
    <t>Удельный вес проц. доходов в общ доходах (проц. доходы / общ доходы)</t>
  </si>
  <si>
    <t>Удельный вес непроц. доходов в общ доходах (непроц. доходы / общ доходы)</t>
  </si>
  <si>
    <t>Удельный вес проц расходов в общ расходах (проц расходы / общ расходы)</t>
  </si>
  <si>
    <t>Удельный вес опер расходов в общ расходах (опер расходы / общ расходы)</t>
  </si>
  <si>
    <t xml:space="preserve">Процентный доход/кредиты и обязательства банку </t>
  </si>
  <si>
    <t>Процентные расходы/депозиты и кредиты банку(30-34,37,38)</t>
  </si>
  <si>
    <t>РППУ/чистые кредиты, %</t>
  </si>
  <si>
    <t>РППУ/активы, %</t>
  </si>
  <si>
    <t>Доля чистых кредитов в активах</t>
  </si>
  <si>
    <t>Начисленные % / чистые кредиты, %</t>
  </si>
  <si>
    <t>Доля начисленных % в активах, %</t>
  </si>
  <si>
    <t>Сальдо межбанк-го кредитного и РЕПО рынка(кредиты и РЕПО банкам минус от банков)/к суммарным активам</t>
  </si>
  <si>
    <t>%-ные расходы к расходам</t>
  </si>
  <si>
    <t>%-ные доходы к доходам</t>
  </si>
  <si>
    <t>%-ные доходы к %-ным расходам</t>
  </si>
  <si>
    <t>операционные доходы к операционным расходам</t>
  </si>
  <si>
    <t>Общие расходы/общие доходы</t>
  </si>
  <si>
    <t>Чистые кредиты минус депозиты делить на суммарные активы</t>
  </si>
  <si>
    <t>Основные средства/капитал</t>
  </si>
  <si>
    <t>Доля основных средств в активах,%</t>
  </si>
  <si>
    <t>Доля обязательств в суммарных активах</t>
  </si>
  <si>
    <t>Доля акционерного капитала в капитале</t>
  </si>
  <si>
    <t>все депозиты+прочие обязательства/(ликвидные активы)</t>
  </si>
  <si>
    <t>Доля депозитов до востребования в активах</t>
  </si>
  <si>
    <t xml:space="preserve">Количество филиалов(с головным учреждением) </t>
  </si>
  <si>
    <t>Количество основных средств на филиал</t>
  </si>
  <si>
    <t>Количество активов на филиал</t>
  </si>
  <si>
    <t>Рейтинговый анализ банков по Кромонову, модернизированный</t>
  </si>
  <si>
    <t>Уставный Фонд (вкл. капитал сверх номинала)</t>
  </si>
  <si>
    <t>Собственный Капитал</t>
  </si>
  <si>
    <t>Обязательства до востребования</t>
  </si>
  <si>
    <t>Суммарные обязательства</t>
  </si>
  <si>
    <t>Активы работающие (рисковые)</t>
  </si>
  <si>
    <t>Защита капитала</t>
  </si>
  <si>
    <t>Основные средства + нематериальные активы</t>
  </si>
  <si>
    <t xml:space="preserve">Активы </t>
  </si>
  <si>
    <t>высоколиквидные активы (касса + корсчета)</t>
  </si>
  <si>
    <t xml:space="preserve">Средства и кредиты банков </t>
  </si>
  <si>
    <t>2014 г</t>
  </si>
  <si>
    <t>2015 г</t>
  </si>
  <si>
    <t>2016 г</t>
  </si>
  <si>
    <t>2017 г</t>
  </si>
  <si>
    <t>Расходы по налогу на прибыль</t>
  </si>
  <si>
    <t>ПРИБЫЛЬ(УБЫТКИ) ДО ВЫЧЕТА НАЛОГОВ</t>
  </si>
  <si>
    <t>ЧИСТЫЙ ПРОЦЕНТНЫЙ ДОХОД ПОСЛЕ ОТЧИСЛЕНИЙ РППУ</t>
  </si>
  <si>
    <t>Рппу по ссудам</t>
  </si>
  <si>
    <t>откл. от 2014г  (+/-)</t>
  </si>
  <si>
    <t xml:space="preserve">Окупаемость расходов (расходы / доходы) </t>
  </si>
  <si>
    <t xml:space="preserve">CIR (операционные расходы / совокупные доходы) </t>
  </si>
  <si>
    <t>Сумма</t>
  </si>
  <si>
    <t>в %</t>
  </si>
  <si>
    <t>Откл. от 01.01.17  (+/-)</t>
  </si>
  <si>
    <t>2013 г</t>
  </si>
  <si>
    <t>Откл. от 01.01.14  (+/-)</t>
  </si>
  <si>
    <t>Кредиты-брутто</t>
  </si>
  <si>
    <t>Доля привлеченных средств</t>
  </si>
  <si>
    <t>Доля собственных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</si>
</sst>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₽_-;\-* #,##0.00\ _₽_-;_-* &quot;-&quot;??\ _₽_-;_-@_-"/>
    <numFmt numFmtId="164" formatCode="d/m/yy;@"/>
    <numFmt numFmtId="165" formatCode="dd/mm/yy;@"/>
    <numFmt numFmtId="166" formatCode="#,##0.0"/>
    <numFmt numFmtId="167" formatCode="0.0%"/>
    <numFmt numFmtId="168" formatCode="_-* #,##0.00_р_._-;\-* #,##0.00_р_._-;_-* &quot;-&quot;??_р_._-;_-@_-"/>
    <numFmt numFmtId="169" formatCode="_-* #,##0_р_._-;\-* #,##0_р_._-;_-* &quot;-&quot;??_р_._-;_-@_-"/>
    <numFmt numFmtId="170" formatCode="#,##0.000"/>
    <numFmt numFmtId="171" formatCode="#,##0_ ;\-#,##0\ "/>
    <numFmt numFmtId="172" formatCode="0.0"/>
    <numFmt numFmtId="174" formatCode="_-* #,##0\ _₽_-;\-* #,##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Calibri"/>
      <family val="2"/>
      <charset val="204"/>
      <scheme val="minor"/>
    </font>
    <font>
      <sz val="10"/>
      <name val="Arial"/>
      <charset val="204"/>
    </font>
    <font>
      <sz val="6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indexed="16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18"/>
      <name val="Calibri"/>
      <family val="2"/>
      <charset val="204"/>
      <scheme val="minor"/>
    </font>
    <font>
      <sz val="6"/>
      <name val="Arial Cyr"/>
      <charset val="204"/>
    </font>
    <font>
      <b/>
      <i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b/>
      <sz val="6"/>
      <name val="Arial"/>
      <family val="2"/>
      <charset val="204"/>
    </font>
    <font>
      <b/>
      <sz val="6"/>
      <name val="Arial Cyr"/>
      <family val="2"/>
      <charset val="204"/>
    </font>
    <font>
      <sz val="6"/>
      <color indexed="9"/>
      <name val="Arial"/>
      <family val="2"/>
      <charset val="204"/>
    </font>
    <font>
      <sz val="6"/>
      <color indexed="9"/>
      <name val="Arial Cyr"/>
      <family val="2"/>
      <charset val="204"/>
    </font>
    <font>
      <sz val="10"/>
      <color indexed="9"/>
      <name val="Calibri"/>
      <family val="2"/>
      <charset val="204"/>
      <scheme val="minor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5"/>
      <color indexed="81"/>
      <name val="Tahoma"/>
      <family val="2"/>
      <charset val="204"/>
    </font>
    <font>
      <sz val="5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4"/>
    <xf numFmtId="0" fontId="5" fillId="0" borderId="0" xfId="4" applyFont="1"/>
    <xf numFmtId="0" fontId="6" fillId="0" borderId="0" xfId="4" applyFont="1"/>
    <xf numFmtId="0" fontId="6" fillId="0" borderId="3" xfId="3" applyFont="1" applyFill="1" applyBorder="1" applyAlignment="1">
      <alignment horizontal="center" vertical="center" textRotation="90"/>
    </xf>
    <xf numFmtId="0" fontId="3" fillId="0" borderId="3" xfId="3" applyFont="1" applyFill="1" applyBorder="1" applyAlignment="1">
      <alignment horizontal="center" vertical="center"/>
    </xf>
    <xf numFmtId="14" fontId="3" fillId="0" borderId="4" xfId="3" applyNumberFormat="1" applyFont="1" applyFill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textRotation="90"/>
    </xf>
    <xf numFmtId="0" fontId="3" fillId="0" borderId="6" xfId="3" applyFont="1" applyBorder="1" applyAlignment="1">
      <alignment horizontal="left" vertical="center"/>
    </xf>
    <xf numFmtId="0" fontId="6" fillId="0" borderId="6" xfId="3" applyFont="1" applyFill="1" applyBorder="1" applyAlignment="1">
      <alignment horizontal="center" vertical="center" textRotation="90"/>
    </xf>
    <xf numFmtId="0" fontId="7" fillId="0" borderId="6" xfId="3" applyFont="1" applyFill="1" applyBorder="1"/>
    <xf numFmtId="0" fontId="6" fillId="0" borderId="4" xfId="3" applyFont="1" applyFill="1" applyBorder="1"/>
    <xf numFmtId="164" fontId="6" fillId="0" borderId="4" xfId="3" applyNumberFormat="1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/>
    </xf>
    <xf numFmtId="164" fontId="5" fillId="0" borderId="0" xfId="3" applyNumberFormat="1" applyFont="1" applyFill="1"/>
    <xf numFmtId="0" fontId="3" fillId="0" borderId="4" xfId="4" applyFont="1" applyFill="1" applyBorder="1" applyAlignment="1">
      <alignment horizontal="center" vertical="justify"/>
    </xf>
    <xf numFmtId="14" fontId="3" fillId="0" borderId="4" xfId="4" applyNumberFormat="1" applyFont="1" applyFill="1" applyBorder="1" applyAlignment="1">
      <alignment horizontal="center" wrapText="1"/>
    </xf>
    <xf numFmtId="0" fontId="3" fillId="2" borderId="4" xfId="4" applyFont="1" applyFill="1" applyBorder="1" applyAlignment="1">
      <alignment horizontal="center" wrapText="1"/>
    </xf>
    <xf numFmtId="0" fontId="6" fillId="0" borderId="4" xfId="3" applyFont="1" applyFill="1" applyBorder="1" applyAlignment="1">
      <alignment horizontal="center"/>
    </xf>
    <xf numFmtId="0" fontId="6" fillId="0" borderId="4" xfId="3" applyFont="1" applyBorder="1"/>
    <xf numFmtId="3" fontId="6" fillId="0" borderId="4" xfId="3" applyNumberFormat="1" applyFont="1" applyFill="1" applyBorder="1"/>
    <xf numFmtId="166" fontId="5" fillId="0" borderId="0" xfId="3" applyNumberFormat="1" applyFont="1" applyFill="1" applyBorder="1"/>
    <xf numFmtId="3" fontId="5" fillId="0" borderId="0" xfId="3" applyNumberFormat="1" applyFont="1" applyFill="1"/>
    <xf numFmtId="0" fontId="3" fillId="0" borderId="4" xfId="4" applyFont="1" applyFill="1" applyBorder="1" applyAlignment="1">
      <alignment horizontal="left"/>
    </xf>
    <xf numFmtId="0" fontId="6" fillId="0" borderId="4" xfId="4" applyFont="1" applyFill="1" applyBorder="1" applyAlignment="1">
      <alignment horizontal="center"/>
    </xf>
    <xf numFmtId="0" fontId="8" fillId="0" borderId="4" xfId="4" applyFont="1" applyFill="1" applyBorder="1" applyAlignment="1">
      <alignment horizontal="center"/>
    </xf>
    <xf numFmtId="0" fontId="6" fillId="2" borderId="4" xfId="4" applyFont="1" applyFill="1" applyBorder="1" applyAlignment="1">
      <alignment horizontal="center" wrapText="1"/>
    </xf>
    <xf numFmtId="167" fontId="6" fillId="2" borderId="4" xfId="5" applyNumberFormat="1" applyFont="1" applyFill="1" applyBorder="1" applyAlignment="1">
      <alignment horizontal="center" wrapText="1"/>
    </xf>
    <xf numFmtId="0" fontId="6" fillId="0" borderId="4" xfId="3" applyFont="1" applyBorder="1" applyAlignment="1">
      <alignment horizontal="center"/>
    </xf>
    <xf numFmtId="0" fontId="6" fillId="0" borderId="4" xfId="3" applyFont="1" applyFill="1" applyBorder="1" applyAlignment="1">
      <alignment horizontal="left" indent="1"/>
    </xf>
    <xf numFmtId="0" fontId="6" fillId="0" borderId="4" xfId="4" applyFont="1" applyFill="1" applyBorder="1"/>
    <xf numFmtId="3" fontId="6" fillId="0" borderId="4" xfId="4" applyNumberFormat="1" applyFont="1" applyFill="1" applyBorder="1" applyAlignment="1">
      <alignment horizontal="right"/>
    </xf>
    <xf numFmtId="169" fontId="6" fillId="2" borderId="4" xfId="6" applyNumberFormat="1" applyFont="1" applyFill="1" applyBorder="1" applyAlignment="1">
      <alignment horizontal="right"/>
    </xf>
    <xf numFmtId="167" fontId="6" fillId="2" borderId="4" xfId="5" applyNumberFormat="1" applyFont="1" applyFill="1" applyBorder="1" applyAlignment="1">
      <alignment horizontal="right"/>
    </xf>
    <xf numFmtId="3" fontId="6" fillId="2" borderId="4" xfId="4" applyNumberFormat="1" applyFont="1" applyFill="1" applyBorder="1" applyAlignment="1">
      <alignment horizontal="right"/>
    </xf>
    <xf numFmtId="0" fontId="10" fillId="0" borderId="4" xfId="3" applyFont="1" applyBorder="1" applyAlignment="1">
      <alignment horizontal="center"/>
    </xf>
    <xf numFmtId="0" fontId="10" fillId="0" borderId="4" xfId="3" applyFont="1" applyBorder="1"/>
    <xf numFmtId="3" fontId="10" fillId="0" borderId="4" xfId="3" applyNumberFormat="1" applyFont="1" applyFill="1" applyBorder="1"/>
    <xf numFmtId="0" fontId="6" fillId="0" borderId="4" xfId="4" applyFont="1" applyFill="1" applyBorder="1" applyAlignment="1">
      <alignment horizontal="left" vertical="justify"/>
    </xf>
    <xf numFmtId="0" fontId="3" fillId="3" borderId="4" xfId="3" applyFont="1" applyFill="1" applyBorder="1" applyAlignment="1">
      <alignment horizontal="center"/>
    </xf>
    <xf numFmtId="0" fontId="3" fillId="3" borderId="4" xfId="3" applyFont="1" applyFill="1" applyBorder="1"/>
    <xf numFmtId="3" fontId="3" fillId="3" borderId="4" xfId="3" applyNumberFormat="1" applyFont="1" applyFill="1" applyBorder="1"/>
    <xf numFmtId="0" fontId="6" fillId="0" borderId="4" xfId="3" applyFont="1" applyFill="1" applyBorder="1" applyAlignment="1">
      <alignment horizontal="left"/>
    </xf>
    <xf numFmtId="0" fontId="11" fillId="0" borderId="0" xfId="3" applyFont="1" applyFill="1"/>
    <xf numFmtId="0" fontId="12" fillId="0" borderId="4" xfId="4" applyFont="1" applyFill="1" applyBorder="1"/>
    <xf numFmtId="3" fontId="3" fillId="0" borderId="4" xfId="4" applyNumberFormat="1" applyFont="1" applyFill="1" applyBorder="1" applyAlignment="1">
      <alignment horizontal="right"/>
    </xf>
    <xf numFmtId="0" fontId="6" fillId="0" borderId="4" xfId="4" applyFont="1" applyFill="1" applyBorder="1" applyAlignment="1">
      <alignment horizontal="right"/>
    </xf>
    <xf numFmtId="0" fontId="6" fillId="0" borderId="0" xfId="3" applyFont="1" applyFill="1" applyBorder="1"/>
    <xf numFmtId="167" fontId="6" fillId="0" borderId="0" xfId="5" applyNumberFormat="1" applyFont="1" applyFill="1" applyBorder="1"/>
    <xf numFmtId="0" fontId="3" fillId="0" borderId="4" xfId="4" applyFont="1" applyFill="1" applyBorder="1"/>
    <xf numFmtId="0" fontId="6" fillId="0" borderId="4" xfId="4" applyFont="1" applyBorder="1"/>
    <xf numFmtId="0" fontId="5" fillId="0" borderId="0" xfId="3" applyFont="1" applyFill="1"/>
    <xf numFmtId="3" fontId="6" fillId="0" borderId="4" xfId="4" applyNumberFormat="1" applyFont="1" applyBorder="1"/>
    <xf numFmtId="0" fontId="3" fillId="4" borderId="4" xfId="3" applyFont="1" applyFill="1" applyBorder="1" applyAlignment="1">
      <alignment horizontal="center"/>
    </xf>
    <xf numFmtId="0" fontId="3" fillId="4" borderId="4" xfId="3" applyFont="1" applyFill="1" applyBorder="1"/>
    <xf numFmtId="3" fontId="3" fillId="4" borderId="4" xfId="3" applyNumberFormat="1" applyFont="1" applyFill="1" applyBorder="1"/>
    <xf numFmtId="9" fontId="6" fillId="0" borderId="4" xfId="5" applyFont="1" applyBorder="1"/>
    <xf numFmtId="0" fontId="3" fillId="0" borderId="6" xfId="3" applyFont="1" applyBorder="1" applyAlignment="1">
      <alignment horizontal="center"/>
    </xf>
    <xf numFmtId="0" fontId="3" fillId="0" borderId="6" xfId="3" applyFont="1" applyBorder="1"/>
    <xf numFmtId="9" fontId="13" fillId="0" borderId="0" xfId="5" applyFont="1" applyFill="1" applyBorder="1"/>
    <xf numFmtId="10" fontId="6" fillId="0" borderId="4" xfId="5" applyNumberFormat="1" applyFont="1" applyBorder="1"/>
    <xf numFmtId="0" fontId="10" fillId="0" borderId="4" xfId="3" applyFont="1" applyFill="1" applyBorder="1"/>
    <xf numFmtId="3" fontId="6" fillId="0" borderId="0" xfId="4" applyNumberFormat="1" applyFont="1"/>
    <xf numFmtId="9" fontId="6" fillId="0" borderId="0" xfId="5" applyFont="1"/>
    <xf numFmtId="168" fontId="6" fillId="0" borderId="0" xfId="7" applyFont="1"/>
    <xf numFmtId="0" fontId="6" fillId="0" borderId="0" xfId="3" applyFont="1" applyFill="1"/>
    <xf numFmtId="0" fontId="6" fillId="0" borderId="0" xfId="4" applyFont="1" applyFill="1" applyBorder="1"/>
    <xf numFmtId="9" fontId="6" fillId="0" borderId="0" xfId="5" applyFont="1" applyFill="1"/>
    <xf numFmtId="0" fontId="6" fillId="0" borderId="0" xfId="4" applyFont="1" applyFill="1" applyBorder="1" applyAlignment="1">
      <alignment horizontal="left" vertical="justify"/>
    </xf>
    <xf numFmtId="0" fontId="6" fillId="3" borderId="4" xfId="3" applyFont="1" applyFill="1" applyBorder="1"/>
    <xf numFmtId="0" fontId="6" fillId="0" borderId="6" xfId="3" applyFont="1" applyBorder="1"/>
    <xf numFmtId="4" fontId="7" fillId="0" borderId="0" xfId="3" applyNumberFormat="1" applyFont="1" applyBorder="1"/>
    <xf numFmtId="169" fontId="6" fillId="0" borderId="0" xfId="3" applyNumberFormat="1" applyFont="1" applyFill="1"/>
    <xf numFmtId="170" fontId="7" fillId="0" borderId="6" xfId="3" applyNumberFormat="1" applyFont="1" applyFill="1" applyBorder="1"/>
    <xf numFmtId="3" fontId="4" fillId="0" borderId="0" xfId="4" applyNumberFormat="1"/>
    <xf numFmtId="0" fontId="6" fillId="5" borderId="4" xfId="3" applyFont="1" applyFill="1" applyBorder="1"/>
    <xf numFmtId="0" fontId="3" fillId="5" borderId="4" xfId="3" applyFont="1" applyFill="1" applyBorder="1"/>
    <xf numFmtId="171" fontId="3" fillId="5" borderId="4" xfId="3" applyNumberFormat="1" applyFont="1" applyFill="1" applyBorder="1" applyAlignment="1">
      <alignment horizontal="right"/>
    </xf>
    <xf numFmtId="0" fontId="6" fillId="0" borderId="4" xfId="3" applyFont="1" applyFill="1" applyBorder="1" applyAlignment="1">
      <alignment wrapText="1"/>
    </xf>
    <xf numFmtId="3" fontId="6" fillId="0" borderId="4" xfId="4" applyNumberFormat="1" applyFont="1" applyFill="1" applyBorder="1" applyAlignment="1">
      <alignment horizontal="left"/>
    </xf>
    <xf numFmtId="0" fontId="4" fillId="0" borderId="0" xfId="4" applyFill="1"/>
    <xf numFmtId="171" fontId="6" fillId="0" borderId="0" xfId="3" applyNumberFormat="1" applyFont="1" applyFill="1" applyBorder="1" applyAlignment="1">
      <alignment horizontal="right"/>
    </xf>
    <xf numFmtId="3" fontId="6" fillId="0" borderId="0" xfId="3" applyNumberFormat="1" applyFont="1" applyFill="1"/>
    <xf numFmtId="0" fontId="3" fillId="0" borderId="0" xfId="3" applyFont="1" applyFill="1" applyBorder="1"/>
    <xf numFmtId="171" fontId="3" fillId="0" borderId="0" xfId="3" applyNumberFormat="1" applyFont="1" applyFill="1" applyBorder="1" applyAlignment="1">
      <alignment horizontal="right"/>
    </xf>
    <xf numFmtId="0" fontId="6" fillId="0" borderId="0" xfId="3" applyFont="1"/>
    <xf numFmtId="0" fontId="3" fillId="0" borderId="0" xfId="3" applyFont="1"/>
    <xf numFmtId="0" fontId="6" fillId="6" borderId="4" xfId="3" applyFont="1" applyFill="1" applyBorder="1"/>
    <xf numFmtId="2" fontId="7" fillId="5" borderId="4" xfId="3" applyNumberFormat="1" applyFont="1" applyFill="1" applyBorder="1"/>
    <xf numFmtId="2" fontId="6" fillId="0" borderId="4" xfId="3" applyNumberFormat="1" applyFont="1" applyFill="1" applyBorder="1"/>
    <xf numFmtId="0" fontId="6" fillId="0" borderId="7" xfId="3" applyFont="1" applyFill="1" applyBorder="1"/>
    <xf numFmtId="0" fontId="6" fillId="6" borderId="7" xfId="3" applyFont="1" applyFill="1" applyBorder="1"/>
    <xf numFmtId="9" fontId="7" fillId="0" borderId="7" xfId="5" applyFont="1" applyFill="1" applyBorder="1"/>
    <xf numFmtId="2" fontId="6" fillId="5" borderId="4" xfId="3" applyNumberFormat="1" applyFont="1" applyFill="1" applyBorder="1"/>
    <xf numFmtId="0" fontId="6" fillId="0" borderId="6" xfId="3" applyFont="1" applyFill="1" applyBorder="1"/>
    <xf numFmtId="2" fontId="6" fillId="0" borderId="6" xfId="3" applyNumberFormat="1" applyFont="1" applyFill="1" applyBorder="1"/>
    <xf numFmtId="3" fontId="6" fillId="0" borderId="0" xfId="4" applyNumberFormat="1" applyFont="1" applyFill="1" applyBorder="1" applyAlignment="1">
      <alignment horizontal="left"/>
    </xf>
    <xf numFmtId="3" fontId="6" fillId="0" borderId="0" xfId="4" applyNumberFormat="1" applyFont="1" applyFill="1" applyBorder="1" applyAlignment="1">
      <alignment horizontal="right"/>
    </xf>
    <xf numFmtId="169" fontId="6" fillId="2" borderId="0" xfId="6" applyNumberFormat="1" applyFont="1" applyFill="1" applyBorder="1" applyAlignment="1">
      <alignment horizontal="right"/>
    </xf>
    <xf numFmtId="167" fontId="6" fillId="2" borderId="0" xfId="5" applyNumberFormat="1" applyFont="1" applyFill="1" applyBorder="1" applyAlignment="1">
      <alignment horizontal="right"/>
    </xf>
    <xf numFmtId="9" fontId="6" fillId="0" borderId="4" xfId="5" applyFont="1" applyFill="1" applyBorder="1"/>
    <xf numFmtId="0" fontId="6" fillId="5" borderId="3" xfId="3" applyFont="1" applyFill="1" applyBorder="1"/>
    <xf numFmtId="2" fontId="6" fillId="5" borderId="3" xfId="3" applyNumberFormat="1" applyFont="1" applyFill="1" applyBorder="1"/>
    <xf numFmtId="0" fontId="6" fillId="0" borderId="8" xfId="3" applyFont="1" applyFill="1" applyBorder="1"/>
    <xf numFmtId="2" fontId="6" fillId="0" borderId="8" xfId="3" applyNumberFormat="1" applyFont="1" applyFill="1" applyBorder="1"/>
    <xf numFmtId="172" fontId="6" fillId="5" borderId="3" xfId="3" applyNumberFormat="1" applyFont="1" applyFill="1" applyBorder="1"/>
    <xf numFmtId="172" fontId="6" fillId="0" borderId="4" xfId="3" applyNumberFormat="1" applyFont="1" applyFill="1" applyBorder="1"/>
    <xf numFmtId="0" fontId="6" fillId="5" borderId="7" xfId="3" applyFont="1" applyFill="1" applyBorder="1"/>
    <xf numFmtId="2" fontId="6" fillId="5" borderId="7" xfId="3" applyNumberFormat="1" applyFont="1" applyFill="1" applyBorder="1"/>
    <xf numFmtId="0" fontId="6" fillId="7" borderId="7" xfId="3" applyFont="1" applyFill="1" applyBorder="1"/>
    <xf numFmtId="1" fontId="6" fillId="5" borderId="7" xfId="3" applyNumberFormat="1" applyFont="1" applyFill="1" applyBorder="1"/>
    <xf numFmtId="0" fontId="6" fillId="0" borderId="3" xfId="3" applyFont="1" applyFill="1" applyBorder="1"/>
    <xf numFmtId="2" fontId="6" fillId="0" borderId="3" xfId="3" applyNumberFormat="1" applyFont="1" applyFill="1" applyBorder="1"/>
    <xf numFmtId="2" fontId="3" fillId="5" borderId="4" xfId="3" applyNumberFormat="1" applyFont="1" applyFill="1" applyBorder="1"/>
    <xf numFmtId="2" fontId="6" fillId="0" borderId="7" xfId="3" applyNumberFormat="1" applyFont="1" applyFill="1" applyBorder="1"/>
    <xf numFmtId="0" fontId="6" fillId="7" borderId="3" xfId="3" applyFont="1" applyFill="1" applyBorder="1"/>
    <xf numFmtId="0" fontId="6" fillId="0" borderId="2" xfId="3" applyFont="1" applyFill="1" applyBorder="1"/>
    <xf numFmtId="0" fontId="6" fillId="7" borderId="4" xfId="3" applyFont="1" applyFill="1" applyBorder="1"/>
    <xf numFmtId="1" fontId="6" fillId="0" borderId="6" xfId="3" applyNumberFormat="1" applyFont="1" applyFill="1" applyBorder="1"/>
    <xf numFmtId="0" fontId="10" fillId="0" borderId="3" xfId="3" applyFont="1" applyFill="1" applyBorder="1"/>
    <xf numFmtId="1" fontId="10" fillId="0" borderId="3" xfId="3" applyNumberFormat="1" applyFont="1" applyFill="1" applyBorder="1"/>
    <xf numFmtId="1" fontId="6" fillId="5" borderId="4" xfId="3" applyNumberFormat="1" applyFont="1" applyFill="1" applyBorder="1"/>
    <xf numFmtId="1" fontId="6" fillId="0" borderId="4" xfId="3" applyNumberFormat="1" applyFont="1" applyFill="1" applyBorder="1"/>
    <xf numFmtId="1" fontId="6" fillId="0" borderId="2" xfId="3" applyNumberFormat="1" applyFont="1" applyFill="1" applyBorder="1"/>
    <xf numFmtId="3" fontId="7" fillId="0" borderId="0" xfId="3" applyNumberFormat="1" applyFont="1"/>
    <xf numFmtId="3" fontId="7" fillId="5" borderId="4" xfId="3" applyNumberFormat="1" applyFont="1" applyFill="1" applyBorder="1"/>
    <xf numFmtId="3" fontId="7" fillId="0" borderId="4" xfId="3" applyNumberFormat="1" applyFont="1" applyFill="1" applyBorder="1"/>
    <xf numFmtId="3" fontId="7" fillId="0" borderId="4" xfId="3" applyNumberFormat="1" applyFont="1" applyBorder="1"/>
    <xf numFmtId="0" fontId="6" fillId="8" borderId="4" xfId="3" applyFont="1" applyFill="1" applyBorder="1"/>
    <xf numFmtId="3" fontId="6" fillId="8" borderId="4" xfId="3" applyNumberFormat="1" applyFont="1" applyFill="1" applyBorder="1"/>
    <xf numFmtId="3" fontId="6" fillId="5" borderId="4" xfId="3" applyNumberFormat="1" applyFont="1" applyFill="1" applyBorder="1"/>
    <xf numFmtId="0" fontId="14" fillId="0" borderId="0" xfId="3" applyFont="1" applyFill="1"/>
    <xf numFmtId="0" fontId="15" fillId="0" borderId="0" xfId="3" applyFont="1" applyFill="1"/>
    <xf numFmtId="0" fontId="16" fillId="0" borderId="0" xfId="3" applyFont="1" applyFill="1"/>
    <xf numFmtId="0" fontId="17" fillId="0" borderId="0" xfId="3" applyFont="1" applyFill="1"/>
    <xf numFmtId="0" fontId="18" fillId="0" borderId="0" xfId="3" applyFont="1" applyFill="1"/>
    <xf numFmtId="3" fontId="6" fillId="0" borderId="0" xfId="3" applyNumberFormat="1" applyFont="1"/>
    <xf numFmtId="1" fontId="6" fillId="0" borderId="0" xfId="3" applyNumberFormat="1" applyFont="1"/>
    <xf numFmtId="2" fontId="3" fillId="0" borderId="0" xfId="3" applyNumberFormat="1" applyFont="1"/>
    <xf numFmtId="0" fontId="6" fillId="9" borderId="0" xfId="3" applyFont="1" applyFill="1"/>
    <xf numFmtId="0" fontId="5" fillId="0" borderId="0" xfId="4" applyFont="1" applyFill="1"/>
    <xf numFmtId="0" fontId="6" fillId="0" borderId="0" xfId="4" applyFont="1" applyFill="1"/>
    <xf numFmtId="0" fontId="6" fillId="4" borderId="0" xfId="3" applyFont="1" applyFill="1"/>
    <xf numFmtId="0" fontId="3" fillId="0" borderId="1" xfId="3" applyFont="1" applyBorder="1" applyAlignment="1"/>
    <xf numFmtId="0" fontId="3" fillId="0" borderId="2" xfId="3" applyFont="1" applyBorder="1" applyAlignment="1"/>
    <xf numFmtId="3" fontId="6" fillId="0" borderId="0" xfId="4" applyNumberFormat="1" applyFont="1" applyAlignment="1">
      <alignment horizontal="center"/>
    </xf>
    <xf numFmtId="9" fontId="6" fillId="2" borderId="4" xfId="2" applyFont="1" applyFill="1" applyBorder="1" applyAlignment="1">
      <alignment horizontal="right"/>
    </xf>
    <xf numFmtId="43" fontId="0" fillId="0" borderId="0" xfId="1" applyFont="1"/>
    <xf numFmtId="0" fontId="3" fillId="0" borderId="2" xfId="3" applyFont="1" applyBorder="1" applyAlignment="1">
      <alignment horizontal="center"/>
    </xf>
    <xf numFmtId="172" fontId="4" fillId="0" borderId="0" xfId="4" applyNumberFormat="1"/>
    <xf numFmtId="167" fontId="6" fillId="0" borderId="0" xfId="5" applyNumberFormat="1" applyFont="1" applyFill="1"/>
    <xf numFmtId="3" fontId="6" fillId="0" borderId="0" xfId="4" applyNumberFormat="1" applyFont="1" applyFill="1" applyBorder="1" applyAlignment="1">
      <alignment horizontal="left" indent="1"/>
    </xf>
    <xf numFmtId="167" fontId="6" fillId="0" borderId="0" xfId="2" applyNumberFormat="1" applyFont="1" applyFill="1"/>
    <xf numFmtId="0" fontId="9" fillId="0" borderId="0" xfId="4" applyFont="1"/>
    <xf numFmtId="164" fontId="3" fillId="0" borderId="4" xfId="3" applyNumberFormat="1" applyFont="1" applyFill="1" applyBorder="1" applyAlignment="1">
      <alignment horizontal="center"/>
    </xf>
    <xf numFmtId="0" fontId="3" fillId="2" borderId="4" xfId="4" applyFont="1" applyFill="1" applyBorder="1" applyAlignment="1">
      <alignment horizontal="center" wrapText="1"/>
    </xf>
    <xf numFmtId="0" fontId="3" fillId="0" borderId="4" xfId="4" applyFont="1" applyFill="1" applyBorder="1" applyAlignment="1">
      <alignment horizontal="center" vertical="justify"/>
    </xf>
    <xf numFmtId="0" fontId="6" fillId="0" borderId="4" xfId="4" applyFont="1" applyBorder="1" applyAlignment="1">
      <alignment horizontal="center"/>
    </xf>
    <xf numFmtId="0" fontId="3" fillId="0" borderId="4" xfId="3" applyFont="1" applyFill="1" applyBorder="1"/>
    <xf numFmtId="3" fontId="3" fillId="0" borderId="4" xfId="3" applyNumberFormat="1" applyFont="1" applyFill="1" applyBorder="1"/>
    <xf numFmtId="3" fontId="3" fillId="0" borderId="4" xfId="4" applyNumberFormat="1" applyFont="1" applyFill="1" applyBorder="1" applyAlignment="1">
      <alignment horizontal="left"/>
    </xf>
    <xf numFmtId="169" fontId="3" fillId="2" borderId="4" xfId="6" applyNumberFormat="1" applyFont="1" applyFill="1" applyBorder="1" applyAlignment="1">
      <alignment horizontal="right"/>
    </xf>
    <xf numFmtId="167" fontId="3" fillId="2" borderId="4" xfId="5" applyNumberFormat="1" applyFont="1" applyFill="1" applyBorder="1" applyAlignment="1">
      <alignment horizontal="right"/>
    </xf>
    <xf numFmtId="3" fontId="3" fillId="2" borderId="4" xfId="4" applyNumberFormat="1" applyFont="1" applyFill="1" applyBorder="1" applyAlignment="1">
      <alignment horizontal="right"/>
    </xf>
    <xf numFmtId="9" fontId="6" fillId="0" borderId="0" xfId="2" applyFont="1"/>
    <xf numFmtId="9" fontId="6" fillId="10" borderId="0" xfId="2" applyFont="1" applyFill="1"/>
    <xf numFmtId="167" fontId="6" fillId="0" borderId="4" xfId="5" applyNumberFormat="1" applyFont="1" applyBorder="1"/>
    <xf numFmtId="167" fontId="6" fillId="2" borderId="4" xfId="2" applyNumberFormat="1" applyFont="1" applyFill="1" applyBorder="1" applyAlignment="1">
      <alignment horizontal="right"/>
    </xf>
    <xf numFmtId="9" fontId="6" fillId="0" borderId="4" xfId="2" applyFont="1" applyBorder="1"/>
    <xf numFmtId="174" fontId="6" fillId="0" borderId="0" xfId="1" applyNumberFormat="1" applyFont="1" applyFill="1"/>
    <xf numFmtId="167" fontId="6" fillId="0" borderId="0" xfId="2" applyNumberFormat="1" applyFont="1"/>
    <xf numFmtId="167" fontId="6" fillId="10" borderId="0" xfId="2" applyNumberFormat="1" applyFont="1" applyFill="1"/>
  </cellXfs>
  <cellStyles count="8">
    <cellStyle name="Обычный" xfId="0" builtinId="0"/>
    <cellStyle name="Обычный 2" xfId="4"/>
    <cellStyle name="Обычный_ком-банки-рейтинг" xfId="3"/>
    <cellStyle name="Процентный" xfId="2" builtinId="5"/>
    <cellStyle name="Процентный 2" xfId="5"/>
    <cellStyle name="Финансовый" xfId="1" builtinId="3"/>
    <cellStyle name="Финансовый 2" xfId="6"/>
    <cellStyle name="Финансов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/>
              <a:t>Динамика КП-нетто, активов денежного рынка, инвестиций в ЦБ, млн.сом</a:t>
            </a:r>
          </a:p>
        </c:rich>
      </c:tx>
      <c:layout>
        <c:manualLayout>
          <c:xMode val="edge"/>
          <c:yMode val="edge"/>
          <c:x val="0.14155274715472158"/>
          <c:y val="2.8969874337774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4513064133061"/>
          <c:y val="0.21999886506770563"/>
          <c:w val="0.84019226812800463"/>
          <c:h val="0.46224434316278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Банк!$J$4</c:f>
              <c:strCache>
                <c:ptCount val="1"/>
                <c:pt idx="0">
                  <c:v>Активы денежного рынка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Банк!$K$4:$O$4</c:f>
              <c:numCache>
                <c:formatCode>#,##0</c:formatCode>
                <c:ptCount val="5"/>
                <c:pt idx="0">
                  <c:v>1791570</c:v>
                </c:pt>
                <c:pt idx="1">
                  <c:v>738585</c:v>
                </c:pt>
                <c:pt idx="2">
                  <c:v>1062875</c:v>
                </c:pt>
                <c:pt idx="3">
                  <c:v>1229821</c:v>
                </c:pt>
                <c:pt idx="4">
                  <c:v>1138650</c:v>
                </c:pt>
              </c:numCache>
            </c:numRef>
          </c:val>
        </c:ser>
        <c:ser>
          <c:idx val="1"/>
          <c:order val="1"/>
          <c:tx>
            <c:strRef>
              <c:f>Банк!$J$7</c:f>
              <c:strCache>
                <c:ptCount val="1"/>
                <c:pt idx="0">
                  <c:v>Кредиты-нетто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Банк!$K$7:$O$7</c:f>
              <c:numCache>
                <c:formatCode>#,##0</c:formatCode>
                <c:ptCount val="5"/>
                <c:pt idx="0">
                  <c:v>4092654</c:v>
                </c:pt>
                <c:pt idx="1">
                  <c:v>6183907</c:v>
                </c:pt>
                <c:pt idx="2">
                  <c:v>5864572</c:v>
                </c:pt>
                <c:pt idx="3">
                  <c:v>4442998</c:v>
                </c:pt>
                <c:pt idx="4">
                  <c:v>5260732</c:v>
                </c:pt>
              </c:numCache>
            </c:numRef>
          </c:val>
        </c:ser>
        <c:ser>
          <c:idx val="2"/>
          <c:order val="2"/>
          <c:tx>
            <c:strRef>
              <c:f>Банк!$J$8</c:f>
              <c:strCache>
                <c:ptCount val="1"/>
                <c:pt idx="0">
                  <c:v>Ценные бумаги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Банк!$K$8:$O$8</c:f>
              <c:numCache>
                <c:formatCode>#,##0</c:formatCode>
                <c:ptCount val="5"/>
                <c:pt idx="0">
                  <c:v>0</c:v>
                </c:pt>
                <c:pt idx="1">
                  <c:v>139728</c:v>
                </c:pt>
                <c:pt idx="2">
                  <c:v>249515</c:v>
                </c:pt>
                <c:pt idx="3">
                  <c:v>449957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170272"/>
        <c:axId val="220135136"/>
      </c:barChart>
      <c:catAx>
        <c:axId val="22017027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0135136"/>
        <c:crosses val="autoZero"/>
        <c:auto val="0"/>
        <c:lblAlgn val="ctr"/>
        <c:lblOffset val="100"/>
        <c:noMultiLvlLbl val="0"/>
      </c:catAx>
      <c:valAx>
        <c:axId val="220135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170272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Calibri"/>
          <a:cs typeface="Arial" pitchFamily="34" charset="0"/>
        </a:defRPr>
      </a:pPr>
      <a:endParaRPr lang="ru-RU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расходы, млн. сом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Банк!$V$80</c:f>
              <c:strCache>
                <c:ptCount val="1"/>
                <c:pt idx="0">
                  <c:v>Всего доходы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Банк!$Y$80:$AB$80</c:f>
              <c:numCache>
                <c:formatCode>#,##0</c:formatCode>
                <c:ptCount val="4"/>
                <c:pt idx="0">
                  <c:v>1372167</c:v>
                </c:pt>
                <c:pt idx="1">
                  <c:v>1628466</c:v>
                </c:pt>
                <c:pt idx="2">
                  <c:v>1216796</c:v>
                </c:pt>
                <c:pt idx="3">
                  <c:v>1113208</c:v>
                </c:pt>
              </c:numCache>
            </c:numRef>
          </c:val>
        </c:ser>
        <c:ser>
          <c:idx val="3"/>
          <c:order val="1"/>
          <c:tx>
            <c:strRef>
              <c:f>Банк!$V$84</c:f>
              <c:strCache>
                <c:ptCount val="1"/>
                <c:pt idx="0">
                  <c:v>Всего расходы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Банк!$Y$84:$AB$84</c:f>
              <c:numCache>
                <c:formatCode>#,##0</c:formatCode>
                <c:ptCount val="4"/>
                <c:pt idx="0">
                  <c:v>1231891</c:v>
                </c:pt>
                <c:pt idx="1">
                  <c:v>1652558</c:v>
                </c:pt>
                <c:pt idx="2">
                  <c:v>1338207</c:v>
                </c:pt>
                <c:pt idx="3">
                  <c:v>1117507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115320"/>
        <c:axId val="221115712"/>
      </c:barChart>
      <c:catAx>
        <c:axId val="22111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115712"/>
        <c:crosses val="autoZero"/>
        <c:auto val="0"/>
        <c:lblAlgn val="ctr"/>
        <c:lblOffset val="100"/>
        <c:noMultiLvlLbl val="0"/>
      </c:catAx>
      <c:valAx>
        <c:axId val="221115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1115320"/>
        <c:crosses val="autoZero"/>
        <c:crossBetween val="between"/>
        <c:dispUnits>
          <c:builtInUnit val="thousand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всего доходов, %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Банк!$V$81:$V$82</c:f>
              <c:strCache>
                <c:ptCount val="2"/>
                <c:pt idx="0">
                  <c:v>Процентные доходы</c:v>
                </c:pt>
                <c:pt idx="1">
                  <c:v>Непроцентные доходы</c:v>
                </c:pt>
              </c:strCache>
            </c:strRef>
          </c:cat>
          <c:val>
            <c:numRef>
              <c:f>Банк!$AB$81:$AB$82</c:f>
              <c:numCache>
                <c:formatCode>#,##0</c:formatCode>
                <c:ptCount val="2"/>
                <c:pt idx="0">
                  <c:v>1065177</c:v>
                </c:pt>
                <c:pt idx="1">
                  <c:v>48031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всего расходов, %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5.5124877379701891E-2"/>
                  <c:y val="0.1666666666666666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124877379701891E-2"/>
                  <c:y val="-0.1770833333333334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4453048362313686E-2"/>
                  <c:y val="-4.7742504030075024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Банк!$V$85:$V$88</c:f>
              <c:strCache>
                <c:ptCount val="4"/>
                <c:pt idx="0">
                  <c:v>Процентные расходы</c:v>
                </c:pt>
                <c:pt idx="1">
                  <c:v>Операционные расходы</c:v>
                </c:pt>
                <c:pt idx="2">
                  <c:v>Рппу по ссудам</c:v>
                </c:pt>
                <c:pt idx="3">
                  <c:v>Расходы по налогу на прибыль</c:v>
                </c:pt>
              </c:strCache>
            </c:strRef>
          </c:cat>
          <c:val>
            <c:numRef>
              <c:f>Банк!$AB$85:$AB$88</c:f>
              <c:numCache>
                <c:formatCode>#,##0</c:formatCode>
                <c:ptCount val="4"/>
                <c:pt idx="0">
                  <c:v>625960</c:v>
                </c:pt>
                <c:pt idx="1">
                  <c:v>581983</c:v>
                </c:pt>
                <c:pt idx="2">
                  <c:v>-96081</c:v>
                </c:pt>
                <c:pt idx="3">
                  <c:v>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1"/>
      </c:pieChart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Кредиты, млн.сом</a:t>
            </a:r>
          </a:p>
        </c:rich>
      </c:tx>
      <c:layout>
        <c:manualLayout>
          <c:xMode val="edge"/>
          <c:yMode val="edge"/>
          <c:x val="7.0733352006888489E-2"/>
          <c:y val="3.12798151227114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04513064133064"/>
          <c:y val="0.15224250556124563"/>
          <c:w val="0.84019226812800463"/>
          <c:h val="0.615418947071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Банк!$J$5</c:f>
              <c:strCache>
                <c:ptCount val="1"/>
                <c:pt idx="0">
                  <c:v>Кредиты-брутто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Банк!$K$5:$O$5</c:f>
              <c:numCache>
                <c:formatCode>#,##0</c:formatCode>
                <c:ptCount val="5"/>
                <c:pt idx="0">
                  <c:v>4239118</c:v>
                </c:pt>
                <c:pt idx="1">
                  <c:v>6384172</c:v>
                </c:pt>
                <c:pt idx="2">
                  <c:v>6411891</c:v>
                </c:pt>
                <c:pt idx="3">
                  <c:v>4955670</c:v>
                </c:pt>
                <c:pt idx="4">
                  <c:v>5654050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467064"/>
        <c:axId val="221467456"/>
      </c:barChart>
      <c:catAx>
        <c:axId val="22146706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1467456"/>
        <c:crosses val="autoZero"/>
        <c:auto val="0"/>
        <c:lblAlgn val="ctr"/>
        <c:lblOffset val="100"/>
        <c:noMultiLvlLbl val="0"/>
      </c:catAx>
      <c:valAx>
        <c:axId val="221467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146706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расходы в разрезе, млн. сом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63836382469994"/>
          <c:y val="5.7516339869281063E-2"/>
          <c:w val="0.8078403701021053"/>
          <c:h val="0.6855527764911740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Банк!$V$81</c:f>
              <c:strCache>
                <c:ptCount val="1"/>
                <c:pt idx="0">
                  <c:v>Процентные доходы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Банк!$Y$81:$AB$81</c:f>
              <c:numCache>
                <c:formatCode>#,##0</c:formatCode>
                <c:ptCount val="4"/>
                <c:pt idx="0">
                  <c:v>1369073</c:v>
                </c:pt>
                <c:pt idx="1">
                  <c:v>1590482</c:v>
                </c:pt>
                <c:pt idx="2">
                  <c:v>1236641</c:v>
                </c:pt>
                <c:pt idx="3">
                  <c:v>1065177</c:v>
                </c:pt>
              </c:numCache>
            </c:numRef>
          </c:val>
        </c:ser>
        <c:ser>
          <c:idx val="3"/>
          <c:order val="1"/>
          <c:tx>
            <c:strRef>
              <c:f>Банк!$V$82</c:f>
              <c:strCache>
                <c:ptCount val="1"/>
                <c:pt idx="0">
                  <c:v>Непроцентные доходы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Банк!$Y$82:$AB$82</c:f>
              <c:numCache>
                <c:formatCode>#,##0</c:formatCode>
                <c:ptCount val="4"/>
                <c:pt idx="0">
                  <c:v>3094</c:v>
                </c:pt>
                <c:pt idx="1">
                  <c:v>37984</c:v>
                </c:pt>
                <c:pt idx="2">
                  <c:v>-19845</c:v>
                </c:pt>
                <c:pt idx="3">
                  <c:v>48031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9643928"/>
        <c:axId val="279641968"/>
      </c:barChart>
      <c:catAx>
        <c:axId val="27964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641968"/>
        <c:crosses val="autoZero"/>
        <c:auto val="0"/>
        <c:lblAlgn val="ctr"/>
        <c:lblOffset val="100"/>
        <c:noMultiLvlLbl val="0"/>
      </c:catAx>
      <c:valAx>
        <c:axId val="279641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79643928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1.054977920044861E-2"/>
          <c:y val="0.84400185270958794"/>
          <c:w val="0.95231594039152778"/>
          <c:h val="0.1380106146881320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расходы в разрезе, млн. сом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63836382469994"/>
          <c:y val="5.7516339869281063E-2"/>
          <c:w val="0.8078403701021053"/>
          <c:h val="0.6855527764911740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Банк!$V$85</c:f>
              <c:strCache>
                <c:ptCount val="1"/>
                <c:pt idx="0">
                  <c:v>Процентные расходы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Банк!$Y$85:$AB$85</c:f>
              <c:numCache>
                <c:formatCode>#,##0</c:formatCode>
                <c:ptCount val="4"/>
                <c:pt idx="0">
                  <c:v>529540</c:v>
                </c:pt>
                <c:pt idx="1">
                  <c:v>700669</c:v>
                </c:pt>
                <c:pt idx="2">
                  <c:v>724265</c:v>
                </c:pt>
                <c:pt idx="3">
                  <c:v>625960</c:v>
                </c:pt>
              </c:numCache>
            </c:numRef>
          </c:val>
        </c:ser>
        <c:ser>
          <c:idx val="5"/>
          <c:order val="1"/>
          <c:tx>
            <c:strRef>
              <c:f>Банк!$V$86</c:f>
              <c:strCache>
                <c:ptCount val="1"/>
                <c:pt idx="0">
                  <c:v>Операционные расходы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Банк!$Y$66:$AB$66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Банк!$Y$86:$AB$86</c:f>
              <c:numCache>
                <c:formatCode>#,##0</c:formatCode>
                <c:ptCount val="4"/>
                <c:pt idx="0">
                  <c:v>630828</c:v>
                </c:pt>
                <c:pt idx="1">
                  <c:v>657333</c:v>
                </c:pt>
                <c:pt idx="2">
                  <c:v>595774</c:v>
                </c:pt>
                <c:pt idx="3">
                  <c:v>581983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9692680"/>
        <c:axId val="359707968"/>
      </c:barChart>
      <c:catAx>
        <c:axId val="35969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707968"/>
        <c:crosses val="autoZero"/>
        <c:auto val="0"/>
        <c:lblAlgn val="ctr"/>
        <c:lblOffset val="100"/>
        <c:noMultiLvlLbl val="0"/>
      </c:catAx>
      <c:valAx>
        <c:axId val="359707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59692680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1.054977920044861E-2"/>
          <c:y val="0.84400185270958794"/>
          <c:w val="0.95231594039152778"/>
          <c:h val="0.1380106146881320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Активы, млн.сом</a:t>
            </a:r>
          </a:p>
        </c:rich>
      </c:tx>
      <c:layout>
        <c:manualLayout>
          <c:xMode val="edge"/>
          <c:yMode val="edge"/>
          <c:x val="7.0733352006888489E-2"/>
          <c:y val="3.12798151227114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04513064133064"/>
          <c:y val="0.15224250556124563"/>
          <c:w val="0.84019226812800463"/>
          <c:h val="0.615418947071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Банк!$J$9</c:f>
              <c:strCache>
                <c:ptCount val="1"/>
                <c:pt idx="0">
                  <c:v>Активы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Банк!$K$9:$O$9</c:f>
              <c:numCache>
                <c:formatCode>#,##0</c:formatCode>
                <c:ptCount val="5"/>
                <c:pt idx="0">
                  <c:v>6543319</c:v>
                </c:pt>
                <c:pt idx="1">
                  <c:v>7866602</c:v>
                </c:pt>
                <c:pt idx="2">
                  <c:v>8188736</c:v>
                </c:pt>
                <c:pt idx="3">
                  <c:v>7009170</c:v>
                </c:pt>
                <c:pt idx="4">
                  <c:v>7230384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718744"/>
        <c:axId val="220719128"/>
      </c:barChart>
      <c:catAx>
        <c:axId val="22071874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0719128"/>
        <c:crosses val="autoZero"/>
        <c:auto val="0"/>
        <c:lblAlgn val="ctr"/>
        <c:lblOffset val="100"/>
        <c:noMultiLvlLbl val="0"/>
      </c:catAx>
      <c:valAx>
        <c:axId val="220719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71874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Привлеченные</a:t>
            </a:r>
            <a:r>
              <a:rPr lang="ru-RU" baseline="0"/>
              <a:t> средства</a:t>
            </a:r>
            <a:r>
              <a:rPr lang="ru-RU"/>
              <a:t>, млн.сом</a:t>
            </a:r>
          </a:p>
        </c:rich>
      </c:tx>
      <c:layout>
        <c:manualLayout>
          <c:xMode val="edge"/>
          <c:yMode val="edge"/>
          <c:x val="5.4172426919917673E-2"/>
          <c:y val="3.115786416026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2687822979167"/>
          <c:y val="0.15810307193187981"/>
          <c:w val="0.86617312177020711"/>
          <c:h val="0.52339757832265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Банк!$J$10</c:f>
              <c:strCache>
                <c:ptCount val="1"/>
                <c:pt idx="0">
                  <c:v>Счета клиентов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Банк!$K$10:$O$10</c:f>
              <c:numCache>
                <c:formatCode>#,##0</c:formatCode>
                <c:ptCount val="5"/>
                <c:pt idx="0">
                  <c:v>348362</c:v>
                </c:pt>
                <c:pt idx="1">
                  <c:v>717223</c:v>
                </c:pt>
                <c:pt idx="2">
                  <c:v>1412307</c:v>
                </c:pt>
                <c:pt idx="3">
                  <c:v>2294951</c:v>
                </c:pt>
                <c:pt idx="4">
                  <c:v>3157418</c:v>
                </c:pt>
              </c:numCache>
            </c:numRef>
          </c:val>
        </c:ser>
        <c:ser>
          <c:idx val="1"/>
          <c:order val="1"/>
          <c:tx>
            <c:strRef>
              <c:f>Банк!$J$11</c:f>
              <c:strCache>
                <c:ptCount val="1"/>
                <c:pt idx="0">
                  <c:v>Средства и кредиты банков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Банк!$K$11:$O$11</c:f>
              <c:numCache>
                <c:formatCode>#,##0</c:formatCode>
                <c:ptCount val="5"/>
                <c:pt idx="0">
                  <c:v>5208076</c:v>
                </c:pt>
                <c:pt idx="1">
                  <c:v>6017255</c:v>
                </c:pt>
                <c:pt idx="2">
                  <c:v>5769054</c:v>
                </c:pt>
                <c:pt idx="3">
                  <c:v>3719596</c:v>
                </c:pt>
                <c:pt idx="4">
                  <c:v>3082718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784672"/>
        <c:axId val="220785056"/>
      </c:barChart>
      <c:catAx>
        <c:axId val="22078467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0785056"/>
        <c:crosses val="autoZero"/>
        <c:auto val="0"/>
        <c:lblAlgn val="ctr"/>
        <c:lblOffset val="100"/>
        <c:noMultiLvlLbl val="0"/>
      </c:catAx>
      <c:valAx>
        <c:axId val="220785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784672"/>
        <c:crosses val="autoZero"/>
        <c:crossBetween val="between"/>
        <c:dispUnits>
          <c:builtInUnit val="thousand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Обязательства, млн.сом</a:t>
            </a:r>
          </a:p>
        </c:rich>
      </c:tx>
      <c:layout>
        <c:manualLayout>
          <c:xMode val="edge"/>
          <c:yMode val="edge"/>
          <c:x val="7.8843069517496089E-2"/>
          <c:y val="3.1174383202099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62883991484967"/>
          <c:y val="0.15537848605577728"/>
          <c:w val="0.81818339724747802"/>
          <c:h val="0.60888570746838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Банк!$J$12</c:f>
              <c:strCache>
                <c:ptCount val="1"/>
                <c:pt idx="0">
                  <c:v>Обязательства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Банк!$K$12:$O$12</c:f>
              <c:numCache>
                <c:formatCode>#,##0</c:formatCode>
                <c:ptCount val="5"/>
                <c:pt idx="0">
                  <c:v>5663835</c:v>
                </c:pt>
                <c:pt idx="1">
                  <c:v>6861554</c:v>
                </c:pt>
                <c:pt idx="2">
                  <c:v>7242849</c:v>
                </c:pt>
                <c:pt idx="3">
                  <c:v>6109694</c:v>
                </c:pt>
                <c:pt idx="4">
                  <c:v>6335206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868080"/>
        <c:axId val="220868464"/>
      </c:barChart>
      <c:catAx>
        <c:axId val="220868080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0868464"/>
        <c:crosses val="autoZero"/>
        <c:auto val="0"/>
        <c:lblAlgn val="ctr"/>
        <c:lblOffset val="100"/>
        <c:noMultiLvlLbl val="0"/>
      </c:catAx>
      <c:valAx>
        <c:axId val="220868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86808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Пассивы, млн. сом</a:t>
            </a:r>
          </a:p>
        </c:rich>
      </c:tx>
      <c:layout>
        <c:manualLayout>
          <c:xMode val="edge"/>
          <c:yMode val="edge"/>
          <c:x val="7.4764438229005428E-2"/>
          <c:y val="3.112820199800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778550982053178"/>
          <c:y val="0.15934541865529242"/>
          <c:w val="0.84899467969189379"/>
          <c:h val="0.51785856448194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Банк!$J$12</c:f>
              <c:strCache>
                <c:ptCount val="1"/>
                <c:pt idx="0">
                  <c:v>Обязательства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Банк!$K$12:$O$12</c:f>
              <c:numCache>
                <c:formatCode>#,##0</c:formatCode>
                <c:ptCount val="5"/>
                <c:pt idx="0">
                  <c:v>5663835</c:v>
                </c:pt>
                <c:pt idx="1">
                  <c:v>6861554</c:v>
                </c:pt>
                <c:pt idx="2">
                  <c:v>7242849</c:v>
                </c:pt>
                <c:pt idx="3">
                  <c:v>6109694</c:v>
                </c:pt>
                <c:pt idx="4">
                  <c:v>6335206</c:v>
                </c:pt>
              </c:numCache>
            </c:numRef>
          </c:val>
        </c:ser>
        <c:ser>
          <c:idx val="1"/>
          <c:order val="1"/>
          <c:tx>
            <c:strRef>
              <c:f>Банк!$J$16</c:f>
              <c:strCache>
                <c:ptCount val="1"/>
                <c:pt idx="0">
                  <c:v>Капитал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Банк!$K$16:$O$16</c:f>
              <c:numCache>
                <c:formatCode>#,##0</c:formatCode>
                <c:ptCount val="5"/>
                <c:pt idx="0">
                  <c:v>879484</c:v>
                </c:pt>
                <c:pt idx="1">
                  <c:v>1005048</c:v>
                </c:pt>
                <c:pt idx="2">
                  <c:v>945887</c:v>
                </c:pt>
                <c:pt idx="3">
                  <c:v>899476</c:v>
                </c:pt>
                <c:pt idx="4">
                  <c:v>895178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937232"/>
        <c:axId val="220939688"/>
      </c:barChart>
      <c:catAx>
        <c:axId val="22093723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0939688"/>
        <c:crosses val="autoZero"/>
        <c:auto val="0"/>
        <c:lblAlgn val="ctr"/>
        <c:lblOffset val="100"/>
        <c:noMultiLvlLbl val="0"/>
      </c:catAx>
      <c:valAx>
        <c:axId val="2209396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937232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3913467847769029"/>
          <c:y val="0.89214985608607833"/>
          <c:w val="0.71131397637795268"/>
          <c:h val="9.051769433838494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Прибыль, млн. сом</a:t>
            </a:r>
          </a:p>
        </c:rich>
      </c:tx>
      <c:layout>
        <c:manualLayout>
          <c:xMode val="edge"/>
          <c:yMode val="edge"/>
          <c:x val="7.4764177205122267E-2"/>
          <c:y val="3.11282082106148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72781918730518"/>
          <c:y val="0.1793896473000047"/>
          <c:w val="0.87121534392512989"/>
          <c:h val="0.60167345595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Банк!$J$17</c:f>
              <c:strCache>
                <c:ptCount val="1"/>
                <c:pt idx="0">
                  <c:v>Прибыль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Банк!$L$2:$O$2</c:f>
              <c:strCache>
                <c:ptCount val="4"/>
                <c:pt idx="0">
                  <c:v>2014 г</c:v>
                </c:pt>
                <c:pt idx="1">
                  <c:v>2015 г</c:v>
                </c:pt>
                <c:pt idx="2">
                  <c:v>2016 г</c:v>
                </c:pt>
                <c:pt idx="3">
                  <c:v>2017 г</c:v>
                </c:pt>
              </c:strCache>
            </c:strRef>
          </c:cat>
          <c:val>
            <c:numRef>
              <c:f>Банк!$L$17:$O$17</c:f>
              <c:numCache>
                <c:formatCode>#,##0</c:formatCode>
                <c:ptCount val="4"/>
                <c:pt idx="0">
                  <c:v>140276</c:v>
                </c:pt>
                <c:pt idx="1">
                  <c:v>-24092</c:v>
                </c:pt>
                <c:pt idx="2">
                  <c:v>-121411</c:v>
                </c:pt>
                <c:pt idx="3">
                  <c:v>-4299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940472"/>
        <c:axId val="220940864"/>
      </c:barChart>
      <c:catAx>
        <c:axId val="2209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ru-RU"/>
          </a:p>
        </c:txPr>
        <c:crossAx val="220940864"/>
        <c:crosses val="autoZero"/>
        <c:auto val="0"/>
        <c:lblAlgn val="ctr"/>
        <c:lblOffset val="100"/>
        <c:noMultiLvlLbl val="0"/>
      </c:catAx>
      <c:valAx>
        <c:axId val="220940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0940472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 alignWithMargins="0"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активов, в %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Банк!$V$35</c:f>
              <c:strCache>
                <c:ptCount val="1"/>
                <c:pt idx="0">
                  <c:v>Активы денежного рынка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Банк!$X$35:$AB$35</c:f>
              <c:numCache>
                <c:formatCode>0%</c:formatCode>
                <c:ptCount val="5"/>
                <c:pt idx="0">
                  <c:v>0.27380141484772486</c:v>
                </c:pt>
                <c:pt idx="1">
                  <c:v>9.3888695525717464E-2</c:v>
                </c:pt>
                <c:pt idx="2">
                  <c:v>0.12979719947010138</c:v>
                </c:pt>
                <c:pt idx="3">
                  <c:v>0.1754588631749551</c:v>
                </c:pt>
                <c:pt idx="4">
                  <c:v>0.15748126240598009</c:v>
                </c:pt>
              </c:numCache>
            </c:numRef>
          </c:val>
        </c:ser>
        <c:ser>
          <c:idx val="1"/>
          <c:order val="1"/>
          <c:tx>
            <c:strRef>
              <c:f>Банк!$V$36</c:f>
              <c:strCache>
                <c:ptCount val="1"/>
                <c:pt idx="0">
                  <c:v>Ценные бумаги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Банк!$X$36:$AB$36</c:f>
              <c:numCache>
                <c:formatCode>0%</c:formatCode>
                <c:ptCount val="5"/>
                <c:pt idx="0">
                  <c:v>0</c:v>
                </c:pt>
                <c:pt idx="1">
                  <c:v>1.7762179909445019E-2</c:v>
                </c:pt>
                <c:pt idx="2">
                  <c:v>3.0470514619106052E-2</c:v>
                </c:pt>
                <c:pt idx="3">
                  <c:v>6.4195475355855264E-2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Банк!$V$37</c:f>
              <c:strCache>
                <c:ptCount val="1"/>
                <c:pt idx="0">
                  <c:v>Кредиты-нетто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Банк!$X$37:$AB$37</c:f>
              <c:numCache>
                <c:formatCode>0%</c:formatCode>
                <c:ptCount val="5"/>
                <c:pt idx="0">
                  <c:v>0.62547065182058215</c:v>
                </c:pt>
                <c:pt idx="1">
                  <c:v>0.78609633485970176</c:v>
                </c:pt>
                <c:pt idx="2">
                  <c:v>0.71617548788970609</c:v>
                </c:pt>
                <c:pt idx="3">
                  <c:v>0.63388361246766733</c:v>
                </c:pt>
                <c:pt idx="4">
                  <c:v>0.72758680590131863</c:v>
                </c:pt>
              </c:numCache>
            </c:numRef>
          </c:val>
        </c:ser>
        <c:ser>
          <c:idx val="3"/>
          <c:order val="3"/>
          <c:tx>
            <c:strRef>
              <c:f>Банк!$V$38</c:f>
              <c:strCache>
                <c:ptCount val="1"/>
                <c:pt idx="0">
                  <c:v>Основные средства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Банк!$X$38:$AB$38</c:f>
              <c:numCache>
                <c:formatCode>0%</c:formatCode>
                <c:ptCount val="5"/>
                <c:pt idx="0">
                  <c:v>7.5072757418673919E-2</c:v>
                </c:pt>
                <c:pt idx="1">
                  <c:v>6.3727006908446626E-2</c:v>
                </c:pt>
                <c:pt idx="2">
                  <c:v>6.145466162299041E-2</c:v>
                </c:pt>
                <c:pt idx="3">
                  <c:v>9.2369852635904109E-2</c:v>
                </c:pt>
                <c:pt idx="4">
                  <c:v>8.2396038716615883E-2</c:v>
                </c:pt>
              </c:numCache>
            </c:numRef>
          </c:val>
        </c:ser>
        <c:ser>
          <c:idx val="4"/>
          <c:order val="4"/>
          <c:tx>
            <c:strRef>
              <c:f>Банк!$V$39</c:f>
              <c:strCache>
                <c:ptCount val="1"/>
                <c:pt idx="0">
                  <c:v>Прочие активы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Банк!$X$39:$AB$39</c:f>
              <c:numCache>
                <c:formatCode>0%</c:formatCode>
                <c:ptCount val="5"/>
                <c:pt idx="0">
                  <c:v>2.5655175913019065E-2</c:v>
                </c:pt>
                <c:pt idx="1">
                  <c:v>3.8525782796689091E-2</c:v>
                </c:pt>
                <c:pt idx="2">
                  <c:v>6.2102136398096114E-2</c:v>
                </c:pt>
                <c:pt idx="3">
                  <c:v>3.409219636561818E-2</c:v>
                </c:pt>
                <c:pt idx="4">
                  <c:v>3.2535892976085362E-2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941648"/>
        <c:axId val="220942040"/>
      </c:barChart>
      <c:catAx>
        <c:axId val="220941648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crossAx val="220942040"/>
        <c:crosses val="autoZero"/>
        <c:auto val="0"/>
        <c:lblAlgn val="ctr"/>
        <c:lblOffset val="100"/>
        <c:noMultiLvlLbl val="0"/>
      </c:catAx>
      <c:valAx>
        <c:axId val="2209420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094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Структура пассивов, в %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Банк!$V$44</c:f>
              <c:strCache>
                <c:ptCount val="1"/>
                <c:pt idx="0">
                  <c:v>Счета клиентов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Банк!$X$44:$AB$44</c:f>
              <c:numCache>
                <c:formatCode>0%</c:formatCode>
                <c:ptCount val="5"/>
                <c:pt idx="0">
                  <c:v>5.3239342297081958E-2</c:v>
                </c:pt>
                <c:pt idx="1">
                  <c:v>9.1173164728557521E-2</c:v>
                </c:pt>
                <c:pt idx="2">
                  <c:v>0.17246947514243957</c:v>
                </c:pt>
                <c:pt idx="3">
                  <c:v>0.32742122105755744</c:v>
                </c:pt>
                <c:pt idx="4">
                  <c:v>0.43668745671045966</c:v>
                </c:pt>
              </c:numCache>
            </c:numRef>
          </c:val>
        </c:ser>
        <c:ser>
          <c:idx val="1"/>
          <c:order val="1"/>
          <c:tx>
            <c:strRef>
              <c:f>Банк!$V$45</c:f>
              <c:strCache>
                <c:ptCount val="1"/>
                <c:pt idx="0">
                  <c:v>Средства и кредиты банков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Банк!$X$45:$AB$45</c:f>
              <c:numCache>
                <c:formatCode>0%</c:formatCode>
                <c:ptCount val="5"/>
                <c:pt idx="0">
                  <c:v>0.79593796359309399</c:v>
                </c:pt>
                <c:pt idx="1">
                  <c:v>0.7649115844426857</c:v>
                </c:pt>
                <c:pt idx="2">
                  <c:v>0.70451092818232264</c:v>
                </c:pt>
                <c:pt idx="3">
                  <c:v>0.53067567201252075</c:v>
                </c:pt>
                <c:pt idx="4">
                  <c:v>0.42635605522472941</c:v>
                </c:pt>
              </c:numCache>
            </c:numRef>
          </c:val>
        </c:ser>
        <c:ser>
          <c:idx val="2"/>
          <c:order val="2"/>
          <c:tx>
            <c:strRef>
              <c:f>Банк!$V$46</c:f>
              <c:strCache>
                <c:ptCount val="1"/>
                <c:pt idx="0">
                  <c:v>Прочие обязательства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Банк!$X$46:$AB$46</c:f>
              <c:numCache>
                <c:formatCode>0%</c:formatCode>
                <c:ptCount val="5"/>
                <c:pt idx="0">
                  <c:v>1.6413230044263469E-2</c:v>
                </c:pt>
                <c:pt idx="1">
                  <c:v>1.6153861603777589E-2</c:v>
                </c:pt>
                <c:pt idx="2">
                  <c:v>7.5088511828931837E-3</c:v>
                </c:pt>
                <c:pt idx="3">
                  <c:v>1.3574645785449632E-2</c:v>
                </c:pt>
                <c:pt idx="4">
                  <c:v>1.3148679240272717E-2</c:v>
                </c:pt>
              </c:numCache>
            </c:numRef>
          </c:val>
        </c:ser>
        <c:ser>
          <c:idx val="3"/>
          <c:order val="3"/>
          <c:tx>
            <c:strRef>
              <c:f>Банк!$V$47</c:f>
              <c:strCache>
                <c:ptCount val="1"/>
                <c:pt idx="0">
                  <c:v>Капитал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Банк!$X$2:$AB$2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Банк!$X$47:$AB$47</c:f>
              <c:numCache>
                <c:formatCode>0%</c:formatCode>
                <c:ptCount val="5"/>
                <c:pt idx="0">
                  <c:v>0.13440946406556062</c:v>
                </c:pt>
                <c:pt idx="1">
                  <c:v>0.12776138922497923</c:v>
                </c:pt>
                <c:pt idx="2">
                  <c:v>0.11551074549234461</c:v>
                </c:pt>
                <c:pt idx="3">
                  <c:v>0.12832846114447216</c:v>
                </c:pt>
                <c:pt idx="4">
                  <c:v>0.12380780882453822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942824"/>
        <c:axId val="220943216"/>
      </c:barChart>
      <c:catAx>
        <c:axId val="220942824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crossAx val="220943216"/>
        <c:crosses val="autoZero"/>
        <c:auto val="0"/>
        <c:lblAlgn val="ctr"/>
        <c:lblOffset val="100"/>
        <c:noMultiLvlLbl val="0"/>
      </c:catAx>
      <c:valAx>
        <c:axId val="2209432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2094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/>
              <a:t>Кредитный портфель , млн.сом</a:t>
            </a:r>
          </a:p>
        </c:rich>
      </c:tx>
      <c:layout>
        <c:manualLayout>
          <c:xMode val="edge"/>
          <c:yMode val="edge"/>
          <c:x val="0.26360444164964741"/>
          <c:y val="2.89699971684311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4513064133064"/>
          <c:y val="0.21999886506770575"/>
          <c:w val="0.84019226812800463"/>
          <c:h val="0.46224434316278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Банк!$J$5</c:f>
              <c:strCache>
                <c:ptCount val="1"/>
                <c:pt idx="0">
                  <c:v>Кредиты-брутто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Банк!$K$5:$O$5</c:f>
              <c:numCache>
                <c:formatCode>#,##0</c:formatCode>
                <c:ptCount val="5"/>
                <c:pt idx="0">
                  <c:v>4239118</c:v>
                </c:pt>
                <c:pt idx="1">
                  <c:v>6384172</c:v>
                </c:pt>
                <c:pt idx="2">
                  <c:v>6411891</c:v>
                </c:pt>
                <c:pt idx="3">
                  <c:v>4955670</c:v>
                </c:pt>
                <c:pt idx="4">
                  <c:v>5654050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113360"/>
        <c:axId val="221113752"/>
      </c:barChart>
      <c:lineChart>
        <c:grouping val="standard"/>
        <c:varyColors val="0"/>
        <c:ser>
          <c:idx val="2"/>
          <c:order val="1"/>
          <c:tx>
            <c:strRef>
              <c:f>Банк!$J$18</c:f>
              <c:strCache>
                <c:ptCount val="1"/>
                <c:pt idx="0">
                  <c:v>Качество КП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Банк!$K$3:$O$3</c:f>
              <c:numCache>
                <c:formatCode>d/m/yy;@</c:formatCode>
                <c:ptCount val="5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</c:numCache>
            </c:numRef>
          </c:cat>
          <c:val>
            <c:numRef>
              <c:f>Банк!$K$18:$O$18</c:f>
              <c:numCache>
                <c:formatCode>0.0%</c:formatCode>
                <c:ptCount val="5"/>
                <c:pt idx="0">
                  <c:v>3.4550583399660023E-2</c:v>
                </c:pt>
                <c:pt idx="1">
                  <c:v>3.1368985672691779E-2</c:v>
                </c:pt>
                <c:pt idx="2">
                  <c:v>8.5359997542066759E-2</c:v>
                </c:pt>
                <c:pt idx="3">
                  <c:v>0.10345160190246727</c:v>
                </c:pt>
                <c:pt idx="4">
                  <c:v>6.9563940891927023E-2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14536"/>
        <c:axId val="221114144"/>
      </c:lineChart>
      <c:catAx>
        <c:axId val="221113360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21113752"/>
        <c:crosses val="autoZero"/>
        <c:auto val="0"/>
        <c:lblAlgn val="ctr"/>
        <c:lblOffset val="100"/>
        <c:noMultiLvlLbl val="0"/>
      </c:catAx>
      <c:valAx>
        <c:axId val="221113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1113360"/>
        <c:crosses val="autoZero"/>
        <c:crossBetween val="between"/>
        <c:dispUnits>
          <c:builtInUnit val="thousands"/>
          <c:dispUnitsLbl>
            <c:layout/>
            <c:spPr>
              <a:noFill/>
              <a:ln w="25400">
                <a:noFill/>
              </a:ln>
            </c:spPr>
          </c:dispUnitsLbl>
        </c:dispUnits>
      </c:valAx>
      <c:valAx>
        <c:axId val="2211141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21114536"/>
        <c:crosses val="max"/>
        <c:crossBetween val="between"/>
      </c:valAx>
      <c:dateAx>
        <c:axId val="221114536"/>
        <c:scaling>
          <c:orientation val="minMax"/>
        </c:scaling>
        <c:delete val="1"/>
        <c:axPos val="b"/>
        <c:numFmt formatCode="d/m/yy;@" sourceLinked="1"/>
        <c:majorTickMark val="out"/>
        <c:minorTickMark val="none"/>
        <c:tickLblPos val="nextTo"/>
        <c:crossAx val="221114144"/>
        <c:crosses val="autoZero"/>
        <c:auto val="1"/>
        <c:lblOffset val="100"/>
        <c:baseTimeUnit val="years"/>
      </c:date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Calibri"/>
          <a:cs typeface="Arial" pitchFamily="34" charset="0"/>
        </a:defRPr>
      </a:pPr>
      <a:endParaRPr lang="ru-RU"/>
    </a:p>
  </c:txPr>
  <c:printSettings>
    <c:headerFooter alignWithMargins="0"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582706</xdr:colOff>
      <xdr:row>34</xdr:row>
      <xdr:rowOff>135856</xdr:rowOff>
    </xdr:from>
    <xdr:to>
      <xdr:col>12</xdr:col>
      <xdr:colOff>700842</xdr:colOff>
      <xdr:row>49</xdr:row>
      <xdr:rowOff>33315</xdr:rowOff>
    </xdr:to>
    <xdr:graphicFrame macro="">
      <xdr:nvGraphicFramePr>
        <xdr:cNvPr id="2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10043</xdr:colOff>
      <xdr:row>19</xdr:row>
      <xdr:rowOff>33617</xdr:rowOff>
    </xdr:from>
    <xdr:to>
      <xdr:col>12</xdr:col>
      <xdr:colOff>703170</xdr:colOff>
      <xdr:row>33</xdr:row>
      <xdr:rowOff>105104</xdr:rowOff>
    </xdr:to>
    <xdr:graphicFrame macro="">
      <xdr:nvGraphicFramePr>
        <xdr:cNvPr id="3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137205</xdr:colOff>
      <xdr:row>50</xdr:row>
      <xdr:rowOff>29005</xdr:rowOff>
    </xdr:from>
    <xdr:to>
      <xdr:col>18</xdr:col>
      <xdr:colOff>175846</xdr:colOff>
      <xdr:row>62</xdr:row>
      <xdr:rowOff>149516</xdr:rowOff>
    </xdr:to>
    <xdr:graphicFrame macro="">
      <xdr:nvGraphicFramePr>
        <xdr:cNvPr id="4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11722</xdr:colOff>
      <xdr:row>50</xdr:row>
      <xdr:rowOff>19480</xdr:rowOff>
    </xdr:from>
    <xdr:to>
      <xdr:col>12</xdr:col>
      <xdr:colOff>704850</xdr:colOff>
      <xdr:row>62</xdr:row>
      <xdr:rowOff>124855</xdr:rowOff>
    </xdr:to>
    <xdr:graphicFrame macro="">
      <xdr:nvGraphicFramePr>
        <xdr:cNvPr id="5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19051</xdr:colOff>
      <xdr:row>62</xdr:row>
      <xdr:rowOff>240210</xdr:rowOff>
    </xdr:from>
    <xdr:to>
      <xdr:col>12</xdr:col>
      <xdr:colOff>695326</xdr:colOff>
      <xdr:row>76</xdr:row>
      <xdr:rowOff>108087</xdr:rowOff>
    </xdr:to>
    <xdr:graphicFrame macro="">
      <xdr:nvGraphicFramePr>
        <xdr:cNvPr id="6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135963</xdr:colOff>
      <xdr:row>62</xdr:row>
      <xdr:rowOff>250980</xdr:rowOff>
    </xdr:from>
    <xdr:to>
      <xdr:col>18</xdr:col>
      <xdr:colOff>168519</xdr:colOff>
      <xdr:row>76</xdr:row>
      <xdr:rowOff>100853</xdr:rowOff>
    </xdr:to>
    <xdr:graphicFrame macro="">
      <xdr:nvGraphicFramePr>
        <xdr:cNvPr id="7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19205</xdr:colOff>
      <xdr:row>47</xdr:row>
      <xdr:rowOff>146584</xdr:rowOff>
    </xdr:from>
    <xdr:to>
      <xdr:col>24</xdr:col>
      <xdr:colOff>549089</xdr:colOff>
      <xdr:row>63</xdr:row>
      <xdr:rowOff>134471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642657</xdr:colOff>
      <xdr:row>47</xdr:row>
      <xdr:rowOff>145677</xdr:rowOff>
    </xdr:from>
    <xdr:to>
      <xdr:col>30</xdr:col>
      <xdr:colOff>48876</xdr:colOff>
      <xdr:row>63</xdr:row>
      <xdr:rowOff>133563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142875</xdr:colOff>
      <xdr:row>34</xdr:row>
      <xdr:rowOff>134471</xdr:rowOff>
    </xdr:from>
    <xdr:to>
      <xdr:col>18</xdr:col>
      <xdr:colOff>182886</xdr:colOff>
      <xdr:row>49</xdr:row>
      <xdr:rowOff>81583</xdr:rowOff>
    </xdr:to>
    <xdr:graphicFrame macro="">
      <xdr:nvGraphicFramePr>
        <xdr:cNvPr id="10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593911</xdr:colOff>
      <xdr:row>98</xdr:row>
      <xdr:rowOff>143996</xdr:rowOff>
    </xdr:from>
    <xdr:to>
      <xdr:col>25</xdr:col>
      <xdr:colOff>201706</xdr:colOff>
      <xdr:row>116</xdr:row>
      <xdr:rowOff>89648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92</xdr:row>
      <xdr:rowOff>0</xdr:rowOff>
    </xdr:from>
    <xdr:to>
      <xdr:col>17</xdr:col>
      <xdr:colOff>638176</xdr:colOff>
      <xdr:row>107</xdr:row>
      <xdr:rowOff>9525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11206</xdr:colOff>
      <xdr:row>107</xdr:row>
      <xdr:rowOff>112058</xdr:rowOff>
    </xdr:from>
    <xdr:to>
      <xdr:col>17</xdr:col>
      <xdr:colOff>633694</xdr:colOff>
      <xdr:row>122</xdr:row>
      <xdr:rowOff>87967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67235</xdr:colOff>
      <xdr:row>19</xdr:row>
      <xdr:rowOff>44823</xdr:rowOff>
    </xdr:from>
    <xdr:to>
      <xdr:col>17</xdr:col>
      <xdr:colOff>693127</xdr:colOff>
      <xdr:row>33</xdr:row>
      <xdr:rowOff>116310</xdr:rowOff>
    </xdr:to>
    <xdr:graphicFrame macro="">
      <xdr:nvGraphicFramePr>
        <xdr:cNvPr id="15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302559</xdr:colOff>
      <xdr:row>117</xdr:row>
      <xdr:rowOff>56029</xdr:rowOff>
    </xdr:from>
    <xdr:to>
      <xdr:col>30</xdr:col>
      <xdr:colOff>414617</xdr:colOff>
      <xdr:row>132</xdr:row>
      <xdr:rowOff>112059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117</xdr:row>
      <xdr:rowOff>134471</xdr:rowOff>
    </xdr:from>
    <xdr:to>
      <xdr:col>25</xdr:col>
      <xdr:colOff>235324</xdr:colOff>
      <xdr:row>133</xdr:row>
      <xdr:rowOff>33618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0;&#1085;&#1072;&#1083;&#1080;&#1079;%20KIC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1;&#1058;&#10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Т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Т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2"/>
  <sheetViews>
    <sheetView tabSelected="1" topLeftCell="K64" zoomScale="85" zoomScaleNormal="85" workbookViewId="0">
      <selection activeCell="AB97" sqref="AB97"/>
    </sheetView>
  </sheetViews>
  <sheetFormatPr defaultRowHeight="12.75" x14ac:dyDescent="0.2"/>
  <cols>
    <col min="1" max="1" width="2.85546875" style="85" bestFit="1" customWidth="1"/>
    <col min="2" max="2" width="56.5703125" style="85" customWidth="1"/>
    <col min="3" max="3" width="11.28515625" style="142" bestFit="1" customWidth="1"/>
    <col min="4" max="4" width="11.28515625" style="142" customWidth="1"/>
    <col min="5" max="7" width="11.28515625" style="142" bestFit="1" customWidth="1"/>
    <col min="8" max="8" width="10.28515625" style="1" bestFit="1" customWidth="1"/>
    <col min="9" max="9" width="9.140625" style="1"/>
    <col min="10" max="10" width="21.85546875" style="2" bestFit="1" customWidth="1"/>
    <col min="11" max="18" width="11.42578125" style="2" customWidth="1"/>
    <col min="19" max="19" width="7.42578125" style="2" customWidth="1"/>
    <col min="20" max="21" width="9.140625" style="2"/>
    <col min="22" max="22" width="29.140625" style="3" bestFit="1" customWidth="1"/>
    <col min="23" max="26" width="10.7109375" style="3" customWidth="1"/>
    <col min="27" max="27" width="10.42578125" style="3" customWidth="1"/>
    <col min="28" max="28" width="12.140625" style="3" bestFit="1" customWidth="1"/>
    <col min="29" max="29" width="11.42578125" style="3" bestFit="1" customWidth="1"/>
    <col min="30" max="30" width="12.140625" style="3" bestFit="1" customWidth="1"/>
    <col min="31" max="16384" width="9.140625" style="1"/>
  </cols>
  <sheetData>
    <row r="1" spans="1:32" x14ac:dyDescent="0.2">
      <c r="A1" s="143"/>
      <c r="B1" s="144"/>
      <c r="C1" s="148" t="s">
        <v>164</v>
      </c>
      <c r="D1" s="148" t="s">
        <v>150</v>
      </c>
      <c r="E1" s="148" t="s">
        <v>151</v>
      </c>
      <c r="F1" s="148" t="s">
        <v>152</v>
      </c>
      <c r="G1" s="148" t="s">
        <v>153</v>
      </c>
    </row>
    <row r="2" spans="1:32" x14ac:dyDescent="0.2">
      <c r="A2" s="4"/>
      <c r="B2" s="5" t="s">
        <v>0</v>
      </c>
      <c r="C2" s="6">
        <v>41640</v>
      </c>
      <c r="D2" s="6">
        <v>42005</v>
      </c>
      <c r="E2" s="6">
        <v>42370</v>
      </c>
      <c r="F2" s="6">
        <v>42736</v>
      </c>
      <c r="G2" s="6">
        <v>43101</v>
      </c>
      <c r="K2" s="145" t="s">
        <v>164</v>
      </c>
      <c r="L2" s="145" t="s">
        <v>150</v>
      </c>
      <c r="M2" s="145" t="s">
        <v>151</v>
      </c>
      <c r="N2" s="145" t="s">
        <v>152</v>
      </c>
      <c r="O2" s="145" t="s">
        <v>153</v>
      </c>
      <c r="V2" s="156" t="s">
        <v>3</v>
      </c>
      <c r="W2" s="157"/>
      <c r="X2" s="154">
        <f>C2</f>
        <v>41640</v>
      </c>
      <c r="Y2" s="154">
        <f>D2</f>
        <v>42005</v>
      </c>
      <c r="Z2" s="154">
        <f>E2</f>
        <v>42370</v>
      </c>
      <c r="AA2" s="154">
        <f>F2</f>
        <v>42736</v>
      </c>
      <c r="AB2" s="154">
        <f>G2</f>
        <v>43101</v>
      </c>
      <c r="AC2" s="155" t="s">
        <v>165</v>
      </c>
      <c r="AD2" s="155"/>
      <c r="AE2" s="155" t="s">
        <v>163</v>
      </c>
      <c r="AF2" s="155"/>
    </row>
    <row r="3" spans="1:32" x14ac:dyDescent="0.2">
      <c r="A3" s="7"/>
      <c r="B3" s="8" t="s">
        <v>1</v>
      </c>
      <c r="C3" s="9"/>
      <c r="D3" s="9"/>
      <c r="E3" s="9"/>
      <c r="F3" s="10"/>
      <c r="G3" s="9"/>
      <c r="J3" s="18" t="s">
        <v>2</v>
      </c>
      <c r="K3" s="12">
        <f>C2</f>
        <v>41640</v>
      </c>
      <c r="L3" s="12">
        <f>D2</f>
        <v>42005</v>
      </c>
      <c r="M3" s="12">
        <f>E2</f>
        <v>42370</v>
      </c>
      <c r="N3" s="12">
        <f>F2</f>
        <v>42736</v>
      </c>
      <c r="O3" s="12">
        <f>G2</f>
        <v>43101</v>
      </c>
      <c r="S3" s="13"/>
      <c r="T3" s="14"/>
      <c r="U3" s="14"/>
      <c r="V3" s="156"/>
      <c r="W3" s="157"/>
      <c r="X3" s="154"/>
      <c r="Y3" s="154"/>
      <c r="Z3" s="154"/>
      <c r="AA3" s="154"/>
      <c r="AB3" s="154"/>
      <c r="AC3" s="17" t="s">
        <v>161</v>
      </c>
      <c r="AD3" s="17" t="s">
        <v>162</v>
      </c>
      <c r="AE3" s="17" t="s">
        <v>161</v>
      </c>
      <c r="AF3" s="17" t="s">
        <v>162</v>
      </c>
    </row>
    <row r="4" spans="1:32" x14ac:dyDescent="0.2">
      <c r="A4" s="18">
        <v>1</v>
      </c>
      <c r="B4" s="19" t="s">
        <v>5</v>
      </c>
      <c r="C4" s="20">
        <v>393787</v>
      </c>
      <c r="D4" s="20">
        <v>495913</v>
      </c>
      <c r="E4" s="20">
        <v>1062093</v>
      </c>
      <c r="F4" s="20">
        <v>794107</v>
      </c>
      <c r="G4" s="20">
        <f>344796+166411</f>
        <v>511207</v>
      </c>
      <c r="J4" s="11" t="s">
        <v>6</v>
      </c>
      <c r="K4" s="20">
        <f>C9</f>
        <v>1791570</v>
      </c>
      <c r="L4" s="20">
        <f>D9</f>
        <v>738585</v>
      </c>
      <c r="M4" s="20">
        <f>E9</f>
        <v>1062875</v>
      </c>
      <c r="N4" s="20">
        <f>F9</f>
        <v>1229821</v>
      </c>
      <c r="O4" s="20">
        <f>G9</f>
        <v>1138650</v>
      </c>
      <c r="S4" s="21"/>
      <c r="T4" s="22"/>
      <c r="U4" s="22"/>
      <c r="V4" s="23" t="s">
        <v>1</v>
      </c>
      <c r="W4" s="24"/>
      <c r="X4" s="24"/>
      <c r="Y4" s="24"/>
      <c r="Z4" s="24"/>
      <c r="AA4" s="24"/>
      <c r="AB4" s="25"/>
      <c r="AC4" s="26"/>
      <c r="AD4" s="27"/>
      <c r="AE4" s="26"/>
      <c r="AF4" s="27"/>
    </row>
    <row r="5" spans="1:32" x14ac:dyDescent="0.2">
      <c r="A5" s="28">
        <v>2</v>
      </c>
      <c r="B5" s="19" t="s">
        <v>7</v>
      </c>
      <c r="C5" s="20">
        <v>1397783</v>
      </c>
      <c r="D5" s="20">
        <v>242672</v>
      </c>
      <c r="E5" s="20">
        <v>782</v>
      </c>
      <c r="F5" s="20">
        <v>435714</v>
      </c>
      <c r="G5" s="20">
        <f>150000+477443</f>
        <v>627443</v>
      </c>
      <c r="J5" s="29" t="s">
        <v>166</v>
      </c>
      <c r="K5" s="20">
        <f t="shared" ref="K5:O7" si="0">C14</f>
        <v>4239118</v>
      </c>
      <c r="L5" s="20">
        <f t="shared" si="0"/>
        <v>6384172</v>
      </c>
      <c r="M5" s="20">
        <f t="shared" si="0"/>
        <v>6411891</v>
      </c>
      <c r="N5" s="20">
        <f t="shared" si="0"/>
        <v>4955670</v>
      </c>
      <c r="O5" s="20">
        <f t="shared" si="0"/>
        <v>5654050</v>
      </c>
      <c r="P5" s="62">
        <f>O5-K5</f>
        <v>1414932</v>
      </c>
      <c r="S5" s="21"/>
      <c r="T5" s="22"/>
      <c r="U5" s="22"/>
      <c r="V5" s="30" t="s">
        <v>6</v>
      </c>
      <c r="W5" s="31"/>
      <c r="X5" s="31">
        <f>C9</f>
        <v>1791570</v>
      </c>
      <c r="Y5" s="31">
        <f>D9</f>
        <v>738585</v>
      </c>
      <c r="Z5" s="31">
        <f>E9</f>
        <v>1062875</v>
      </c>
      <c r="AA5" s="31">
        <f>F9</f>
        <v>1229821</v>
      </c>
      <c r="AB5" s="31">
        <f>G9</f>
        <v>1138650</v>
      </c>
      <c r="AC5" s="32">
        <f t="shared" ref="AC5:AC10" si="1">AB5-X5</f>
        <v>-652920</v>
      </c>
      <c r="AD5" s="33">
        <f t="shared" ref="AD5:AD10" si="2">AB5/X5-1</f>
        <v>-0.36444012793248381</v>
      </c>
      <c r="AE5" s="34">
        <f>AB5-AA5</f>
        <v>-91171</v>
      </c>
      <c r="AF5" s="33">
        <f>AB5/AA5-1</f>
        <v>-7.4133552769061528E-2</v>
      </c>
    </row>
    <row r="6" spans="1:32" x14ac:dyDescent="0.2">
      <c r="A6" s="35"/>
      <c r="B6" s="36" t="s">
        <v>8</v>
      </c>
      <c r="C6" s="37"/>
      <c r="D6" s="37"/>
      <c r="E6" s="37"/>
      <c r="F6" s="37"/>
      <c r="G6" s="37"/>
      <c r="J6" s="29" t="s">
        <v>9</v>
      </c>
      <c r="K6" s="20">
        <f t="shared" si="0"/>
        <v>146464</v>
      </c>
      <c r="L6" s="20">
        <f t="shared" si="0"/>
        <v>200265</v>
      </c>
      <c r="M6" s="20">
        <f t="shared" si="0"/>
        <v>547319</v>
      </c>
      <c r="N6" s="20">
        <f t="shared" si="0"/>
        <v>512672</v>
      </c>
      <c r="O6" s="20">
        <f t="shared" si="0"/>
        <v>393318</v>
      </c>
      <c r="P6" s="62">
        <f>O6-K6</f>
        <v>246854</v>
      </c>
      <c r="S6" s="21"/>
      <c r="T6" s="22"/>
      <c r="U6" s="22"/>
      <c r="V6" s="30" t="s">
        <v>10</v>
      </c>
      <c r="W6" s="31"/>
      <c r="X6" s="31">
        <f>C13</f>
        <v>0</v>
      </c>
      <c r="Y6" s="31">
        <f>D13</f>
        <v>139728</v>
      </c>
      <c r="Z6" s="31">
        <f>E13</f>
        <v>249515</v>
      </c>
      <c r="AA6" s="31">
        <f>F13</f>
        <v>449957</v>
      </c>
      <c r="AB6" s="31">
        <f>G13</f>
        <v>0</v>
      </c>
      <c r="AC6" s="32">
        <f t="shared" si="1"/>
        <v>0</v>
      </c>
      <c r="AD6" s="33" t="e">
        <f t="shared" si="2"/>
        <v>#DIV/0!</v>
      </c>
      <c r="AE6" s="34">
        <f t="shared" ref="AE6:AE25" si="3">AB6-AA6</f>
        <v>-449957</v>
      </c>
      <c r="AF6" s="33">
        <f t="shared" ref="AF6:AF21" si="4">AB6/AA6-1</f>
        <v>-1</v>
      </c>
    </row>
    <row r="7" spans="1:32" x14ac:dyDescent="0.2">
      <c r="A7" s="35"/>
      <c r="B7" s="36" t="s">
        <v>11</v>
      </c>
      <c r="C7" s="37"/>
      <c r="D7" s="37"/>
      <c r="E7" s="37"/>
      <c r="F7" s="37"/>
      <c r="G7" s="37"/>
      <c r="J7" s="11" t="s">
        <v>12</v>
      </c>
      <c r="K7" s="20">
        <f t="shared" si="0"/>
        <v>4092654</v>
      </c>
      <c r="L7" s="20">
        <f t="shared" si="0"/>
        <v>6183907</v>
      </c>
      <c r="M7" s="20">
        <f t="shared" si="0"/>
        <v>5864572</v>
      </c>
      <c r="N7" s="20">
        <f t="shared" si="0"/>
        <v>4442998</v>
      </c>
      <c r="O7" s="20">
        <f t="shared" si="0"/>
        <v>5260732</v>
      </c>
      <c r="P7" s="62">
        <f>O7-K7</f>
        <v>1168078</v>
      </c>
      <c r="S7" s="21"/>
      <c r="T7" s="22"/>
      <c r="U7" s="22"/>
      <c r="V7" s="30" t="s">
        <v>12</v>
      </c>
      <c r="W7" s="31"/>
      <c r="X7" s="31">
        <f t="shared" ref="X7:AB8" si="5">C16</f>
        <v>4092654</v>
      </c>
      <c r="Y7" s="31">
        <f t="shared" si="5"/>
        <v>6183907</v>
      </c>
      <c r="Z7" s="31">
        <f t="shared" si="5"/>
        <v>5864572</v>
      </c>
      <c r="AA7" s="31">
        <f t="shared" si="5"/>
        <v>4442998</v>
      </c>
      <c r="AB7" s="31">
        <f t="shared" si="5"/>
        <v>5260732</v>
      </c>
      <c r="AC7" s="32">
        <f t="shared" si="1"/>
        <v>1168078</v>
      </c>
      <c r="AD7" s="33">
        <f t="shared" si="2"/>
        <v>0.28540844156383605</v>
      </c>
      <c r="AE7" s="34">
        <f t="shared" si="3"/>
        <v>817734</v>
      </c>
      <c r="AF7" s="33">
        <f t="shared" si="4"/>
        <v>0.18405004908847578</v>
      </c>
    </row>
    <row r="8" spans="1:32" x14ac:dyDescent="0.2">
      <c r="A8" s="28">
        <v>3</v>
      </c>
      <c r="B8" s="19" t="s">
        <v>13</v>
      </c>
      <c r="C8" s="20"/>
      <c r="D8" s="20"/>
      <c r="E8" s="20"/>
      <c r="F8" s="20"/>
      <c r="G8" s="20"/>
      <c r="J8" s="11" t="s">
        <v>10</v>
      </c>
      <c r="K8" s="20">
        <f>C13</f>
        <v>0</v>
      </c>
      <c r="L8" s="20">
        <f>D13</f>
        <v>139728</v>
      </c>
      <c r="M8" s="20">
        <f>E13</f>
        <v>249515</v>
      </c>
      <c r="N8" s="20">
        <f>F13</f>
        <v>449957</v>
      </c>
      <c r="O8" s="20">
        <f>G13</f>
        <v>0</v>
      </c>
      <c r="S8" s="21"/>
      <c r="T8" s="22"/>
      <c r="U8" s="22"/>
      <c r="V8" s="38" t="s">
        <v>14</v>
      </c>
      <c r="W8" s="31"/>
      <c r="X8" s="31">
        <f t="shared" si="5"/>
        <v>491225</v>
      </c>
      <c r="Y8" s="31">
        <f t="shared" si="5"/>
        <v>501315</v>
      </c>
      <c r="Z8" s="31">
        <f t="shared" si="5"/>
        <v>503236</v>
      </c>
      <c r="AA8" s="31">
        <f t="shared" si="5"/>
        <v>647436</v>
      </c>
      <c r="AB8" s="31">
        <f t="shared" si="5"/>
        <v>595755</v>
      </c>
      <c r="AC8" s="32">
        <f t="shared" si="1"/>
        <v>104530</v>
      </c>
      <c r="AD8" s="33">
        <f t="shared" si="2"/>
        <v>0.21279454425161592</v>
      </c>
      <c r="AE8" s="34">
        <f t="shared" si="3"/>
        <v>-51681</v>
      </c>
      <c r="AF8" s="33">
        <f t="shared" si="4"/>
        <v>-7.9824106166478281E-2</v>
      </c>
    </row>
    <row r="9" spans="1:32" x14ac:dyDescent="0.2">
      <c r="A9" s="39">
        <v>4</v>
      </c>
      <c r="B9" s="40" t="s">
        <v>15</v>
      </c>
      <c r="C9" s="41">
        <f t="shared" ref="C9:G9" si="6">SUM(C4,C5,C8)</f>
        <v>1791570</v>
      </c>
      <c r="D9" s="41">
        <f t="shared" ref="D9" si="7">SUM(D4,D5,D8)</f>
        <v>738585</v>
      </c>
      <c r="E9" s="41">
        <f t="shared" si="6"/>
        <v>1062875</v>
      </c>
      <c r="F9" s="41">
        <f t="shared" si="6"/>
        <v>1229821</v>
      </c>
      <c r="G9" s="41">
        <f t="shared" si="6"/>
        <v>1138650</v>
      </c>
      <c r="J9" s="158" t="s">
        <v>1</v>
      </c>
      <c r="K9" s="159">
        <f>C22</f>
        <v>6543319</v>
      </c>
      <c r="L9" s="159">
        <f>D22</f>
        <v>7866602</v>
      </c>
      <c r="M9" s="159">
        <f>E22</f>
        <v>8188736</v>
      </c>
      <c r="N9" s="159">
        <f>F22</f>
        <v>7009170</v>
      </c>
      <c r="O9" s="159">
        <f>G22</f>
        <v>7230384</v>
      </c>
      <c r="S9" s="21"/>
      <c r="T9" s="22"/>
      <c r="U9" s="22"/>
      <c r="V9" s="30" t="s">
        <v>16</v>
      </c>
      <c r="W9" s="31"/>
      <c r="X9" s="31">
        <f>C20+C21</f>
        <v>167870</v>
      </c>
      <c r="Y9" s="31">
        <f>D20+D21</f>
        <v>303067</v>
      </c>
      <c r="Z9" s="31">
        <f>E20+E21</f>
        <v>508538</v>
      </c>
      <c r="AA9" s="31">
        <f>F20+F21</f>
        <v>238958</v>
      </c>
      <c r="AB9" s="31">
        <f>G20+G21</f>
        <v>235247</v>
      </c>
      <c r="AC9" s="32">
        <f t="shared" si="1"/>
        <v>67377</v>
      </c>
      <c r="AD9" s="33">
        <f t="shared" si="2"/>
        <v>0.40136415083100019</v>
      </c>
      <c r="AE9" s="34">
        <f t="shared" si="3"/>
        <v>-3711</v>
      </c>
      <c r="AF9" s="33">
        <f t="shared" si="4"/>
        <v>-1.552992576101242E-2</v>
      </c>
    </row>
    <row r="10" spans="1:32" x14ac:dyDescent="0.2">
      <c r="A10" s="18">
        <v>5</v>
      </c>
      <c r="B10" s="42" t="s">
        <v>17</v>
      </c>
      <c r="C10" s="20">
        <v>0</v>
      </c>
      <c r="D10" s="20">
        <v>139728</v>
      </c>
      <c r="E10" s="20">
        <v>249515</v>
      </c>
      <c r="F10" s="20">
        <v>449957</v>
      </c>
      <c r="G10" s="20">
        <v>0</v>
      </c>
      <c r="J10" s="11" t="s">
        <v>18</v>
      </c>
      <c r="K10" s="20">
        <f>C24</f>
        <v>348362</v>
      </c>
      <c r="L10" s="20">
        <f>D24</f>
        <v>717223</v>
      </c>
      <c r="M10" s="20">
        <f>E24</f>
        <v>1412307</v>
      </c>
      <c r="N10" s="20">
        <f>F24</f>
        <v>2294951</v>
      </c>
      <c r="O10" s="20">
        <f>G24</f>
        <v>3157418</v>
      </c>
      <c r="S10" s="43"/>
      <c r="T10" s="43"/>
      <c r="U10" s="43"/>
      <c r="V10" s="44" t="s">
        <v>19</v>
      </c>
      <c r="W10" s="45">
        <v>4797574</v>
      </c>
      <c r="X10" s="45">
        <f>SUM(X5:X9)</f>
        <v>6543319</v>
      </c>
      <c r="Y10" s="45">
        <f t="shared" ref="Y10:AA10" si="8">SUM(Y5:Y9)</f>
        <v>7866602</v>
      </c>
      <c r="Z10" s="45">
        <f t="shared" si="8"/>
        <v>8188736</v>
      </c>
      <c r="AA10" s="45">
        <f t="shared" si="8"/>
        <v>7009170</v>
      </c>
      <c r="AB10" s="45">
        <f>SUM(AB5:AB9)</f>
        <v>7230384</v>
      </c>
      <c r="AC10" s="161">
        <f t="shared" si="1"/>
        <v>687065</v>
      </c>
      <c r="AD10" s="162">
        <f t="shared" si="2"/>
        <v>0.10500252242019692</v>
      </c>
      <c r="AE10" s="163">
        <f t="shared" si="3"/>
        <v>221214</v>
      </c>
      <c r="AF10" s="162">
        <f t="shared" si="4"/>
        <v>3.1560655541240878E-2</v>
      </c>
    </row>
    <row r="11" spans="1:32" x14ac:dyDescent="0.2">
      <c r="A11" s="18">
        <v>6</v>
      </c>
      <c r="B11" s="19" t="s">
        <v>20</v>
      </c>
      <c r="C11" s="20"/>
      <c r="D11" s="20"/>
      <c r="E11" s="20"/>
      <c r="F11" s="20"/>
      <c r="G11" s="20"/>
      <c r="J11" s="11" t="s">
        <v>149</v>
      </c>
      <c r="K11" s="20">
        <f>C27+C31+C38</f>
        <v>5208076</v>
      </c>
      <c r="L11" s="20">
        <f>D27+D31+D38</f>
        <v>6017255</v>
      </c>
      <c r="M11" s="20">
        <f>E27+E31+E38</f>
        <v>5769054</v>
      </c>
      <c r="N11" s="20">
        <f>F27+F31+F38</f>
        <v>3719596</v>
      </c>
      <c r="O11" s="20">
        <f>G27+G31+G38</f>
        <v>3082718</v>
      </c>
      <c r="S11" s="43"/>
      <c r="T11" s="43"/>
      <c r="U11" s="43"/>
      <c r="V11" s="23" t="s">
        <v>21</v>
      </c>
      <c r="W11" s="46"/>
      <c r="X11" s="46"/>
      <c r="Y11" s="46"/>
      <c r="Z11" s="46"/>
      <c r="AA11" s="46"/>
      <c r="AB11" s="46"/>
      <c r="AC11" s="32"/>
      <c r="AD11" s="33"/>
      <c r="AE11" s="34"/>
      <c r="AF11" s="33"/>
    </row>
    <row r="12" spans="1:32" x14ac:dyDescent="0.2">
      <c r="A12" s="28">
        <v>7</v>
      </c>
      <c r="B12" s="19" t="s">
        <v>22</v>
      </c>
      <c r="C12" s="20"/>
      <c r="D12" s="20"/>
      <c r="E12" s="20"/>
      <c r="F12" s="20"/>
      <c r="G12" s="20"/>
      <c r="J12" s="158" t="s">
        <v>21</v>
      </c>
      <c r="K12" s="159">
        <f>C39</f>
        <v>5663835</v>
      </c>
      <c r="L12" s="159">
        <f>D39</f>
        <v>6861554</v>
      </c>
      <c r="M12" s="159">
        <f>E39</f>
        <v>7242849</v>
      </c>
      <c r="N12" s="159">
        <f>F39</f>
        <v>6109694</v>
      </c>
      <c r="O12" s="159">
        <f>G39</f>
        <v>6335206</v>
      </c>
      <c r="S12" s="43"/>
      <c r="T12" s="43"/>
      <c r="U12" s="43"/>
      <c r="V12" s="30" t="s">
        <v>18</v>
      </c>
      <c r="W12" s="31"/>
      <c r="X12" s="31">
        <f>C24</f>
        <v>348362</v>
      </c>
      <c r="Y12" s="31">
        <f>D24</f>
        <v>717223</v>
      </c>
      <c r="Z12" s="31">
        <f>E24</f>
        <v>1412307</v>
      </c>
      <c r="AA12" s="31">
        <f>F24</f>
        <v>2294951</v>
      </c>
      <c r="AB12" s="31">
        <f>G24</f>
        <v>3157418</v>
      </c>
      <c r="AC12" s="32">
        <f t="shared" ref="AC12:AC18" si="9">AB12-X12</f>
        <v>2809056</v>
      </c>
      <c r="AD12" s="33">
        <f t="shared" ref="AD12:AD18" si="10">AB12/X12-1</f>
        <v>8.0636119898266738</v>
      </c>
      <c r="AE12" s="34">
        <f t="shared" si="3"/>
        <v>862467</v>
      </c>
      <c r="AF12" s="33">
        <f t="shared" si="4"/>
        <v>0.37581063822277683</v>
      </c>
    </row>
    <row r="13" spans="1:32" x14ac:dyDescent="0.2">
      <c r="A13" s="39">
        <v>8</v>
      </c>
      <c r="B13" s="40" t="s">
        <v>23</v>
      </c>
      <c r="C13" s="41">
        <f t="shared" ref="C13:G13" si="11">SUM(C10:C12)</f>
        <v>0</v>
      </c>
      <c r="D13" s="41">
        <f t="shared" ref="D13" si="12">SUM(D10:D12)</f>
        <v>139728</v>
      </c>
      <c r="E13" s="41">
        <f t="shared" si="11"/>
        <v>249515</v>
      </c>
      <c r="F13" s="41">
        <f t="shared" si="11"/>
        <v>449957</v>
      </c>
      <c r="G13" s="41">
        <f t="shared" si="11"/>
        <v>0</v>
      </c>
      <c r="J13" s="29" t="s">
        <v>24</v>
      </c>
      <c r="K13" s="20">
        <f>C41</f>
        <v>715000</v>
      </c>
      <c r="L13" s="20">
        <f>D41</f>
        <v>715000</v>
      </c>
      <c r="M13" s="20">
        <f>E41</f>
        <v>715000</v>
      </c>
      <c r="N13" s="20">
        <f>F41</f>
        <v>790000</v>
      </c>
      <c r="O13" s="20">
        <f>G41</f>
        <v>790000</v>
      </c>
      <c r="S13" s="43"/>
      <c r="T13" s="43"/>
      <c r="U13" s="43"/>
      <c r="V13" s="38" t="s">
        <v>25</v>
      </c>
      <c r="W13" s="31"/>
      <c r="X13" s="31">
        <f>C27+C31+C38</f>
        <v>5208076</v>
      </c>
      <c r="Y13" s="31">
        <f>D27+D31+D38</f>
        <v>6017255</v>
      </c>
      <c r="Z13" s="31">
        <f>E27+E31+E38</f>
        <v>5769054</v>
      </c>
      <c r="AA13" s="31">
        <f>F27+F31+F38</f>
        <v>3719596</v>
      </c>
      <c r="AB13" s="31">
        <f>G27+G31+G38</f>
        <v>3082718</v>
      </c>
      <c r="AC13" s="32">
        <f t="shared" si="9"/>
        <v>-2125358</v>
      </c>
      <c r="AD13" s="33">
        <f t="shared" si="10"/>
        <v>-0.40808889885631472</v>
      </c>
      <c r="AE13" s="34">
        <f t="shared" si="3"/>
        <v>-636878</v>
      </c>
      <c r="AF13" s="33">
        <f t="shared" si="4"/>
        <v>-0.17122235855721968</v>
      </c>
    </row>
    <row r="14" spans="1:32" x14ac:dyDescent="0.2">
      <c r="A14" s="28">
        <v>9</v>
      </c>
      <c r="B14" s="19" t="s">
        <v>26</v>
      </c>
      <c r="C14" s="20">
        <v>4239118</v>
      </c>
      <c r="D14" s="20">
        <v>6384172</v>
      </c>
      <c r="E14" s="20">
        <v>6411891</v>
      </c>
      <c r="F14" s="20">
        <v>4955670</v>
      </c>
      <c r="G14" s="20">
        <v>5654050</v>
      </c>
      <c r="H14" s="149"/>
      <c r="J14" s="29" t="s">
        <v>27</v>
      </c>
      <c r="K14" s="20">
        <f>C44+C47</f>
        <v>7303</v>
      </c>
      <c r="L14" s="20">
        <f>D44+D47</f>
        <v>7303</v>
      </c>
      <c r="M14" s="20">
        <f>E44+E47</f>
        <v>7303</v>
      </c>
      <c r="N14" s="20">
        <f>F44+F47</f>
        <v>7303</v>
      </c>
      <c r="O14" s="20">
        <f>G44+G47</f>
        <v>7303</v>
      </c>
      <c r="S14" s="43"/>
      <c r="T14" s="43"/>
      <c r="U14" s="43"/>
      <c r="V14" s="30" t="s">
        <v>28</v>
      </c>
      <c r="W14" s="31"/>
      <c r="X14" s="31">
        <f>SUM(C32:C37)</f>
        <v>107397</v>
      </c>
      <c r="Y14" s="31">
        <f>SUM(D32:D37)</f>
        <v>127076</v>
      </c>
      <c r="Z14" s="31">
        <f>SUM(E32:E37)</f>
        <v>61488</v>
      </c>
      <c r="AA14" s="31">
        <f>SUM(F32:F37)</f>
        <v>95147</v>
      </c>
      <c r="AB14" s="31">
        <f>SUM(G32:G37)</f>
        <v>95070</v>
      </c>
      <c r="AC14" s="32">
        <f t="shared" si="9"/>
        <v>-12327</v>
      </c>
      <c r="AD14" s="33">
        <f t="shared" si="10"/>
        <v>-0.1147797424509065</v>
      </c>
      <c r="AE14" s="34">
        <f t="shared" si="3"/>
        <v>-77</v>
      </c>
      <c r="AF14" s="33">
        <f t="shared" si="4"/>
        <v>-8.0927407064856904E-4</v>
      </c>
    </row>
    <row r="15" spans="1:32" x14ac:dyDescent="0.2">
      <c r="A15" s="18">
        <v>10</v>
      </c>
      <c r="B15" s="11" t="s">
        <v>29</v>
      </c>
      <c r="C15" s="20">
        <v>146464</v>
      </c>
      <c r="D15" s="20">
        <v>200265</v>
      </c>
      <c r="E15" s="20">
        <f>E14-E16</f>
        <v>547319</v>
      </c>
      <c r="F15" s="20">
        <f>F14-F16</f>
        <v>512672</v>
      </c>
      <c r="G15" s="20">
        <v>393318</v>
      </c>
      <c r="H15" s="74">
        <f>F15-E15</f>
        <v>-34647</v>
      </c>
      <c r="J15" s="29" t="s">
        <v>30</v>
      </c>
      <c r="K15" s="20">
        <f>C48</f>
        <v>157181</v>
      </c>
      <c r="L15" s="20">
        <f>D48</f>
        <v>282745</v>
      </c>
      <c r="M15" s="20">
        <f>E48</f>
        <v>223584</v>
      </c>
      <c r="N15" s="20">
        <f>F48</f>
        <v>102173</v>
      </c>
      <c r="O15" s="20">
        <f>G48</f>
        <v>97875</v>
      </c>
      <c r="S15" s="43"/>
      <c r="T15" s="43"/>
      <c r="U15" s="43"/>
      <c r="V15" s="49" t="s">
        <v>31</v>
      </c>
      <c r="W15" s="45"/>
      <c r="X15" s="45">
        <f t="shared" ref="X15:Y15" si="13">SUM(X12:X14)</f>
        <v>5663835</v>
      </c>
      <c r="Y15" s="45">
        <f t="shared" si="13"/>
        <v>6861554</v>
      </c>
      <c r="Z15" s="45">
        <f t="shared" ref="Z15:AA15" si="14">SUM(Z12:Z14)</f>
        <v>7242849</v>
      </c>
      <c r="AA15" s="45">
        <f t="shared" si="14"/>
        <v>6109694</v>
      </c>
      <c r="AB15" s="45">
        <f>SUM(AB12:AB14)</f>
        <v>6335206</v>
      </c>
      <c r="AC15" s="161">
        <f t="shared" si="9"/>
        <v>671371</v>
      </c>
      <c r="AD15" s="162">
        <f t="shared" si="10"/>
        <v>0.11853646866478273</v>
      </c>
      <c r="AE15" s="163">
        <f t="shared" si="3"/>
        <v>225512</v>
      </c>
      <c r="AF15" s="162">
        <f t="shared" si="4"/>
        <v>3.6910522851062666E-2</v>
      </c>
    </row>
    <row r="16" spans="1:32" x14ac:dyDescent="0.2">
      <c r="A16" s="39">
        <v>11</v>
      </c>
      <c r="B16" s="40" t="s">
        <v>32</v>
      </c>
      <c r="C16" s="41">
        <f t="shared" ref="C16:G16" si="15">C14-C15</f>
        <v>4092654</v>
      </c>
      <c r="D16" s="41">
        <f t="shared" ref="D16" si="16">D14-D15</f>
        <v>6183907</v>
      </c>
      <c r="E16" s="41">
        <f>481030+5383542</f>
        <v>5864572</v>
      </c>
      <c r="F16" s="41">
        <f>413145+4029853</f>
        <v>4442998</v>
      </c>
      <c r="G16" s="41">
        <f t="shared" si="15"/>
        <v>5260732</v>
      </c>
      <c r="J16" s="158" t="s">
        <v>33</v>
      </c>
      <c r="K16" s="159">
        <f>C50</f>
        <v>879484</v>
      </c>
      <c r="L16" s="159">
        <f>D50</f>
        <v>1005048</v>
      </c>
      <c r="M16" s="159">
        <f>E50</f>
        <v>945887</v>
      </c>
      <c r="N16" s="159">
        <f>F50</f>
        <v>899476</v>
      </c>
      <c r="O16" s="159">
        <f>G50</f>
        <v>895178</v>
      </c>
      <c r="S16" s="43"/>
      <c r="T16" s="43"/>
      <c r="U16" s="43"/>
      <c r="V16" s="49" t="s">
        <v>33</v>
      </c>
      <c r="W16" s="45">
        <v>729169</v>
      </c>
      <c r="X16" s="45">
        <f>C50</f>
        <v>879484</v>
      </c>
      <c r="Y16" s="45">
        <f>D50</f>
        <v>1005048</v>
      </c>
      <c r="Z16" s="45">
        <f>E50</f>
        <v>945887</v>
      </c>
      <c r="AA16" s="45">
        <f>F50</f>
        <v>899476</v>
      </c>
      <c r="AB16" s="45">
        <f>G50</f>
        <v>895178</v>
      </c>
      <c r="AC16" s="161">
        <f t="shared" si="9"/>
        <v>15694</v>
      </c>
      <c r="AD16" s="162">
        <f t="shared" si="10"/>
        <v>1.7844554306843508E-2</v>
      </c>
      <c r="AE16" s="163">
        <f t="shared" si="3"/>
        <v>-4298</v>
      </c>
      <c r="AF16" s="162">
        <f t="shared" si="4"/>
        <v>-4.7783376098973207E-3</v>
      </c>
    </row>
    <row r="17" spans="1:32" x14ac:dyDescent="0.2">
      <c r="A17" s="18">
        <v>12</v>
      </c>
      <c r="B17" s="11" t="s">
        <v>34</v>
      </c>
      <c r="C17" s="20">
        <f>437329+53896</f>
        <v>491225</v>
      </c>
      <c r="D17" s="20">
        <v>501315</v>
      </c>
      <c r="E17" s="20">
        <v>503236</v>
      </c>
      <c r="F17" s="20">
        <v>647436</v>
      </c>
      <c r="G17" s="20">
        <f>357548+238207</f>
        <v>595755</v>
      </c>
      <c r="J17" s="11" t="s">
        <v>35</v>
      </c>
      <c r="K17" s="20">
        <f>C64</f>
        <v>0</v>
      </c>
      <c r="L17" s="20">
        <f>D64</f>
        <v>140276</v>
      </c>
      <c r="M17" s="20">
        <f>E64</f>
        <v>-24092</v>
      </c>
      <c r="N17" s="20">
        <f>F64</f>
        <v>-121411</v>
      </c>
      <c r="O17" s="20">
        <f>G64</f>
        <v>-4299</v>
      </c>
      <c r="S17" s="43"/>
      <c r="T17" s="43"/>
      <c r="U17" s="43"/>
      <c r="V17" s="44" t="s">
        <v>36</v>
      </c>
      <c r="W17" s="45"/>
      <c r="X17" s="45">
        <f t="shared" ref="X17:Y17" si="17">X15+X16</f>
        <v>6543319</v>
      </c>
      <c r="Y17" s="45">
        <f t="shared" si="17"/>
        <v>7866602</v>
      </c>
      <c r="Z17" s="45">
        <f t="shared" ref="Z17:AA17" si="18">Z15+Z16</f>
        <v>8188736</v>
      </c>
      <c r="AA17" s="45">
        <f t="shared" si="18"/>
        <v>7009170</v>
      </c>
      <c r="AB17" s="45">
        <f>AB15+AB16</f>
        <v>7230384</v>
      </c>
      <c r="AC17" s="161">
        <f t="shared" si="9"/>
        <v>687065</v>
      </c>
      <c r="AD17" s="162">
        <f t="shared" si="10"/>
        <v>0.10500252242019692</v>
      </c>
      <c r="AE17" s="163">
        <f t="shared" si="3"/>
        <v>221214</v>
      </c>
      <c r="AF17" s="162">
        <f t="shared" si="4"/>
        <v>3.1560655541240878E-2</v>
      </c>
    </row>
    <row r="18" spans="1:32" x14ac:dyDescent="0.2">
      <c r="A18" s="18">
        <v>13</v>
      </c>
      <c r="B18" s="11" t="s">
        <v>37</v>
      </c>
      <c r="C18" s="20"/>
      <c r="D18" s="20"/>
      <c r="E18" s="20"/>
      <c r="F18" s="20"/>
      <c r="G18" s="20"/>
      <c r="J18" s="47" t="s">
        <v>38</v>
      </c>
      <c r="K18" s="48">
        <f>K6/K5</f>
        <v>3.4550583399660023E-2</v>
      </c>
      <c r="L18" s="48">
        <f>L6/L5</f>
        <v>3.1368985672691779E-2</v>
      </c>
      <c r="M18" s="48">
        <f>M6/M5</f>
        <v>8.5359997542066759E-2</v>
      </c>
      <c r="N18" s="48">
        <f>N6/N5</f>
        <v>0.10345160190246727</v>
      </c>
      <c r="O18" s="48">
        <f>O6/O5</f>
        <v>6.9563940891927023E-2</v>
      </c>
      <c r="S18" s="43"/>
      <c r="T18" s="43"/>
      <c r="U18" s="43"/>
      <c r="V18" s="49" t="s">
        <v>39</v>
      </c>
      <c r="W18" s="45"/>
      <c r="X18" s="45">
        <v>61236</v>
      </c>
      <c r="Y18" s="45">
        <f>D64</f>
        <v>140276</v>
      </c>
      <c r="Z18" s="45">
        <f>E64</f>
        <v>-24092</v>
      </c>
      <c r="AA18" s="45">
        <f>F64</f>
        <v>-121411</v>
      </c>
      <c r="AB18" s="45">
        <f>G64</f>
        <v>-4299</v>
      </c>
      <c r="AC18" s="161">
        <f t="shared" si="9"/>
        <v>-65535</v>
      </c>
      <c r="AD18" s="162">
        <f t="shared" si="10"/>
        <v>-1.0702038016852833</v>
      </c>
      <c r="AE18" s="163">
        <f t="shared" si="3"/>
        <v>117112</v>
      </c>
      <c r="AF18" s="162">
        <f t="shared" si="4"/>
        <v>-0.96459134674782354</v>
      </c>
    </row>
    <row r="19" spans="1:32" x14ac:dyDescent="0.2">
      <c r="A19" s="28">
        <v>14</v>
      </c>
      <c r="B19" s="19" t="s">
        <v>40</v>
      </c>
      <c r="C19" s="20"/>
      <c r="D19" s="20"/>
      <c r="E19" s="20"/>
      <c r="F19" s="20"/>
      <c r="G19" s="20"/>
      <c r="S19" s="43"/>
      <c r="T19" s="43"/>
      <c r="U19" s="43"/>
      <c r="V19" s="11"/>
      <c r="W19" s="50"/>
      <c r="X19" s="50"/>
      <c r="Y19" s="50"/>
      <c r="Z19" s="50"/>
      <c r="AA19" s="50"/>
      <c r="AB19" s="50"/>
      <c r="AC19" s="32"/>
      <c r="AD19" s="33"/>
      <c r="AE19" s="34"/>
      <c r="AF19" s="33"/>
    </row>
    <row r="20" spans="1:32" x14ac:dyDescent="0.2">
      <c r="A20" s="28">
        <v>15</v>
      </c>
      <c r="B20" s="19" t="s">
        <v>41</v>
      </c>
      <c r="C20" s="20"/>
      <c r="D20" s="20"/>
      <c r="E20" s="20"/>
      <c r="F20" s="20"/>
      <c r="G20" s="20"/>
      <c r="J20" s="51"/>
      <c r="K20" s="51"/>
      <c r="L20" s="51"/>
      <c r="M20" s="51"/>
      <c r="N20" s="51"/>
      <c r="O20" s="51"/>
      <c r="P20" s="43"/>
      <c r="Q20" s="43"/>
      <c r="R20" s="43"/>
      <c r="S20" s="43"/>
      <c r="T20" s="43"/>
      <c r="U20" s="43"/>
      <c r="V20" s="50" t="s">
        <v>42</v>
      </c>
      <c r="W20" s="52"/>
      <c r="X20" s="52">
        <f t="shared" ref="X20:Y20" si="19">X5+X6</f>
        <v>1791570</v>
      </c>
      <c r="Y20" s="52">
        <f t="shared" si="19"/>
        <v>878313</v>
      </c>
      <c r="Z20" s="52">
        <f t="shared" ref="Z20:AA20" si="20">Z5+Z6</f>
        <v>1312390</v>
      </c>
      <c r="AA20" s="52">
        <f t="shared" si="20"/>
        <v>1679778</v>
      </c>
      <c r="AB20" s="52">
        <f>AB5+AB6</f>
        <v>1138650</v>
      </c>
      <c r="AC20" s="32">
        <f t="shared" ref="AC20:AC25" si="21">AB20-X20</f>
        <v>-652920</v>
      </c>
      <c r="AD20" s="33">
        <f>AB20/X20-1</f>
        <v>-0.36444012793248381</v>
      </c>
      <c r="AE20" s="34">
        <f t="shared" si="3"/>
        <v>-541128</v>
      </c>
      <c r="AF20" s="33">
        <f t="shared" si="4"/>
        <v>-0.3221425688394538</v>
      </c>
    </row>
    <row r="21" spans="1:32" x14ac:dyDescent="0.2">
      <c r="A21" s="28">
        <v>16</v>
      </c>
      <c r="B21" s="19" t="s">
        <v>16</v>
      </c>
      <c r="C21" s="20">
        <f>117997+6815+896+42162</f>
        <v>167870</v>
      </c>
      <c r="D21" s="20">
        <f>123525+179542</f>
        <v>303067</v>
      </c>
      <c r="E21" s="20">
        <f>243566+264972</f>
        <v>508538</v>
      </c>
      <c r="F21" s="20">
        <f>157185+81773</f>
        <v>238958</v>
      </c>
      <c r="G21" s="20">
        <f>128514+7600+82349+16784</f>
        <v>235247</v>
      </c>
      <c r="J21" s="51"/>
      <c r="K21" s="51"/>
      <c r="L21" s="51"/>
      <c r="M21" s="51"/>
      <c r="N21" s="51"/>
      <c r="O21" s="51"/>
      <c r="P21" s="43"/>
      <c r="Q21" s="43"/>
      <c r="R21" s="43"/>
      <c r="S21" s="43"/>
      <c r="T21" s="43"/>
      <c r="U21" s="43"/>
      <c r="V21" s="50" t="s">
        <v>43</v>
      </c>
      <c r="W21" s="52"/>
      <c r="X21" s="52">
        <f t="shared" ref="X21:Y21" si="22">X7+X6</f>
        <v>4092654</v>
      </c>
      <c r="Y21" s="52">
        <f t="shared" si="22"/>
        <v>6323635</v>
      </c>
      <c r="Z21" s="52">
        <f t="shared" ref="Z21:AA21" si="23">Z7+Z6</f>
        <v>6114087</v>
      </c>
      <c r="AA21" s="52">
        <f t="shared" si="23"/>
        <v>4892955</v>
      </c>
      <c r="AB21" s="52">
        <f>AB7+AB6</f>
        <v>5260732</v>
      </c>
      <c r="AC21" s="32">
        <f t="shared" si="21"/>
        <v>1168078</v>
      </c>
      <c r="AD21" s="33">
        <f>AB21/X21-1</f>
        <v>0.28540844156383605</v>
      </c>
      <c r="AE21" s="34">
        <f t="shared" si="3"/>
        <v>367777</v>
      </c>
      <c r="AF21" s="33">
        <f t="shared" si="4"/>
        <v>7.5164598897803137E-2</v>
      </c>
    </row>
    <row r="22" spans="1:32" x14ac:dyDescent="0.2">
      <c r="A22" s="53">
        <v>17</v>
      </c>
      <c r="B22" s="54" t="s">
        <v>44</v>
      </c>
      <c r="C22" s="55">
        <f t="shared" ref="C22:G22" si="24">SUM(C9,C13,C16,C17:C21)</f>
        <v>6543319</v>
      </c>
      <c r="D22" s="55">
        <f t="shared" ref="D22" si="25">SUM(D9,D13,D16,D17:D21)</f>
        <v>7866602</v>
      </c>
      <c r="E22" s="55">
        <f t="shared" si="24"/>
        <v>8188736</v>
      </c>
      <c r="F22" s="55">
        <f t="shared" si="24"/>
        <v>7009170</v>
      </c>
      <c r="G22" s="55">
        <f t="shared" si="24"/>
        <v>7230384</v>
      </c>
      <c r="J22" s="51"/>
      <c r="K22" s="51"/>
      <c r="L22" s="51"/>
      <c r="M22" s="51"/>
      <c r="N22" s="51"/>
      <c r="O22" s="51"/>
      <c r="P22" s="43"/>
      <c r="Q22" s="43"/>
      <c r="R22" s="43"/>
      <c r="S22" s="43"/>
      <c r="T22" s="43"/>
      <c r="U22" s="43"/>
      <c r="V22" s="50" t="s">
        <v>45</v>
      </c>
      <c r="W22" s="56"/>
      <c r="X22" s="56">
        <f t="shared" ref="X22:Y22" si="26">X20/X10</f>
        <v>0.27380141484772486</v>
      </c>
      <c r="Y22" s="56">
        <f t="shared" si="26"/>
        <v>0.11165087543516247</v>
      </c>
      <c r="Z22" s="56">
        <f t="shared" ref="Z22:AA22" si="27">Z20/Z10</f>
        <v>0.16026771408920742</v>
      </c>
      <c r="AA22" s="56">
        <f t="shared" si="27"/>
        <v>0.23965433853081036</v>
      </c>
      <c r="AB22" s="56">
        <f>AB20/AB10</f>
        <v>0.15748126240598009</v>
      </c>
      <c r="AC22" s="146">
        <f t="shared" si="21"/>
        <v>-0.11632015244174476</v>
      </c>
      <c r="AD22" s="33"/>
      <c r="AE22" s="146">
        <f t="shared" si="3"/>
        <v>-8.2173076124830269E-2</v>
      </c>
      <c r="AF22" s="33"/>
    </row>
    <row r="23" spans="1:32" x14ac:dyDescent="0.2">
      <c r="A23" s="57"/>
      <c r="B23" s="58" t="s">
        <v>21</v>
      </c>
      <c r="C23" s="59">
        <f t="shared" ref="C23:G23" si="28">C15/C14</f>
        <v>3.4550583399660023E-2</v>
      </c>
      <c r="D23" s="59">
        <f t="shared" ref="D23" si="29">D15/D14</f>
        <v>3.1368985672691779E-2</v>
      </c>
      <c r="E23" s="59">
        <f t="shared" si="28"/>
        <v>8.5359997542066759E-2</v>
      </c>
      <c r="F23" s="59">
        <f t="shared" si="28"/>
        <v>0.10345160190246727</v>
      </c>
      <c r="G23" s="59">
        <f t="shared" si="28"/>
        <v>6.9563940891927023E-2</v>
      </c>
      <c r="J23" s="51"/>
      <c r="K23" s="51"/>
      <c r="L23" s="51"/>
      <c r="M23" s="51"/>
      <c r="N23" s="51"/>
      <c r="O23" s="51"/>
      <c r="P23" s="43"/>
      <c r="Q23" s="43"/>
      <c r="R23" s="43"/>
      <c r="S23" s="43"/>
      <c r="T23" s="43"/>
      <c r="U23" s="43"/>
      <c r="V23" s="50" t="s">
        <v>46</v>
      </c>
      <c r="W23" s="56"/>
      <c r="X23" s="56">
        <f t="shared" ref="X23:Y23" si="30">X21/X10</f>
        <v>0.62547065182058215</v>
      </c>
      <c r="Y23" s="56">
        <f t="shared" si="30"/>
        <v>0.80385851476914683</v>
      </c>
      <c r="Z23" s="56">
        <f t="shared" ref="Z23:AA23" si="31">Z21/Z10</f>
        <v>0.74664600250881208</v>
      </c>
      <c r="AA23" s="56">
        <f t="shared" si="31"/>
        <v>0.69807908782352257</v>
      </c>
      <c r="AB23" s="56">
        <f>AB21/AB10</f>
        <v>0.72758680590131863</v>
      </c>
      <c r="AC23" s="146">
        <f t="shared" si="21"/>
        <v>0.10211615408073649</v>
      </c>
      <c r="AD23" s="33"/>
      <c r="AE23" s="146">
        <f t="shared" si="3"/>
        <v>2.9507718077796063E-2</v>
      </c>
      <c r="AF23" s="33"/>
    </row>
    <row r="24" spans="1:32" x14ac:dyDescent="0.2">
      <c r="A24" s="11">
        <v>18</v>
      </c>
      <c r="B24" s="11" t="s">
        <v>18</v>
      </c>
      <c r="C24" s="20">
        <v>348362</v>
      </c>
      <c r="D24" s="20">
        <v>717223</v>
      </c>
      <c r="E24" s="20">
        <f>313993+1098314</f>
        <v>1412307</v>
      </c>
      <c r="F24" s="20">
        <f>363425+1931526</f>
        <v>2294951</v>
      </c>
      <c r="G24" s="20">
        <v>3157418</v>
      </c>
      <c r="H24" s="74">
        <f>F24-E24</f>
        <v>882644</v>
      </c>
      <c r="J24" s="51"/>
      <c r="K24" s="51"/>
      <c r="L24" s="51"/>
      <c r="M24" s="51"/>
      <c r="N24" s="51"/>
      <c r="O24" s="51"/>
      <c r="P24" s="43"/>
      <c r="Q24" s="43"/>
      <c r="R24" s="43"/>
      <c r="S24" s="43"/>
      <c r="T24" s="43"/>
      <c r="U24" s="43"/>
      <c r="V24" s="50" t="s">
        <v>47</v>
      </c>
      <c r="W24" s="60"/>
      <c r="X24" s="166">
        <f t="shared" ref="X24:AA24" si="32">X18/AVERAGE(W10:X10)</f>
        <v>1.0799149590777376E-2</v>
      </c>
      <c r="Y24" s="166">
        <f t="shared" si="32"/>
        <v>1.9469364197069506E-2</v>
      </c>
      <c r="Z24" s="166">
        <f t="shared" si="32"/>
        <v>-3.0011202504737055E-3</v>
      </c>
      <c r="AA24" s="166">
        <f t="shared" si="32"/>
        <v>-1.5977332666750273E-2</v>
      </c>
      <c r="AB24" s="166">
        <f>AB18/AVERAGE(AA10:AB10)</f>
        <v>-6.0381104632911957E-4</v>
      </c>
      <c r="AC24" s="167">
        <f t="shared" si="21"/>
        <v>-1.1402960637106496E-2</v>
      </c>
      <c r="AD24" s="33"/>
      <c r="AE24" s="167">
        <f t="shared" si="3"/>
        <v>1.5373521620421153E-2</v>
      </c>
      <c r="AF24" s="33"/>
    </row>
    <row r="25" spans="1:32" x14ac:dyDescent="0.2">
      <c r="A25" s="61"/>
      <c r="B25" s="61" t="s">
        <v>48</v>
      </c>
      <c r="C25" s="37"/>
      <c r="D25" s="37"/>
      <c r="E25" s="37"/>
      <c r="F25" s="37"/>
      <c r="G25" s="37"/>
      <c r="J25" s="51"/>
      <c r="K25" s="51"/>
      <c r="L25" s="51"/>
      <c r="M25" s="51"/>
      <c r="N25" s="51"/>
      <c r="O25" s="51"/>
      <c r="P25" s="43"/>
      <c r="Q25" s="43"/>
      <c r="R25" s="43"/>
      <c r="S25" s="43"/>
      <c r="T25" s="43"/>
      <c r="U25" s="43"/>
      <c r="V25" s="50" t="s">
        <v>49</v>
      </c>
      <c r="W25" s="60"/>
      <c r="X25" s="166">
        <f t="shared" ref="X25:AA25" si="33">X18/AVERAGE(W16:X16)</f>
        <v>7.6133261803508892E-2</v>
      </c>
      <c r="Y25" s="166">
        <f t="shared" si="33"/>
        <v>0.1488709133089807</v>
      </c>
      <c r="Z25" s="166">
        <f t="shared" si="33"/>
        <v>-2.4697901262727872E-2</v>
      </c>
      <c r="AA25" s="166">
        <f t="shared" si="33"/>
        <v>-0.1315849510367337</v>
      </c>
      <c r="AB25" s="166">
        <f>AB18/AVERAGE(AA16:AB16)</f>
        <v>-4.7908956266779004E-3</v>
      </c>
      <c r="AC25" s="167">
        <f t="shared" si="21"/>
        <v>-8.0924157430186799E-2</v>
      </c>
      <c r="AD25" s="33"/>
      <c r="AE25" s="167">
        <f t="shared" si="3"/>
        <v>0.12679405541005581</v>
      </c>
      <c r="AF25" s="33"/>
    </row>
    <row r="26" spans="1:32" x14ac:dyDescent="0.2">
      <c r="A26" s="61"/>
      <c r="B26" s="61" t="s">
        <v>50</v>
      </c>
      <c r="C26" s="37"/>
      <c r="D26" s="37"/>
      <c r="E26" s="37"/>
      <c r="F26" s="37"/>
      <c r="G26" s="37"/>
      <c r="J26" s="51"/>
      <c r="K26" s="51"/>
      <c r="L26" s="51"/>
      <c r="M26" s="51"/>
      <c r="N26" s="51"/>
      <c r="O26" s="51"/>
      <c r="P26" s="43"/>
      <c r="Q26" s="43"/>
      <c r="R26" s="43"/>
      <c r="S26" s="43"/>
      <c r="T26" s="43"/>
      <c r="U26" s="43"/>
      <c r="V26" s="50" t="s">
        <v>65</v>
      </c>
      <c r="W26" s="50"/>
      <c r="X26" s="52">
        <f>X12+X13</f>
        <v>5556438</v>
      </c>
      <c r="Y26" s="52">
        <f t="shared" ref="Y26:AB26" si="34">Y12+Y13</f>
        <v>6734478</v>
      </c>
      <c r="Z26" s="52">
        <f t="shared" si="34"/>
        <v>7181361</v>
      </c>
      <c r="AA26" s="52">
        <f t="shared" si="34"/>
        <v>6014547</v>
      </c>
      <c r="AB26" s="52">
        <f t="shared" si="34"/>
        <v>6240136</v>
      </c>
      <c r="AC26" s="32">
        <f t="shared" ref="AC26:AC29" si="35">AB26-X26</f>
        <v>683698</v>
      </c>
      <c r="AD26" s="33">
        <f>AB26/X26-1</f>
        <v>0.12304609535821331</v>
      </c>
      <c r="AE26" s="34">
        <f t="shared" ref="AE26:AE29" si="36">AB26-AA26</f>
        <v>225589</v>
      </c>
      <c r="AF26" s="33">
        <f t="shared" ref="AF26:AF27" si="37">AB26/AA26-1</f>
        <v>3.7507230386594426E-2</v>
      </c>
    </row>
    <row r="27" spans="1:32" x14ac:dyDescent="0.2">
      <c r="A27" s="11">
        <v>19</v>
      </c>
      <c r="B27" s="11" t="s">
        <v>51</v>
      </c>
      <c r="C27" s="20"/>
      <c r="D27" s="20"/>
      <c r="E27" s="20"/>
      <c r="F27" s="20"/>
      <c r="G27" s="20">
        <v>236</v>
      </c>
      <c r="J27" s="51"/>
      <c r="K27" s="51"/>
      <c r="L27" s="51"/>
      <c r="M27" s="51"/>
      <c r="N27" s="51"/>
      <c r="O27" s="51"/>
      <c r="P27" s="43"/>
      <c r="Q27" s="43"/>
      <c r="R27" s="43"/>
      <c r="S27" s="43"/>
      <c r="T27" s="43"/>
      <c r="U27" s="43"/>
      <c r="V27" s="50" t="s">
        <v>66</v>
      </c>
      <c r="W27" s="50"/>
      <c r="X27" s="52">
        <f>X16</f>
        <v>879484</v>
      </c>
      <c r="Y27" s="52">
        <f t="shared" ref="Y27:AB27" si="38">Y16</f>
        <v>1005048</v>
      </c>
      <c r="Z27" s="52">
        <f t="shared" si="38"/>
        <v>945887</v>
      </c>
      <c r="AA27" s="52">
        <f t="shared" si="38"/>
        <v>899476</v>
      </c>
      <c r="AB27" s="52">
        <f t="shared" si="38"/>
        <v>895178</v>
      </c>
      <c r="AC27" s="32">
        <f t="shared" si="35"/>
        <v>15694</v>
      </c>
      <c r="AD27" s="33">
        <f>AB27/X27-1</f>
        <v>1.7844554306843508E-2</v>
      </c>
      <c r="AE27" s="34">
        <f t="shared" si="36"/>
        <v>-4298</v>
      </c>
      <c r="AF27" s="33">
        <f t="shared" si="37"/>
        <v>-4.7783376098973207E-3</v>
      </c>
    </row>
    <row r="28" spans="1:32" x14ac:dyDescent="0.2">
      <c r="A28" s="11"/>
      <c r="B28" s="61" t="s">
        <v>52</v>
      </c>
      <c r="C28" s="37"/>
      <c r="D28" s="37"/>
      <c r="E28" s="37"/>
      <c r="F28" s="37"/>
      <c r="G28" s="37"/>
      <c r="J28" s="51"/>
      <c r="K28" s="51"/>
      <c r="L28" s="51"/>
      <c r="M28" s="51"/>
      <c r="N28" s="51"/>
      <c r="O28" s="51"/>
      <c r="P28" s="43"/>
      <c r="Q28" s="43"/>
      <c r="R28" s="43"/>
      <c r="S28" s="43"/>
      <c r="T28" s="43"/>
      <c r="U28" s="43"/>
      <c r="V28" s="50" t="s">
        <v>167</v>
      </c>
      <c r="W28" s="50"/>
      <c r="X28" s="168">
        <f>X26/X17</f>
        <v>0.84917730589017593</v>
      </c>
      <c r="Y28" s="168">
        <f t="shared" ref="Y28:AB28" si="39">Y26/Y17</f>
        <v>0.85608474917124322</v>
      </c>
      <c r="Z28" s="168">
        <f t="shared" si="39"/>
        <v>0.87698040332476224</v>
      </c>
      <c r="AA28" s="168">
        <f t="shared" si="39"/>
        <v>0.85809689307007819</v>
      </c>
      <c r="AB28" s="168">
        <f t="shared" si="39"/>
        <v>0.86304351193518902</v>
      </c>
      <c r="AC28" s="146">
        <f t="shared" si="35"/>
        <v>1.3866206045013096E-2</v>
      </c>
      <c r="AD28" s="33"/>
      <c r="AE28" s="146">
        <f t="shared" si="36"/>
        <v>4.94661886511083E-3</v>
      </c>
      <c r="AF28" s="33"/>
    </row>
    <row r="29" spans="1:32" x14ac:dyDescent="0.2">
      <c r="A29" s="11"/>
      <c r="B29" s="61" t="s">
        <v>54</v>
      </c>
      <c r="C29" s="37"/>
      <c r="D29" s="37"/>
      <c r="E29" s="37"/>
      <c r="F29" s="37"/>
      <c r="G29" s="37"/>
      <c r="J29" s="51"/>
      <c r="K29" s="51"/>
      <c r="L29" s="51"/>
      <c r="M29" s="51"/>
      <c r="N29" s="51"/>
      <c r="O29" s="51"/>
      <c r="P29" s="43"/>
      <c r="Q29" s="43"/>
      <c r="R29" s="43"/>
      <c r="S29" s="43"/>
      <c r="T29" s="43"/>
      <c r="U29" s="43"/>
      <c r="V29" s="50" t="s">
        <v>168</v>
      </c>
      <c r="W29" s="50"/>
      <c r="X29" s="168">
        <f>X27/X17</f>
        <v>0.13440946406556062</v>
      </c>
      <c r="Y29" s="168">
        <f t="shared" ref="Y29:AB29" si="40">Y27/Y17</f>
        <v>0.12776138922497923</v>
      </c>
      <c r="Z29" s="168">
        <f t="shared" si="40"/>
        <v>0.11551074549234461</v>
      </c>
      <c r="AA29" s="168">
        <f t="shared" si="40"/>
        <v>0.12832846114447216</v>
      </c>
      <c r="AB29" s="168">
        <f t="shared" si="40"/>
        <v>0.12380780882453822</v>
      </c>
      <c r="AC29" s="146">
        <f t="shared" si="35"/>
        <v>-1.0601655241022398E-2</v>
      </c>
      <c r="AD29" s="33"/>
      <c r="AE29" s="146">
        <f t="shared" si="36"/>
        <v>-4.5206523199339405E-3</v>
      </c>
      <c r="AF29" s="33"/>
    </row>
    <row r="30" spans="1:32" x14ac:dyDescent="0.2">
      <c r="A30" s="11">
        <v>20</v>
      </c>
      <c r="B30" s="19" t="s">
        <v>56</v>
      </c>
      <c r="C30" s="20"/>
      <c r="D30" s="20"/>
      <c r="E30" s="20"/>
      <c r="F30" s="20"/>
      <c r="G30" s="20"/>
      <c r="J30" s="51"/>
      <c r="K30" s="51"/>
      <c r="L30" s="51"/>
      <c r="M30" s="51"/>
      <c r="N30" s="51"/>
      <c r="O30" s="51"/>
      <c r="P30" s="43"/>
      <c r="Q30" s="43"/>
      <c r="R30" s="43"/>
      <c r="S30" s="43"/>
      <c r="T30" s="43"/>
      <c r="U30" s="43"/>
    </row>
    <row r="31" spans="1:32" x14ac:dyDescent="0.2">
      <c r="A31" s="11">
        <v>21</v>
      </c>
      <c r="B31" s="11" t="s">
        <v>58</v>
      </c>
      <c r="C31" s="20"/>
      <c r="D31" s="20"/>
      <c r="E31" s="20"/>
      <c r="F31" s="20">
        <v>525897</v>
      </c>
      <c r="G31" s="20">
        <v>497949</v>
      </c>
      <c r="J31" s="51"/>
      <c r="K31" s="51"/>
      <c r="L31" s="51"/>
      <c r="M31" s="51"/>
      <c r="N31" s="51"/>
      <c r="O31" s="51"/>
      <c r="P31" s="43"/>
      <c r="Q31" s="43"/>
      <c r="R31" s="43"/>
      <c r="S31" s="43"/>
      <c r="T31" s="43"/>
      <c r="U31" s="43"/>
      <c r="V31" s="3" t="s">
        <v>53</v>
      </c>
      <c r="W31" s="64"/>
      <c r="X31" s="64">
        <f>X10/X15</f>
        <v>1.1552806534794888</v>
      </c>
      <c r="Y31" s="64">
        <f>Y10/Y15</f>
        <v>1.1464752736770709</v>
      </c>
      <c r="Z31" s="64">
        <f>Z10/Z15</f>
        <v>1.1305959850881884</v>
      </c>
      <c r="AA31" s="64">
        <f>AA10/AA15</f>
        <v>1.1472211210577812</v>
      </c>
      <c r="AB31" s="64">
        <f>AB10/AB15</f>
        <v>1.1413021139328381</v>
      </c>
      <c r="AD31" s="62"/>
      <c r="AE31" s="63"/>
      <c r="AF31" s="3"/>
    </row>
    <row r="32" spans="1:32" x14ac:dyDescent="0.2">
      <c r="A32" s="11">
        <v>22</v>
      </c>
      <c r="B32" s="19" t="s">
        <v>59</v>
      </c>
      <c r="C32" s="20"/>
      <c r="D32" s="20"/>
      <c r="E32" s="20"/>
      <c r="F32" s="20"/>
      <c r="G32" s="20"/>
      <c r="J32" s="51"/>
      <c r="K32" s="51"/>
      <c r="L32" s="51"/>
      <c r="M32" s="51"/>
      <c r="N32" s="51"/>
      <c r="O32" s="51"/>
      <c r="P32" s="43"/>
      <c r="Q32" s="43"/>
      <c r="R32" s="43"/>
      <c r="S32" s="43"/>
      <c r="T32" s="43"/>
      <c r="U32" s="43"/>
      <c r="V32" s="3" t="s">
        <v>55</v>
      </c>
      <c r="W32" s="64"/>
      <c r="X32" s="64">
        <f>X5/X12</f>
        <v>5.1428399193941932</v>
      </c>
      <c r="Y32" s="64">
        <f>Y5/Y12</f>
        <v>1.0297843209155311</v>
      </c>
      <c r="Z32" s="64">
        <f>Z5/Z12</f>
        <v>0.7525807066027429</v>
      </c>
      <c r="AA32" s="64">
        <f>AA5/AA12</f>
        <v>0.53588115824695171</v>
      </c>
      <c r="AB32" s="64">
        <f>AB5/AB12</f>
        <v>0.36062694264744166</v>
      </c>
      <c r="AE32" s="3"/>
      <c r="AF32" s="3"/>
    </row>
    <row r="33" spans="1:32" x14ac:dyDescent="0.2">
      <c r="A33" s="11">
        <v>23</v>
      </c>
      <c r="B33" s="19" t="s">
        <v>60</v>
      </c>
      <c r="C33" s="20"/>
      <c r="D33" s="20"/>
      <c r="E33" s="20"/>
      <c r="F33" s="20"/>
      <c r="G33" s="20"/>
      <c r="J33" s="51"/>
      <c r="K33" s="51"/>
      <c r="L33" s="51"/>
      <c r="M33" s="51"/>
      <c r="N33" s="51"/>
      <c r="O33" s="51"/>
      <c r="P33" s="43"/>
      <c r="Q33" s="43"/>
      <c r="R33" s="43"/>
      <c r="S33" s="43"/>
      <c r="T33" s="43"/>
      <c r="U33" s="43"/>
      <c r="V33" s="3" t="s">
        <v>57</v>
      </c>
      <c r="W33" s="64"/>
      <c r="X33" s="64">
        <f>(X5+X6)/X12</f>
        <v>5.1428399193941932</v>
      </c>
      <c r="Y33" s="64">
        <f>(Y5+Y6)/Y12</f>
        <v>1.2246023900516296</v>
      </c>
      <c r="Z33" s="64">
        <f>(Z5+Z6)/Z12</f>
        <v>0.92925263416523463</v>
      </c>
      <c r="AA33" s="64">
        <f>(AA5+AA6)/AA12</f>
        <v>0.73194503934942401</v>
      </c>
      <c r="AB33" s="64">
        <f>(AB5+AB6)/AB12</f>
        <v>0.36062694264744166</v>
      </c>
      <c r="AC33" s="65"/>
      <c r="AD33" s="65"/>
      <c r="AE33" s="3"/>
      <c r="AF33" s="3"/>
    </row>
    <row r="34" spans="1:32" x14ac:dyDescent="0.2">
      <c r="A34" s="11">
        <v>24</v>
      </c>
      <c r="B34" s="11" t="s">
        <v>61</v>
      </c>
      <c r="C34" s="20"/>
      <c r="D34" s="20"/>
      <c r="E34" s="20"/>
      <c r="F34" s="20"/>
      <c r="G34" s="20"/>
      <c r="J34" s="51"/>
      <c r="K34" s="51"/>
      <c r="L34" s="51"/>
      <c r="M34" s="51"/>
      <c r="N34" s="51"/>
      <c r="O34" s="51"/>
      <c r="P34" s="43"/>
      <c r="Q34" s="43"/>
      <c r="R34" s="43"/>
      <c r="S34" s="43"/>
      <c r="T34" s="43"/>
      <c r="U34" s="43"/>
      <c r="AC34" s="65"/>
      <c r="AE34" s="3"/>
      <c r="AF34" s="3"/>
    </row>
    <row r="35" spans="1:32" x14ac:dyDescent="0.2">
      <c r="A35" s="11">
        <v>25</v>
      </c>
      <c r="B35" s="11" t="s">
        <v>62</v>
      </c>
      <c r="C35" s="20"/>
      <c r="D35" s="20"/>
      <c r="E35" s="20"/>
      <c r="F35" s="20"/>
      <c r="G35" s="20"/>
      <c r="J35" s="51"/>
      <c r="K35" s="51"/>
      <c r="L35" s="51"/>
      <c r="M35" s="51"/>
      <c r="N35" s="51"/>
      <c r="O35" s="51"/>
      <c r="P35" s="43"/>
      <c r="Q35" s="43"/>
      <c r="R35" s="43"/>
      <c r="S35" s="43"/>
      <c r="T35" s="43"/>
      <c r="U35" s="43"/>
      <c r="V35" s="66" t="s">
        <v>6</v>
      </c>
      <c r="W35" s="67"/>
      <c r="X35" s="67">
        <f>(X5/X10)</f>
        <v>0.27380141484772486</v>
      </c>
      <c r="Y35" s="67">
        <f>(Y5/Y10)</f>
        <v>9.3888695525717464E-2</v>
      </c>
      <c r="Z35" s="67">
        <f>(Z5/Z10)</f>
        <v>0.12979719947010138</v>
      </c>
      <c r="AA35" s="67">
        <f>(AA5/AA10)</f>
        <v>0.1754588631749551</v>
      </c>
      <c r="AB35" s="67">
        <f>(AB5/AB10)</f>
        <v>0.15748126240598009</v>
      </c>
      <c r="AC35" s="165">
        <f t="shared" ref="AC35:AC47" si="41">AB35-X35</f>
        <v>-0.11632015244174476</v>
      </c>
      <c r="AE35" s="3"/>
      <c r="AF35" s="3"/>
    </row>
    <row r="36" spans="1:32" x14ac:dyDescent="0.2">
      <c r="A36" s="11">
        <v>26</v>
      </c>
      <c r="B36" s="19" t="s">
        <v>63</v>
      </c>
      <c r="C36" s="20"/>
      <c r="D36" s="20"/>
      <c r="E36" s="20"/>
      <c r="F36" s="20"/>
      <c r="G36" s="20"/>
      <c r="J36" s="51"/>
      <c r="K36" s="51"/>
      <c r="L36" s="51"/>
      <c r="M36" s="51"/>
      <c r="N36" s="51"/>
      <c r="O36" s="51"/>
      <c r="P36" s="43"/>
      <c r="Q36" s="43"/>
      <c r="R36" s="43"/>
      <c r="S36" s="43"/>
      <c r="T36" s="43"/>
      <c r="U36" s="43"/>
      <c r="V36" s="66" t="s">
        <v>10</v>
      </c>
      <c r="W36" s="67"/>
      <c r="X36" s="67">
        <f>(X6/X10)</f>
        <v>0</v>
      </c>
      <c r="Y36" s="67">
        <f>(Y6/Y10)</f>
        <v>1.7762179909445019E-2</v>
      </c>
      <c r="Z36" s="67">
        <f>(Z6/Z10)</f>
        <v>3.0470514619106052E-2</v>
      </c>
      <c r="AA36" s="67">
        <f>(AA6/AA10)</f>
        <v>6.4195475355855264E-2</v>
      </c>
      <c r="AB36" s="67">
        <f>(AB6/AB10)</f>
        <v>0</v>
      </c>
      <c r="AC36" s="165">
        <f t="shared" si="41"/>
        <v>0</v>
      </c>
      <c r="AE36" s="3"/>
      <c r="AF36" s="3"/>
    </row>
    <row r="37" spans="1:32" x14ac:dyDescent="0.2">
      <c r="A37" s="11">
        <v>27</v>
      </c>
      <c r="B37" s="19" t="s">
        <v>28</v>
      </c>
      <c r="C37" s="20">
        <f>107387+10</f>
        <v>107397</v>
      </c>
      <c r="D37" s="20">
        <f>4322+3278+119476</f>
        <v>127076</v>
      </c>
      <c r="E37" s="20">
        <v>61488</v>
      </c>
      <c r="F37" s="20">
        <v>95147</v>
      </c>
      <c r="G37" s="20">
        <f>91181+3889</f>
        <v>95070</v>
      </c>
      <c r="J37" s="51"/>
      <c r="K37" s="51"/>
      <c r="L37" s="51"/>
      <c r="M37" s="51"/>
      <c r="N37" s="51"/>
      <c r="O37" s="51"/>
      <c r="P37" s="43"/>
      <c r="Q37" s="43"/>
      <c r="R37" s="43"/>
      <c r="S37" s="43"/>
      <c r="T37" s="43"/>
      <c r="U37" s="43"/>
      <c r="V37" s="66" t="s">
        <v>12</v>
      </c>
      <c r="W37" s="67"/>
      <c r="X37" s="67">
        <f>(X7/X10)</f>
        <v>0.62547065182058215</v>
      </c>
      <c r="Y37" s="67">
        <f>(Y7/Y10)</f>
        <v>0.78609633485970176</v>
      </c>
      <c r="Z37" s="67">
        <f>(Z7/Z10)</f>
        <v>0.71617548788970609</v>
      </c>
      <c r="AA37" s="67">
        <f>(AA7/AA10)</f>
        <v>0.63388361246766733</v>
      </c>
      <c r="AB37" s="67">
        <f>(AB7/AB10)</f>
        <v>0.72758680590131863</v>
      </c>
      <c r="AC37" s="165">
        <f t="shared" si="41"/>
        <v>0.10211615408073649</v>
      </c>
      <c r="AE37" s="3"/>
      <c r="AF37" s="3"/>
    </row>
    <row r="38" spans="1:32" x14ac:dyDescent="0.2">
      <c r="A38" s="11">
        <v>28</v>
      </c>
      <c r="B38" s="11" t="s">
        <v>64</v>
      </c>
      <c r="C38" s="20">
        <v>5208076</v>
      </c>
      <c r="D38" s="20">
        <v>6017255</v>
      </c>
      <c r="E38" s="20">
        <v>5769054</v>
      </c>
      <c r="F38" s="20">
        <v>3193699</v>
      </c>
      <c r="G38" s="20">
        <v>2584533</v>
      </c>
      <c r="H38" s="74">
        <f>F38-E38</f>
        <v>-2575355</v>
      </c>
      <c r="J38" s="51"/>
      <c r="K38" s="51"/>
      <c r="L38" s="51"/>
      <c r="M38" s="51"/>
      <c r="N38" s="51"/>
      <c r="O38" s="51"/>
      <c r="P38" s="43"/>
      <c r="Q38" s="43"/>
      <c r="R38" s="43"/>
      <c r="S38" s="43"/>
      <c r="T38" s="43"/>
      <c r="U38" s="43"/>
      <c r="V38" s="68" t="s">
        <v>14</v>
      </c>
      <c r="W38" s="67"/>
      <c r="X38" s="67">
        <f>(X8/X10)</f>
        <v>7.5072757418673919E-2</v>
      </c>
      <c r="Y38" s="67">
        <f>(Y8/Y10)</f>
        <v>6.3727006908446626E-2</v>
      </c>
      <c r="Z38" s="67">
        <f>(Z8/Z10)</f>
        <v>6.145466162299041E-2</v>
      </c>
      <c r="AA38" s="67">
        <f>(AA8/AA10)</f>
        <v>9.2369852635904109E-2</v>
      </c>
      <c r="AB38" s="67">
        <f>(AB8/AB10)</f>
        <v>8.2396038716615883E-2</v>
      </c>
      <c r="AC38" s="165">
        <f t="shared" si="41"/>
        <v>7.3232812979419637E-3</v>
      </c>
      <c r="AE38" s="3"/>
      <c r="AF38" s="3"/>
    </row>
    <row r="39" spans="1:32" x14ac:dyDescent="0.2">
      <c r="A39" s="69">
        <v>28</v>
      </c>
      <c r="B39" s="40" t="s">
        <v>31</v>
      </c>
      <c r="C39" s="41">
        <f t="shared" ref="C39:G39" si="42">SUM(C24,C27,C30:C38)</f>
        <v>5663835</v>
      </c>
      <c r="D39" s="41">
        <f t="shared" ref="D39" si="43">SUM(D24,D27,D30:D38)</f>
        <v>6861554</v>
      </c>
      <c r="E39" s="41">
        <f t="shared" si="42"/>
        <v>7242849</v>
      </c>
      <c r="F39" s="41">
        <f t="shared" si="42"/>
        <v>6109694</v>
      </c>
      <c r="G39" s="41">
        <f t="shared" si="42"/>
        <v>6335206</v>
      </c>
      <c r="J39" s="51"/>
      <c r="K39" s="51"/>
      <c r="L39" s="51"/>
      <c r="M39" s="51"/>
      <c r="N39" s="51"/>
      <c r="O39" s="51"/>
      <c r="P39" s="43"/>
      <c r="Q39" s="43"/>
      <c r="R39" s="43"/>
      <c r="S39" s="43"/>
      <c r="T39" s="43"/>
      <c r="U39" s="43"/>
      <c r="V39" s="66" t="s">
        <v>16</v>
      </c>
      <c r="W39" s="67"/>
      <c r="X39" s="67">
        <f>(X9/X10)</f>
        <v>2.5655175913019065E-2</v>
      </c>
      <c r="Y39" s="67">
        <f>(Y9/Y10)</f>
        <v>3.8525782796689091E-2</v>
      </c>
      <c r="Z39" s="67">
        <f>(Z9/Z10)</f>
        <v>6.2102136398096114E-2</v>
      </c>
      <c r="AA39" s="67">
        <f>(AA9/AA10)</f>
        <v>3.409219636561818E-2</v>
      </c>
      <c r="AB39" s="67">
        <f>(AB9/AB10)</f>
        <v>3.2535892976085362E-2</v>
      </c>
      <c r="AC39" s="165">
        <f t="shared" si="41"/>
        <v>6.8807170630662967E-3</v>
      </c>
      <c r="AE39" s="3"/>
    </row>
    <row r="40" spans="1:32" x14ac:dyDescent="0.2">
      <c r="A40" s="70"/>
      <c r="B40" s="58" t="s">
        <v>67</v>
      </c>
      <c r="C40" s="71">
        <f t="shared" ref="C40:G40" si="44">C50/C51</f>
        <v>0.13440946406556062</v>
      </c>
      <c r="D40" s="71">
        <f t="shared" ref="D40" si="45">D50/D51</f>
        <v>0.12776138922497923</v>
      </c>
      <c r="E40" s="71">
        <f t="shared" si="44"/>
        <v>0.11551074549234461</v>
      </c>
      <c r="F40" s="71">
        <f t="shared" si="44"/>
        <v>0.12832846114447216</v>
      </c>
      <c r="G40" s="71">
        <f t="shared" si="44"/>
        <v>0.12380780882453822</v>
      </c>
      <c r="J40" s="51"/>
      <c r="K40" s="51"/>
      <c r="L40" s="51"/>
      <c r="M40" s="51"/>
      <c r="N40" s="51"/>
      <c r="O40" s="51"/>
      <c r="P40" s="43"/>
      <c r="Q40" s="43"/>
      <c r="R40" s="43"/>
      <c r="S40" s="43"/>
      <c r="T40" s="43"/>
      <c r="U40" s="43"/>
      <c r="AB40" s="65"/>
      <c r="AC40" s="165"/>
      <c r="AE40" s="3"/>
    </row>
    <row r="41" spans="1:32" x14ac:dyDescent="0.2">
      <c r="A41" s="11">
        <v>30</v>
      </c>
      <c r="B41" s="11" t="s">
        <v>68</v>
      </c>
      <c r="C41" s="20">
        <v>715000</v>
      </c>
      <c r="D41" s="20">
        <v>715000</v>
      </c>
      <c r="E41" s="20">
        <v>715000</v>
      </c>
      <c r="F41" s="20">
        <v>790000</v>
      </c>
      <c r="G41" s="20">
        <v>790000</v>
      </c>
      <c r="H41" s="74">
        <f>F41-E41</f>
        <v>75000</v>
      </c>
      <c r="J41" s="51"/>
      <c r="K41" s="51"/>
      <c r="L41" s="51"/>
      <c r="M41" s="51"/>
      <c r="N41" s="51"/>
      <c r="O41" s="51"/>
      <c r="P41" s="43"/>
      <c r="Q41" s="43"/>
      <c r="R41" s="43"/>
      <c r="S41" s="43"/>
      <c r="T41" s="43"/>
      <c r="U41" s="43"/>
      <c r="V41" s="3" t="s">
        <v>65</v>
      </c>
      <c r="W41" s="63"/>
      <c r="X41" s="63">
        <f>(X12+X13)/X17</f>
        <v>0.84917730589017593</v>
      </c>
      <c r="Y41" s="63">
        <f>(Y12+Y13)/Y17</f>
        <v>0.85608474917124322</v>
      </c>
      <c r="Z41" s="63">
        <f>(Z12+Z13)/Z17</f>
        <v>0.87698040332476224</v>
      </c>
      <c r="AA41" s="63">
        <f>(AA12+AA13)/AA17</f>
        <v>0.85809689307007819</v>
      </c>
      <c r="AB41" s="63">
        <f>(AB12+AB13)/AB17</f>
        <v>0.86304351193518902</v>
      </c>
      <c r="AC41" s="165">
        <f t="shared" si="41"/>
        <v>1.3866206045013096E-2</v>
      </c>
      <c r="AE41" s="3"/>
    </row>
    <row r="42" spans="1:32" x14ac:dyDescent="0.2">
      <c r="A42" s="11">
        <f>A41+1</f>
        <v>31</v>
      </c>
      <c r="B42" s="19" t="s">
        <v>69</v>
      </c>
      <c r="C42" s="20"/>
      <c r="D42" s="20"/>
      <c r="E42" s="20"/>
      <c r="F42" s="20"/>
      <c r="G42" s="20"/>
      <c r="J42" s="51"/>
      <c r="K42" s="51"/>
      <c r="L42" s="51"/>
      <c r="M42" s="51"/>
      <c r="N42" s="51"/>
      <c r="O42" s="51"/>
      <c r="P42" s="43"/>
      <c r="Q42" s="43"/>
      <c r="R42" s="43"/>
      <c r="S42" s="43"/>
      <c r="T42" s="43"/>
      <c r="U42" s="43"/>
      <c r="V42" s="3" t="s">
        <v>66</v>
      </c>
      <c r="W42" s="63"/>
      <c r="X42" s="63">
        <f>X16/X17</f>
        <v>0.13440946406556062</v>
      </c>
      <c r="Y42" s="63">
        <f>Y16/Y17</f>
        <v>0.12776138922497923</v>
      </c>
      <c r="Z42" s="63">
        <f>Z16/Z17</f>
        <v>0.11551074549234461</v>
      </c>
      <c r="AA42" s="63">
        <f>AA16/AA17</f>
        <v>0.12832846114447216</v>
      </c>
      <c r="AB42" s="63">
        <f>AB16/AB17</f>
        <v>0.12380780882453822</v>
      </c>
      <c r="AC42" s="165">
        <f t="shared" si="41"/>
        <v>-1.0601655241022398E-2</v>
      </c>
      <c r="AE42" s="3"/>
    </row>
    <row r="43" spans="1:32" x14ac:dyDescent="0.2">
      <c r="A43" s="11">
        <f t="shared" ref="A43:A51" si="46">A42+1</f>
        <v>32</v>
      </c>
      <c r="B43" s="19" t="s">
        <v>70</v>
      </c>
      <c r="C43" s="20"/>
      <c r="D43" s="20"/>
      <c r="E43" s="20"/>
      <c r="F43" s="20"/>
      <c r="G43" s="20"/>
      <c r="J43" s="51"/>
      <c r="K43" s="51"/>
      <c r="L43" s="51"/>
      <c r="M43" s="51"/>
      <c r="N43" s="51"/>
      <c r="O43" s="51"/>
      <c r="P43" s="43"/>
      <c r="Q43" s="43"/>
      <c r="R43" s="43"/>
      <c r="S43" s="43"/>
      <c r="T43" s="43"/>
      <c r="U43" s="43"/>
      <c r="AC43" s="165"/>
      <c r="AE43" s="3"/>
    </row>
    <row r="44" spans="1:32" x14ac:dyDescent="0.2">
      <c r="A44" s="11">
        <f t="shared" si="46"/>
        <v>33</v>
      </c>
      <c r="B44" s="11" t="s">
        <v>71</v>
      </c>
      <c r="C44" s="20">
        <v>7303</v>
      </c>
      <c r="D44" s="20">
        <v>7303</v>
      </c>
      <c r="E44" s="20">
        <v>7303</v>
      </c>
      <c r="F44" s="20">
        <v>7303</v>
      </c>
      <c r="G44" s="20">
        <v>7303</v>
      </c>
      <c r="J44" s="51"/>
      <c r="K44" s="51"/>
      <c r="L44" s="51"/>
      <c r="M44" s="51"/>
      <c r="N44" s="51"/>
      <c r="O44" s="51"/>
      <c r="P44" s="43"/>
      <c r="Q44" s="43"/>
      <c r="R44" s="43"/>
      <c r="S44" s="43"/>
      <c r="T44" s="43"/>
      <c r="U44" s="43"/>
      <c r="V44" s="66" t="s">
        <v>18</v>
      </c>
      <c r="W44" s="63"/>
      <c r="X44" s="63">
        <f>X12/X17</f>
        <v>5.3239342297081958E-2</v>
      </c>
      <c r="Y44" s="63">
        <f>Y12/Y17</f>
        <v>9.1173164728557521E-2</v>
      </c>
      <c r="Z44" s="63">
        <f>Z12/Z17</f>
        <v>0.17246947514243957</v>
      </c>
      <c r="AA44" s="63">
        <f>AA12/AA17</f>
        <v>0.32742122105755744</v>
      </c>
      <c r="AB44" s="63">
        <f>AB12/AB17</f>
        <v>0.43668745671045966</v>
      </c>
      <c r="AC44" s="165">
        <f t="shared" si="41"/>
        <v>0.38344811441337773</v>
      </c>
      <c r="AE44" s="3"/>
    </row>
    <row r="45" spans="1:32" x14ac:dyDescent="0.2">
      <c r="A45" s="11">
        <f t="shared" si="46"/>
        <v>34</v>
      </c>
      <c r="B45" s="19" t="s">
        <v>72</v>
      </c>
      <c r="C45" s="20"/>
      <c r="D45" s="20"/>
      <c r="E45" s="20"/>
      <c r="F45" s="20"/>
      <c r="G45" s="20"/>
      <c r="J45" s="51"/>
      <c r="K45" s="51"/>
      <c r="L45" s="51"/>
      <c r="M45" s="51"/>
      <c r="N45" s="51"/>
      <c r="O45" s="51"/>
      <c r="P45" s="43"/>
      <c r="Q45" s="43"/>
      <c r="R45" s="43"/>
      <c r="S45" s="43"/>
      <c r="T45" s="43"/>
      <c r="U45" s="43"/>
      <c r="V45" s="68" t="s">
        <v>25</v>
      </c>
      <c r="W45" s="63"/>
      <c r="X45" s="63">
        <f>X13/X17</f>
        <v>0.79593796359309399</v>
      </c>
      <c r="Y45" s="63">
        <f>Y13/Y17</f>
        <v>0.7649115844426857</v>
      </c>
      <c r="Z45" s="63">
        <f>Z13/Z17</f>
        <v>0.70451092818232264</v>
      </c>
      <c r="AA45" s="63">
        <f>AA13/AA17</f>
        <v>0.53067567201252075</v>
      </c>
      <c r="AB45" s="63">
        <f>AB13/AB17</f>
        <v>0.42635605522472941</v>
      </c>
      <c r="AC45" s="165">
        <f t="shared" si="41"/>
        <v>-0.36958190836836458</v>
      </c>
      <c r="AE45" s="3"/>
    </row>
    <row r="46" spans="1:32" x14ac:dyDescent="0.2">
      <c r="A46" s="11">
        <f t="shared" si="46"/>
        <v>35</v>
      </c>
      <c r="B46" s="19" t="s">
        <v>73</v>
      </c>
      <c r="C46" s="20"/>
      <c r="D46" s="20"/>
      <c r="E46" s="20"/>
      <c r="F46" s="20"/>
      <c r="G46" s="20"/>
      <c r="J46" s="51"/>
      <c r="K46" s="51"/>
      <c r="L46" s="51"/>
      <c r="M46" s="51"/>
      <c r="N46" s="51"/>
      <c r="O46" s="51"/>
      <c r="P46" s="43"/>
      <c r="Q46" s="43"/>
      <c r="R46" s="43"/>
      <c r="S46" s="43"/>
      <c r="T46" s="43"/>
      <c r="U46" s="43"/>
      <c r="V46" s="66" t="s">
        <v>28</v>
      </c>
      <c r="W46" s="63"/>
      <c r="X46" s="63">
        <f>X14/X17</f>
        <v>1.6413230044263469E-2</v>
      </c>
      <c r="Y46" s="63">
        <f>Y14/Y17</f>
        <v>1.6153861603777589E-2</v>
      </c>
      <c r="Z46" s="63">
        <f>Z14/Z17</f>
        <v>7.5088511828931837E-3</v>
      </c>
      <c r="AA46" s="63">
        <f>AA14/AA17</f>
        <v>1.3574645785449632E-2</v>
      </c>
      <c r="AB46" s="63">
        <f>AB14/AB17</f>
        <v>1.3148679240272717E-2</v>
      </c>
      <c r="AC46" s="165">
        <f t="shared" si="41"/>
        <v>-3.2645508039907522E-3</v>
      </c>
      <c r="AE46" s="3"/>
    </row>
    <row r="47" spans="1:32" x14ac:dyDescent="0.2">
      <c r="A47" s="11">
        <f t="shared" si="46"/>
        <v>36</v>
      </c>
      <c r="B47" s="19" t="s">
        <v>74</v>
      </c>
      <c r="C47" s="20"/>
      <c r="D47" s="20"/>
      <c r="E47" s="20"/>
      <c r="F47" s="20"/>
      <c r="G47" s="20"/>
      <c r="J47" s="51"/>
      <c r="K47" s="51"/>
      <c r="L47" s="51"/>
      <c r="M47" s="51"/>
      <c r="N47" s="51"/>
      <c r="O47" s="51"/>
      <c r="P47" s="43"/>
      <c r="Q47" s="43"/>
      <c r="R47" s="43"/>
      <c r="S47" s="43"/>
      <c r="T47" s="43"/>
      <c r="U47" s="43"/>
      <c r="V47" s="66" t="s">
        <v>33</v>
      </c>
      <c r="W47" s="63"/>
      <c r="X47" s="164">
        <f>X16/X17</f>
        <v>0.13440946406556062</v>
      </c>
      <c r="Y47" s="164">
        <f>Y16/Y17</f>
        <v>0.12776138922497923</v>
      </c>
      <c r="Z47" s="164">
        <f>Z16/Z17</f>
        <v>0.11551074549234461</v>
      </c>
      <c r="AA47" s="164">
        <f>AA16/AA17</f>
        <v>0.12832846114447216</v>
      </c>
      <c r="AB47" s="164">
        <f>AB16/AB17</f>
        <v>0.12380780882453822</v>
      </c>
      <c r="AC47" s="165">
        <f t="shared" si="41"/>
        <v>-1.0601655241022398E-2</v>
      </c>
      <c r="AE47" s="3"/>
    </row>
    <row r="48" spans="1:32" x14ac:dyDescent="0.2">
      <c r="A48" s="11">
        <f t="shared" si="46"/>
        <v>37</v>
      </c>
      <c r="B48" s="11" t="s">
        <v>75</v>
      </c>
      <c r="C48" s="20">
        <v>157181</v>
      </c>
      <c r="D48" s="20">
        <v>282745</v>
      </c>
      <c r="E48" s="20">
        <v>223584</v>
      </c>
      <c r="F48" s="20">
        <v>102173</v>
      </c>
      <c r="G48" s="20">
        <v>97875</v>
      </c>
      <c r="H48" s="74">
        <f>G48-C48</f>
        <v>-59306</v>
      </c>
      <c r="J48" s="51"/>
      <c r="K48" s="51"/>
      <c r="L48" s="51"/>
      <c r="M48" s="51"/>
      <c r="N48" s="51"/>
      <c r="O48" s="51"/>
      <c r="P48" s="43"/>
      <c r="Q48" s="43"/>
      <c r="R48" s="43"/>
      <c r="S48" s="43"/>
      <c r="T48" s="43"/>
      <c r="U48" s="43"/>
      <c r="AE48" s="3"/>
    </row>
    <row r="49" spans="1:31" x14ac:dyDescent="0.2">
      <c r="A49" s="11">
        <f t="shared" si="46"/>
        <v>38</v>
      </c>
      <c r="B49" s="19" t="s">
        <v>76</v>
      </c>
      <c r="C49" s="20"/>
      <c r="D49" s="20"/>
      <c r="E49" s="20"/>
      <c r="F49" s="20"/>
      <c r="G49" s="20"/>
      <c r="H49" s="153"/>
      <c r="J49" s="51"/>
      <c r="K49" s="51"/>
      <c r="L49" s="51"/>
      <c r="M49" s="51"/>
      <c r="N49" s="51"/>
      <c r="O49" s="51"/>
      <c r="P49" s="43"/>
      <c r="Q49" s="43"/>
      <c r="R49" s="43"/>
      <c r="S49" s="43"/>
      <c r="T49" s="43"/>
      <c r="U49" s="43"/>
      <c r="AB49" s="63"/>
      <c r="AE49" s="3"/>
    </row>
    <row r="50" spans="1:31" x14ac:dyDescent="0.2">
      <c r="A50" s="40">
        <f>A49+1</f>
        <v>39</v>
      </c>
      <c r="B50" s="40" t="s">
        <v>77</v>
      </c>
      <c r="C50" s="41">
        <f t="shared" ref="C50:G50" si="47">SUM(C41:C49)</f>
        <v>879484</v>
      </c>
      <c r="D50" s="41">
        <f t="shared" ref="D50" si="48">SUM(D41:D49)</f>
        <v>1005048</v>
      </c>
      <c r="E50" s="41">
        <f t="shared" si="47"/>
        <v>945887</v>
      </c>
      <c r="F50" s="41">
        <f t="shared" si="47"/>
        <v>899476</v>
      </c>
      <c r="G50" s="41">
        <f t="shared" si="47"/>
        <v>895178</v>
      </c>
      <c r="H50" s="74">
        <f>G50-C50</f>
        <v>15694</v>
      </c>
      <c r="J50" s="51"/>
      <c r="K50" s="51"/>
      <c r="L50" s="51"/>
      <c r="M50" s="51"/>
      <c r="N50" s="51"/>
      <c r="O50" s="51"/>
      <c r="P50" s="43"/>
      <c r="Q50" s="43"/>
      <c r="R50" s="43"/>
      <c r="S50" s="43"/>
      <c r="T50" s="43"/>
      <c r="U50" s="43"/>
      <c r="X50" s="72"/>
      <c r="Z50" s="72"/>
      <c r="AA50" s="72"/>
      <c r="AB50" s="65"/>
      <c r="AE50" s="3"/>
    </row>
    <row r="51" spans="1:31" x14ac:dyDescent="0.2">
      <c r="A51" s="54">
        <f t="shared" si="46"/>
        <v>40</v>
      </c>
      <c r="B51" s="54" t="s">
        <v>36</v>
      </c>
      <c r="C51" s="55">
        <f t="shared" ref="C51:G51" si="49">SUM(C39,C50)</f>
        <v>6543319</v>
      </c>
      <c r="D51" s="55">
        <f t="shared" ref="D51" si="50">SUM(D39,D50)</f>
        <v>7866602</v>
      </c>
      <c r="E51" s="55">
        <f t="shared" si="49"/>
        <v>8188736</v>
      </c>
      <c r="F51" s="55">
        <f t="shared" si="49"/>
        <v>7009170</v>
      </c>
      <c r="G51" s="55">
        <f t="shared" si="49"/>
        <v>7230384</v>
      </c>
      <c r="J51" s="51"/>
      <c r="K51" s="51"/>
      <c r="L51" s="51"/>
      <c r="M51" s="51"/>
      <c r="N51" s="51"/>
      <c r="O51" s="51"/>
      <c r="P51" s="43"/>
      <c r="Q51" s="43"/>
      <c r="R51" s="43"/>
      <c r="S51" s="43"/>
      <c r="T51" s="43"/>
      <c r="U51" s="43"/>
      <c r="X51" s="72"/>
      <c r="Z51" s="72"/>
      <c r="AA51" s="72"/>
      <c r="AB51" s="65"/>
      <c r="AE51" s="3"/>
    </row>
    <row r="52" spans="1:31" x14ac:dyDescent="0.2">
      <c r="A52" s="70"/>
      <c r="B52" s="58" t="s">
        <v>78</v>
      </c>
      <c r="C52" s="73">
        <f t="shared" ref="C52:G52" si="51">C22-C51</f>
        <v>0</v>
      </c>
      <c r="D52" s="73">
        <f t="shared" ref="D52" si="52">D22-D51</f>
        <v>0</v>
      </c>
      <c r="E52" s="73">
        <f t="shared" si="51"/>
        <v>0</v>
      </c>
      <c r="F52" s="73">
        <f t="shared" si="51"/>
        <v>0</v>
      </c>
      <c r="G52" s="73">
        <f t="shared" si="51"/>
        <v>0</v>
      </c>
      <c r="J52" s="51"/>
      <c r="K52" s="51"/>
      <c r="L52" s="51"/>
      <c r="M52" s="51"/>
      <c r="N52" s="51"/>
      <c r="O52" s="51"/>
      <c r="P52" s="43"/>
      <c r="Q52" s="43"/>
      <c r="R52" s="43"/>
      <c r="S52" s="43"/>
      <c r="T52" s="43"/>
      <c r="U52" s="43"/>
      <c r="X52" s="72"/>
      <c r="Z52" s="72"/>
      <c r="AA52" s="72"/>
      <c r="AB52" s="65"/>
      <c r="AE52" s="3"/>
    </row>
    <row r="53" spans="1:31" x14ac:dyDescent="0.2">
      <c r="A53" s="19">
        <v>1</v>
      </c>
      <c r="B53" s="19" t="s">
        <v>79</v>
      </c>
      <c r="C53" s="20"/>
      <c r="D53" s="20">
        <v>1369073</v>
      </c>
      <c r="E53" s="20">
        <v>1590482</v>
      </c>
      <c r="F53" s="20">
        <v>1236641</v>
      </c>
      <c r="G53" s="20">
        <v>1065177</v>
      </c>
      <c r="H53" s="74"/>
      <c r="J53" s="51"/>
      <c r="K53" s="51"/>
      <c r="L53" s="51"/>
      <c r="M53" s="51"/>
      <c r="N53" s="51"/>
      <c r="O53" s="51"/>
      <c r="P53" s="43"/>
      <c r="Q53" s="43"/>
      <c r="R53" s="43"/>
      <c r="S53" s="43"/>
      <c r="T53" s="43"/>
      <c r="U53" s="43"/>
      <c r="X53" s="72"/>
      <c r="Z53" s="72"/>
      <c r="AA53" s="72"/>
      <c r="AB53" s="65"/>
      <c r="AE53" s="3"/>
    </row>
    <row r="54" spans="1:31" x14ac:dyDescent="0.2">
      <c r="A54" s="11">
        <v>2</v>
      </c>
      <c r="B54" s="11" t="s">
        <v>80</v>
      </c>
      <c r="C54" s="20"/>
      <c r="D54" s="20">
        <v>529540</v>
      </c>
      <c r="E54" s="20">
        <v>700669</v>
      </c>
      <c r="F54" s="20">
        <v>724265</v>
      </c>
      <c r="G54" s="20">
        <v>625960</v>
      </c>
      <c r="J54" s="51"/>
      <c r="K54" s="51"/>
      <c r="L54" s="51"/>
      <c r="M54" s="51"/>
      <c r="N54" s="51"/>
      <c r="O54" s="51"/>
      <c r="P54" s="43"/>
      <c r="Q54" s="43"/>
      <c r="R54" s="43"/>
      <c r="S54" s="43"/>
      <c r="T54" s="43"/>
      <c r="U54" s="43"/>
      <c r="V54" s="65"/>
      <c r="W54" s="65"/>
      <c r="X54" s="65"/>
      <c r="Z54" s="65"/>
      <c r="AA54" s="65"/>
      <c r="AB54" s="65"/>
      <c r="AE54" s="3"/>
    </row>
    <row r="55" spans="1:31" x14ac:dyDescent="0.2">
      <c r="A55" s="75">
        <v>3</v>
      </c>
      <c r="B55" s="76" t="s">
        <v>81</v>
      </c>
      <c r="C55" s="77">
        <f t="shared" ref="C55:G55" si="53">C53-C54</f>
        <v>0</v>
      </c>
      <c r="D55" s="77">
        <f t="shared" ref="D55" si="54">D53-D54</f>
        <v>839533</v>
      </c>
      <c r="E55" s="77">
        <f t="shared" si="53"/>
        <v>889813</v>
      </c>
      <c r="F55" s="77">
        <f t="shared" si="53"/>
        <v>512376</v>
      </c>
      <c r="G55" s="77">
        <f t="shared" si="53"/>
        <v>439217</v>
      </c>
      <c r="J55" s="51"/>
      <c r="K55" s="51"/>
      <c r="L55" s="51"/>
      <c r="M55" s="51"/>
      <c r="N55" s="51"/>
      <c r="O55" s="51"/>
      <c r="P55" s="43"/>
      <c r="Q55" s="43"/>
      <c r="R55" s="43"/>
      <c r="S55" s="43"/>
      <c r="T55" s="43"/>
      <c r="U55" s="43"/>
      <c r="V55" s="65"/>
      <c r="W55" s="65"/>
      <c r="X55" s="65"/>
      <c r="Z55" s="65"/>
      <c r="AA55" s="65"/>
      <c r="AB55" s="65"/>
      <c r="AE55" s="3"/>
    </row>
    <row r="56" spans="1:31" x14ac:dyDescent="0.2">
      <c r="A56" s="19">
        <v>4</v>
      </c>
      <c r="B56" s="19" t="s">
        <v>82</v>
      </c>
      <c r="C56" s="20"/>
      <c r="D56" s="20">
        <v>45614</v>
      </c>
      <c r="E56" s="20">
        <v>291344</v>
      </c>
      <c r="F56" s="20">
        <v>21870</v>
      </c>
      <c r="G56" s="20">
        <v>-96081</v>
      </c>
      <c r="J56" s="51"/>
      <c r="K56" s="51"/>
      <c r="L56" s="51"/>
      <c r="M56" s="51"/>
      <c r="N56" s="51"/>
      <c r="O56" s="51"/>
      <c r="P56" s="43"/>
      <c r="Q56" s="43"/>
      <c r="R56" s="43"/>
      <c r="S56" s="43"/>
      <c r="T56" s="43"/>
      <c r="U56" s="43"/>
      <c r="V56" s="65"/>
      <c r="W56" s="65"/>
      <c r="X56" s="65"/>
      <c r="Z56" s="65"/>
      <c r="AA56" s="65"/>
      <c r="AB56" s="65"/>
      <c r="AE56" s="3"/>
    </row>
    <row r="57" spans="1:31" x14ac:dyDescent="0.2">
      <c r="A57" s="75">
        <v>5</v>
      </c>
      <c r="B57" s="76" t="s">
        <v>83</v>
      </c>
      <c r="C57" s="77">
        <f t="shared" ref="C57:G57" si="55">C55-C56</f>
        <v>0</v>
      </c>
      <c r="D57" s="77">
        <f t="shared" ref="D57" si="56">D55-D56</f>
        <v>793919</v>
      </c>
      <c r="E57" s="77">
        <f t="shared" si="55"/>
        <v>598469</v>
      </c>
      <c r="F57" s="77">
        <f t="shared" si="55"/>
        <v>490506</v>
      </c>
      <c r="G57" s="77">
        <f t="shared" si="55"/>
        <v>535298</v>
      </c>
      <c r="J57" s="51"/>
      <c r="K57" s="51"/>
      <c r="L57" s="51"/>
      <c r="M57" s="51"/>
      <c r="N57" s="51"/>
      <c r="O57" s="51"/>
      <c r="P57" s="43"/>
      <c r="Q57" s="43"/>
      <c r="R57" s="43"/>
      <c r="S57" s="43"/>
      <c r="T57" s="43"/>
      <c r="U57" s="43"/>
      <c r="V57" s="65"/>
      <c r="W57" s="65"/>
      <c r="X57" s="65"/>
      <c r="Z57" s="65"/>
      <c r="AA57" s="65"/>
      <c r="AB57" s="65"/>
      <c r="AE57" s="3"/>
    </row>
    <row r="58" spans="1:31" x14ac:dyDescent="0.2">
      <c r="A58" s="19">
        <v>6</v>
      </c>
      <c r="B58" s="19" t="s">
        <v>84</v>
      </c>
      <c r="C58" s="20"/>
      <c r="D58" s="20">
        <f>72684+115749-194526+9187</f>
        <v>3094</v>
      </c>
      <c r="E58" s="20">
        <f>54685+217331-239292+5260</f>
        <v>37984</v>
      </c>
      <c r="F58" s="20">
        <f>49190-197991+124000+4956</f>
        <v>-19845</v>
      </c>
      <c r="G58" s="20">
        <f>69432+25743-6899+1110-41355</f>
        <v>48031</v>
      </c>
      <c r="J58" s="51"/>
      <c r="K58" s="51"/>
      <c r="L58" s="51"/>
      <c r="M58" s="51"/>
      <c r="N58" s="51"/>
      <c r="O58" s="51"/>
      <c r="P58" s="43"/>
      <c r="Q58" s="43"/>
      <c r="R58" s="43"/>
      <c r="S58" s="43"/>
      <c r="T58" s="43"/>
      <c r="U58" s="43"/>
      <c r="V58" s="65"/>
      <c r="W58" s="65"/>
      <c r="X58" s="65"/>
      <c r="Z58" s="65"/>
      <c r="AA58" s="65"/>
      <c r="AB58" s="65"/>
      <c r="AE58" s="3"/>
    </row>
    <row r="59" spans="1:31" x14ac:dyDescent="0.2">
      <c r="A59" s="19">
        <v>7</v>
      </c>
      <c r="B59" s="19" t="s">
        <v>85</v>
      </c>
      <c r="C59" s="20"/>
      <c r="D59" s="20">
        <v>630828</v>
      </c>
      <c r="E59" s="20">
        <v>657333</v>
      </c>
      <c r="F59" s="20">
        <v>595774</v>
      </c>
      <c r="G59" s="20">
        <v>581983</v>
      </c>
      <c r="J59" s="51"/>
      <c r="K59" s="51"/>
      <c r="L59" s="51"/>
      <c r="M59" s="51"/>
      <c r="N59" s="51"/>
      <c r="O59" s="51"/>
      <c r="P59" s="43"/>
      <c r="Q59" s="43"/>
      <c r="R59" s="43"/>
      <c r="S59" s="43"/>
      <c r="T59" s="43"/>
      <c r="U59" s="43"/>
      <c r="V59" s="65"/>
      <c r="W59" s="65"/>
      <c r="X59" s="65"/>
      <c r="Z59" s="65"/>
      <c r="AA59" s="65"/>
      <c r="AB59" s="65"/>
      <c r="AE59" s="3"/>
    </row>
    <row r="60" spans="1:31" x14ac:dyDescent="0.2">
      <c r="A60" s="75">
        <v>8</v>
      </c>
      <c r="B60" s="76" t="s">
        <v>86</v>
      </c>
      <c r="C60" s="77">
        <f t="shared" ref="C60:G60" si="57">C57+C58-C59</f>
        <v>0</v>
      </c>
      <c r="D60" s="77">
        <f t="shared" ref="D60" si="58">D57+D58-D59</f>
        <v>166185</v>
      </c>
      <c r="E60" s="77">
        <f t="shared" si="57"/>
        <v>-20880</v>
      </c>
      <c r="F60" s="77">
        <f t="shared" si="57"/>
        <v>-125113</v>
      </c>
      <c r="G60" s="77">
        <f t="shared" si="57"/>
        <v>1346</v>
      </c>
      <c r="J60" s="51"/>
      <c r="K60" s="51"/>
      <c r="L60" s="51"/>
      <c r="M60" s="51"/>
      <c r="N60" s="51"/>
      <c r="O60" s="51"/>
      <c r="P60" s="43"/>
      <c r="Q60" s="43"/>
      <c r="R60" s="43"/>
      <c r="S60" s="43"/>
      <c r="T60" s="43"/>
      <c r="U60" s="43"/>
      <c r="V60" s="65"/>
      <c r="W60" s="65"/>
      <c r="X60" s="65"/>
      <c r="Z60" s="65"/>
      <c r="AA60" s="65"/>
      <c r="AB60" s="65"/>
      <c r="AE60" s="3"/>
    </row>
    <row r="61" spans="1:31" x14ac:dyDescent="0.2">
      <c r="A61" s="19">
        <v>9</v>
      </c>
      <c r="B61" s="19" t="s">
        <v>87</v>
      </c>
      <c r="C61" s="20"/>
      <c r="D61" s="20">
        <v>25909</v>
      </c>
      <c r="E61" s="20">
        <v>3212</v>
      </c>
      <c r="F61" s="20">
        <v>-3702</v>
      </c>
      <c r="G61" s="20">
        <v>5645</v>
      </c>
      <c r="J61" s="51"/>
      <c r="K61" s="51"/>
      <c r="L61" s="51"/>
      <c r="M61" s="51"/>
      <c r="N61" s="51"/>
      <c r="O61" s="51"/>
      <c r="P61" s="43"/>
      <c r="Q61" s="43"/>
      <c r="R61" s="43"/>
      <c r="S61" s="43"/>
      <c r="T61" s="43"/>
      <c r="U61" s="43"/>
      <c r="V61" s="65"/>
      <c r="W61" s="65"/>
      <c r="X61" s="65"/>
      <c r="Z61" s="65"/>
      <c r="AA61" s="65"/>
      <c r="AB61" s="65"/>
      <c r="AE61" s="3"/>
    </row>
    <row r="62" spans="1:31" x14ac:dyDescent="0.2">
      <c r="A62" s="75">
        <v>10</v>
      </c>
      <c r="B62" s="76" t="s">
        <v>88</v>
      </c>
      <c r="C62" s="77">
        <f t="shared" ref="C62:G62" si="59">C60-C61</f>
        <v>0</v>
      </c>
      <c r="D62" s="77">
        <f t="shared" ref="D62" si="60">D60-D61</f>
        <v>140276</v>
      </c>
      <c r="E62" s="77">
        <f t="shared" si="59"/>
        <v>-24092</v>
      </c>
      <c r="F62" s="77">
        <f t="shared" si="59"/>
        <v>-121411</v>
      </c>
      <c r="G62" s="77">
        <f t="shared" si="59"/>
        <v>-4299</v>
      </c>
      <c r="J62" s="51"/>
      <c r="K62" s="51"/>
      <c r="L62" s="51"/>
      <c r="M62" s="51"/>
      <c r="N62" s="51"/>
      <c r="O62" s="51"/>
      <c r="P62" s="43"/>
      <c r="Q62" s="43"/>
      <c r="R62" s="43"/>
      <c r="S62" s="43"/>
      <c r="T62" s="43"/>
      <c r="U62" s="43"/>
      <c r="V62" s="65"/>
      <c r="W62" s="65"/>
      <c r="X62" s="65"/>
      <c r="Z62" s="65"/>
      <c r="AA62" s="65"/>
      <c r="AB62" s="65"/>
      <c r="AE62" s="3"/>
    </row>
    <row r="63" spans="1:31" ht="25.5" x14ac:dyDescent="0.2">
      <c r="A63" s="11">
        <v>11</v>
      </c>
      <c r="B63" s="78" t="s">
        <v>89</v>
      </c>
      <c r="C63" s="20"/>
      <c r="D63" s="20"/>
      <c r="E63" s="20"/>
      <c r="F63" s="20"/>
      <c r="G63" s="20"/>
      <c r="J63" s="51"/>
      <c r="K63" s="51"/>
      <c r="L63" s="51"/>
      <c r="M63" s="51"/>
      <c r="N63" s="51"/>
      <c r="O63" s="51"/>
      <c r="P63" s="43"/>
      <c r="Q63" s="43"/>
      <c r="R63" s="43"/>
      <c r="S63" s="43"/>
      <c r="T63" s="43"/>
      <c r="U63" s="43"/>
      <c r="V63" s="65"/>
      <c r="W63" s="65"/>
      <c r="X63" s="65"/>
      <c r="Z63" s="65"/>
      <c r="AA63" s="65"/>
      <c r="AB63" s="65"/>
      <c r="AE63" s="3"/>
    </row>
    <row r="64" spans="1:31" x14ac:dyDescent="0.2">
      <c r="A64" s="75">
        <v>12</v>
      </c>
      <c r="B64" s="76" t="s">
        <v>39</v>
      </c>
      <c r="C64" s="77">
        <f t="shared" ref="C64:G64" si="61">C62+C63</f>
        <v>0</v>
      </c>
      <c r="D64" s="77">
        <f t="shared" ref="D64" si="62">D62+D63</f>
        <v>140276</v>
      </c>
      <c r="E64" s="77">
        <f t="shared" si="61"/>
        <v>-24092</v>
      </c>
      <c r="F64" s="77">
        <f t="shared" si="61"/>
        <v>-121411</v>
      </c>
      <c r="G64" s="77">
        <f t="shared" si="61"/>
        <v>-4299</v>
      </c>
      <c r="J64" s="51"/>
      <c r="K64" s="51"/>
      <c r="L64" s="51"/>
      <c r="M64" s="51"/>
      <c r="N64" s="51"/>
      <c r="O64" s="51"/>
      <c r="P64" s="43"/>
      <c r="Q64" s="43"/>
      <c r="R64" s="43"/>
      <c r="S64" s="43"/>
      <c r="T64" s="43"/>
      <c r="U64" s="43"/>
      <c r="V64" s="65"/>
      <c r="W64" s="65"/>
      <c r="X64" s="65"/>
      <c r="Z64" s="65"/>
      <c r="AA64" s="65"/>
      <c r="AB64" s="65"/>
      <c r="AE64" s="3"/>
    </row>
    <row r="65" spans="1:33" s="80" customFormat="1" x14ac:dyDescent="0.2">
      <c r="A65" s="47"/>
      <c r="J65" s="51"/>
      <c r="K65" s="51"/>
      <c r="L65" s="51"/>
      <c r="M65" s="51"/>
      <c r="N65" s="51"/>
      <c r="O65" s="51"/>
      <c r="P65" s="43"/>
      <c r="Q65" s="43"/>
      <c r="R65" s="43"/>
      <c r="S65" s="43"/>
      <c r="T65" s="43"/>
      <c r="U65" s="43"/>
      <c r="V65" s="3"/>
      <c r="W65" s="3"/>
      <c r="X65" s="3"/>
      <c r="Y65" s="3"/>
      <c r="Z65" s="3"/>
      <c r="AA65" s="3"/>
      <c r="AB65" s="3"/>
      <c r="AC65" s="3"/>
      <c r="AD65" s="3"/>
      <c r="AE65" s="1"/>
      <c r="AF65" s="1"/>
      <c r="AG65" s="1"/>
    </row>
    <row r="66" spans="1:33" s="80" customFormat="1" ht="25.5" x14ac:dyDescent="0.2">
      <c r="A66" s="47"/>
      <c r="B66" s="47" t="s">
        <v>90</v>
      </c>
      <c r="C66" s="81">
        <f>C64/12*12</f>
        <v>0</v>
      </c>
      <c r="D66" s="81">
        <f>D64/12*12</f>
        <v>140276</v>
      </c>
      <c r="E66" s="81">
        <f>E64/1*12</f>
        <v>-289104</v>
      </c>
      <c r="F66" s="81">
        <f>F64/2*12</f>
        <v>-728466</v>
      </c>
      <c r="G66" s="81">
        <f>G64/3*12</f>
        <v>-17196</v>
      </c>
      <c r="J66" s="51"/>
      <c r="K66" s="51"/>
      <c r="L66" s="51"/>
      <c r="M66" s="51"/>
      <c r="N66" s="51"/>
      <c r="O66" s="51"/>
      <c r="P66" s="43"/>
      <c r="Q66" s="43"/>
      <c r="R66" s="43"/>
      <c r="S66" s="43"/>
      <c r="T66" s="43"/>
      <c r="U66" s="43"/>
      <c r="V66" s="15" t="s">
        <v>3</v>
      </c>
      <c r="W66" s="16"/>
      <c r="X66" s="16" t="str">
        <f>C1</f>
        <v>2013 г</v>
      </c>
      <c r="Y66" s="16" t="str">
        <f>D1</f>
        <v>2014 г</v>
      </c>
      <c r="Z66" s="16" t="str">
        <f>E1</f>
        <v>2015 г</v>
      </c>
      <c r="AA66" s="16" t="str">
        <f>F1</f>
        <v>2016 г</v>
      </c>
      <c r="AB66" s="16" t="str">
        <f>G1</f>
        <v>2017 г</v>
      </c>
      <c r="AC66" s="17" t="s">
        <v>158</v>
      </c>
      <c r="AD66" s="17" t="s">
        <v>4</v>
      </c>
      <c r="AE66" s="74"/>
      <c r="AF66" s="1"/>
      <c r="AG66" s="1"/>
    </row>
    <row r="67" spans="1:33" x14ac:dyDescent="0.2">
      <c r="A67" s="47"/>
      <c r="B67" s="65" t="s">
        <v>91</v>
      </c>
      <c r="C67" s="82">
        <f>AVERAGE($C$22:C22)</f>
        <v>6543319</v>
      </c>
      <c r="D67" s="82">
        <f>AVERAGE($C$22:D22)</f>
        <v>7204960.5</v>
      </c>
      <c r="E67" s="82">
        <f>AVERAGE($C$22:E22)</f>
        <v>7532885.666666667</v>
      </c>
      <c r="F67" s="82">
        <f>AVERAGE($C$22:F22)</f>
        <v>7401956.75</v>
      </c>
      <c r="G67" s="82">
        <f>AVERAGE($C$22:G22)</f>
        <v>7367642.2000000002</v>
      </c>
      <c r="J67" s="51"/>
      <c r="K67" s="51"/>
      <c r="L67" s="51"/>
      <c r="M67" s="51"/>
      <c r="N67" s="51"/>
      <c r="O67" s="51"/>
      <c r="P67" s="43"/>
      <c r="Q67" s="43"/>
      <c r="R67" s="43"/>
      <c r="S67" s="43"/>
      <c r="T67" s="43"/>
      <c r="U67" s="43"/>
      <c r="V67" s="79" t="s">
        <v>79</v>
      </c>
      <c r="W67" s="31"/>
      <c r="X67" s="31">
        <f>C53</f>
        <v>0</v>
      </c>
      <c r="Y67" s="31">
        <f>D53</f>
        <v>1369073</v>
      </c>
      <c r="Z67" s="31">
        <f>E53</f>
        <v>1590482</v>
      </c>
      <c r="AA67" s="31">
        <f>F53</f>
        <v>1236641</v>
      </c>
      <c r="AB67" s="31">
        <f>G53</f>
        <v>1065177</v>
      </c>
      <c r="AC67" s="32">
        <f>AB67-Y67</f>
        <v>-303896</v>
      </c>
      <c r="AD67" s="33">
        <f>AB67/Y67-1</f>
        <v>-0.2219720935260574</v>
      </c>
    </row>
    <row r="68" spans="1:33" x14ac:dyDescent="0.2">
      <c r="A68" s="47"/>
      <c r="B68" s="65" t="s">
        <v>92</v>
      </c>
      <c r="C68" s="82">
        <f>AVERAGE($C$50:C50)</f>
        <v>879484</v>
      </c>
      <c r="D68" s="82">
        <f>AVERAGE($C$50:D50)</f>
        <v>942266</v>
      </c>
      <c r="E68" s="82">
        <f>AVERAGE($C$50:E50)</f>
        <v>943473</v>
      </c>
      <c r="F68" s="82">
        <f>AVERAGE($C$50:F50)</f>
        <v>932473.75</v>
      </c>
      <c r="G68" s="82">
        <f>AVERAGE($C$50:G50)</f>
        <v>925014.6</v>
      </c>
      <c r="J68" s="51"/>
      <c r="K68" s="51"/>
      <c r="L68" s="51"/>
      <c r="M68" s="51"/>
      <c r="N68" s="51"/>
      <c r="O68" s="51"/>
      <c r="P68" s="43"/>
      <c r="Q68" s="43"/>
      <c r="R68" s="43"/>
      <c r="S68" s="43"/>
      <c r="T68" s="43"/>
      <c r="U68" s="43"/>
      <c r="V68" s="79" t="s">
        <v>80</v>
      </c>
      <c r="W68" s="31"/>
      <c r="X68" s="31">
        <f>-C54</f>
        <v>0</v>
      </c>
      <c r="Y68" s="31">
        <f>-D54</f>
        <v>-529540</v>
      </c>
      <c r="Z68" s="31">
        <f>-E54</f>
        <v>-700669</v>
      </c>
      <c r="AA68" s="31">
        <f>-F54</f>
        <v>-724265</v>
      </c>
      <c r="AB68" s="31">
        <f>-G54</f>
        <v>-625960</v>
      </c>
      <c r="AC68" s="32">
        <f t="shared" ref="AC68:AC76" si="63">AB68-Y68</f>
        <v>-96420</v>
      </c>
      <c r="AD68" s="33">
        <f t="shared" ref="AD68:AD76" si="64">AB68/Y68-1</f>
        <v>0.18208256222381691</v>
      </c>
      <c r="AG68" s="80"/>
    </row>
    <row r="69" spans="1:33" x14ac:dyDescent="0.2">
      <c r="A69" s="47"/>
      <c r="B69" s="83"/>
      <c r="C69" s="84"/>
      <c r="D69" s="84"/>
      <c r="E69" s="84"/>
      <c r="F69" s="84"/>
      <c r="G69" s="84"/>
      <c r="J69" s="51"/>
      <c r="K69" s="51"/>
      <c r="L69" s="51"/>
      <c r="M69" s="51"/>
      <c r="N69" s="51"/>
      <c r="O69" s="51"/>
      <c r="P69" s="43"/>
      <c r="Q69" s="43"/>
      <c r="R69" s="43"/>
      <c r="S69" s="43"/>
      <c r="T69" s="43"/>
      <c r="U69" s="43"/>
      <c r="V69" s="79" t="s">
        <v>81</v>
      </c>
      <c r="W69" s="31"/>
      <c r="X69" s="31">
        <f>SUM(X67:X68)</f>
        <v>0</v>
      </c>
      <c r="Y69" s="31">
        <f t="shared" ref="Y69:AB69" si="65">SUM(Y67:Y68)</f>
        <v>839533</v>
      </c>
      <c r="Z69" s="31">
        <f t="shared" si="65"/>
        <v>889813</v>
      </c>
      <c r="AA69" s="31">
        <f t="shared" si="65"/>
        <v>512376</v>
      </c>
      <c r="AB69" s="31">
        <f t="shared" si="65"/>
        <v>439217</v>
      </c>
      <c r="AC69" s="32">
        <f t="shared" si="63"/>
        <v>-400316</v>
      </c>
      <c r="AD69" s="33">
        <f t="shared" si="64"/>
        <v>-0.4768317624202979</v>
      </c>
      <c r="AG69" s="80"/>
    </row>
    <row r="70" spans="1:33" x14ac:dyDescent="0.2">
      <c r="B70" s="86" t="s">
        <v>93</v>
      </c>
      <c r="C70" s="82"/>
      <c r="D70" s="82"/>
      <c r="E70" s="82"/>
      <c r="F70" s="82"/>
      <c r="G70" s="82"/>
      <c r="J70" s="51"/>
      <c r="K70" s="51"/>
      <c r="L70" s="51"/>
      <c r="M70" s="51"/>
      <c r="N70" s="51"/>
      <c r="O70" s="51"/>
      <c r="P70" s="43"/>
      <c r="Q70" s="43"/>
      <c r="R70" s="43"/>
      <c r="S70" s="43"/>
      <c r="T70" s="43"/>
      <c r="U70" s="43"/>
      <c r="V70" s="79" t="s">
        <v>157</v>
      </c>
      <c r="W70" s="31"/>
      <c r="X70" s="31">
        <f>-C56</f>
        <v>0</v>
      </c>
      <c r="Y70" s="31">
        <f>-D56</f>
        <v>-45614</v>
      </c>
      <c r="Z70" s="31">
        <f>-E56</f>
        <v>-291344</v>
      </c>
      <c r="AA70" s="31">
        <f>-F56</f>
        <v>-21870</v>
      </c>
      <c r="AB70" s="31">
        <f>-G56</f>
        <v>96081</v>
      </c>
      <c r="AC70" s="32">
        <f t="shared" si="63"/>
        <v>141695</v>
      </c>
      <c r="AD70" s="33">
        <f t="shared" si="64"/>
        <v>-3.1063927741482877</v>
      </c>
    </row>
    <row r="71" spans="1:33" x14ac:dyDescent="0.2">
      <c r="A71" s="75">
        <v>1</v>
      </c>
      <c r="B71" s="87" t="s">
        <v>94</v>
      </c>
      <c r="C71" s="88">
        <f t="shared" ref="C71:G71" si="66">(C66/C67)*100</f>
        <v>0</v>
      </c>
      <c r="D71" s="88">
        <f t="shared" ref="D71" si="67">(D66/D67)*100</f>
        <v>1.9469364197069505</v>
      </c>
      <c r="E71" s="88">
        <f t="shared" si="66"/>
        <v>-3.8378917826842538</v>
      </c>
      <c r="F71" s="88">
        <f t="shared" si="66"/>
        <v>-9.8415327811797884</v>
      </c>
      <c r="G71" s="88">
        <f t="shared" si="66"/>
        <v>-0.23339895631739552</v>
      </c>
      <c r="J71" s="51"/>
      <c r="K71" s="51"/>
      <c r="L71" s="51"/>
      <c r="M71" s="51"/>
      <c r="N71" s="51"/>
      <c r="O71" s="51"/>
      <c r="P71" s="43"/>
      <c r="Q71" s="43"/>
      <c r="R71" s="43"/>
      <c r="S71" s="43"/>
      <c r="T71" s="43"/>
      <c r="U71" s="43"/>
      <c r="V71" s="79" t="s">
        <v>156</v>
      </c>
      <c r="W71" s="31"/>
      <c r="X71" s="31">
        <f>X69+X70</f>
        <v>0</v>
      </c>
      <c r="Y71" s="31">
        <f t="shared" ref="Y71:AB71" si="68">Y69+Y70</f>
        <v>793919</v>
      </c>
      <c r="Z71" s="31">
        <f t="shared" si="68"/>
        <v>598469</v>
      </c>
      <c r="AA71" s="31">
        <f t="shared" si="68"/>
        <v>490506</v>
      </c>
      <c r="AB71" s="31">
        <f t="shared" si="68"/>
        <v>535298</v>
      </c>
      <c r="AC71" s="32">
        <f t="shared" si="63"/>
        <v>-258621</v>
      </c>
      <c r="AD71" s="33">
        <f t="shared" si="64"/>
        <v>-0.3257523752423106</v>
      </c>
    </row>
    <row r="72" spans="1:33" x14ac:dyDescent="0.2">
      <c r="A72" s="11">
        <v>2</v>
      </c>
      <c r="B72" s="11" t="s">
        <v>95</v>
      </c>
      <c r="C72" s="89">
        <f t="shared" ref="C72:G72" si="69">C22/(C41+C42)</f>
        <v>9.1514951048951048</v>
      </c>
      <c r="D72" s="89">
        <f t="shared" ref="D72" si="70">D22/(D41+D42)</f>
        <v>11.00224055944056</v>
      </c>
      <c r="E72" s="89">
        <f t="shared" si="69"/>
        <v>11.452777622377623</v>
      </c>
      <c r="F72" s="89">
        <f t="shared" si="69"/>
        <v>8.8723670886075947</v>
      </c>
      <c r="G72" s="89">
        <f t="shared" si="69"/>
        <v>9.1523848101265823</v>
      </c>
      <c r="J72" s="51"/>
      <c r="K72" s="51"/>
      <c r="L72" s="51"/>
      <c r="M72" s="51"/>
      <c r="N72" s="51"/>
      <c r="O72" s="51"/>
      <c r="P72" s="43"/>
      <c r="Q72" s="43"/>
      <c r="R72" s="43"/>
      <c r="S72" s="43"/>
      <c r="T72" s="43"/>
      <c r="U72" s="43"/>
      <c r="V72" s="79" t="s">
        <v>84</v>
      </c>
      <c r="W72" s="31"/>
      <c r="X72" s="31">
        <f>C58</f>
        <v>0</v>
      </c>
      <c r="Y72" s="31">
        <f>D58</f>
        <v>3094</v>
      </c>
      <c r="Z72" s="31">
        <f>E58</f>
        <v>37984</v>
      </c>
      <c r="AA72" s="31">
        <f>F58</f>
        <v>-19845</v>
      </c>
      <c r="AB72" s="31">
        <f>G58</f>
        <v>48031</v>
      </c>
      <c r="AC72" s="32">
        <f t="shared" si="63"/>
        <v>44937</v>
      </c>
      <c r="AD72" s="33">
        <f t="shared" si="64"/>
        <v>14.523917259211377</v>
      </c>
    </row>
    <row r="73" spans="1:33" x14ac:dyDescent="0.2">
      <c r="A73" s="75">
        <v>3</v>
      </c>
      <c r="B73" s="87" t="s">
        <v>96</v>
      </c>
      <c r="C73" s="88">
        <f t="shared" ref="C73:G73" si="71">(C66/C68)*100</f>
        <v>0</v>
      </c>
      <c r="D73" s="88">
        <f t="shared" ref="D73" si="72">(D66/D68)*100</f>
        <v>14.88709133089807</v>
      </c>
      <c r="E73" s="88">
        <f t="shared" si="71"/>
        <v>-30.642530310883298</v>
      </c>
      <c r="F73" s="88">
        <f t="shared" si="71"/>
        <v>-78.121877425503939</v>
      </c>
      <c r="G73" s="88">
        <f t="shared" si="71"/>
        <v>-1.8589976850095125</v>
      </c>
      <c r="J73" s="51"/>
      <c r="K73" s="51"/>
      <c r="L73" s="51"/>
      <c r="M73" s="51"/>
      <c r="N73" s="51"/>
      <c r="O73" s="51"/>
      <c r="P73" s="43"/>
      <c r="Q73" s="43"/>
      <c r="R73" s="43"/>
      <c r="S73" s="43"/>
      <c r="T73" s="43"/>
      <c r="U73" s="43"/>
      <c r="V73" s="79" t="s">
        <v>85</v>
      </c>
      <c r="W73" s="31"/>
      <c r="X73" s="31">
        <f>-C59</f>
        <v>0</v>
      </c>
      <c r="Y73" s="31">
        <f>-D59</f>
        <v>-630828</v>
      </c>
      <c r="Z73" s="31">
        <f>-E59</f>
        <v>-657333</v>
      </c>
      <c r="AA73" s="31">
        <f>-F59</f>
        <v>-595774</v>
      </c>
      <c r="AB73" s="31">
        <f>-G59</f>
        <v>-581983</v>
      </c>
      <c r="AC73" s="32">
        <f t="shared" si="63"/>
        <v>48845</v>
      </c>
      <c r="AD73" s="33">
        <f t="shared" si="64"/>
        <v>-7.7429980913973351E-2</v>
      </c>
    </row>
    <row r="74" spans="1:33" x14ac:dyDescent="0.2">
      <c r="A74" s="90">
        <v>4</v>
      </c>
      <c r="B74" s="91" t="s">
        <v>97</v>
      </c>
      <c r="C74" s="92">
        <f t="shared" ref="C74:F74" si="73">(C50)/C22</f>
        <v>0.13440946406556062</v>
      </c>
      <c r="D74" s="92">
        <f t="shared" ref="D74" si="74">(D50)/D22</f>
        <v>0.12776138922497923</v>
      </c>
      <c r="E74" s="92">
        <f t="shared" si="73"/>
        <v>0.11551074549234461</v>
      </c>
      <c r="F74" s="92">
        <f t="shared" si="73"/>
        <v>0.12832846114447216</v>
      </c>
      <c r="G74" s="92">
        <f>(G50)/G22</f>
        <v>0.12380780882453822</v>
      </c>
      <c r="J74" s="51"/>
      <c r="K74" s="51"/>
      <c r="L74" s="51"/>
      <c r="M74" s="51"/>
      <c r="N74" s="51"/>
      <c r="O74" s="51"/>
      <c r="P74" s="43"/>
      <c r="Q74" s="43"/>
      <c r="R74" s="43"/>
      <c r="S74" s="43"/>
      <c r="T74" s="43"/>
      <c r="U74" s="43"/>
      <c r="V74" s="79" t="s">
        <v>155</v>
      </c>
      <c r="W74" s="31"/>
      <c r="X74" s="31">
        <f>X71+X72+X73</f>
        <v>0</v>
      </c>
      <c r="Y74" s="31">
        <f t="shared" ref="Y74:AB74" si="75">Y71+Y72+Y73</f>
        <v>166185</v>
      </c>
      <c r="Z74" s="31">
        <f t="shared" si="75"/>
        <v>-20880</v>
      </c>
      <c r="AA74" s="31">
        <f t="shared" si="75"/>
        <v>-125113</v>
      </c>
      <c r="AB74" s="31">
        <f t="shared" si="75"/>
        <v>1346</v>
      </c>
      <c r="AC74" s="32">
        <f t="shared" si="63"/>
        <v>-164839</v>
      </c>
      <c r="AD74" s="33">
        <f t="shared" si="64"/>
        <v>-0.9919005927129404</v>
      </c>
    </row>
    <row r="75" spans="1:33" x14ac:dyDescent="0.2">
      <c r="A75" s="75">
        <v>5</v>
      </c>
      <c r="B75" s="75" t="s">
        <v>98</v>
      </c>
      <c r="C75" s="93">
        <f t="shared" ref="C75:F75" si="76">(C4+C5)/C24</f>
        <v>5.1428399193941932</v>
      </c>
      <c r="D75" s="93">
        <f t="shared" ref="D75" si="77">(D4+D5)/D24</f>
        <v>1.0297843209155311</v>
      </c>
      <c r="E75" s="93">
        <f t="shared" si="76"/>
        <v>0.7525807066027429</v>
      </c>
      <c r="F75" s="93">
        <f t="shared" si="76"/>
        <v>0.53588115824695171</v>
      </c>
      <c r="G75" s="93">
        <f>(G4+G5)/G24</f>
        <v>0.36062694264744166</v>
      </c>
      <c r="J75" s="51"/>
      <c r="K75" s="51"/>
      <c r="L75" s="51"/>
      <c r="M75" s="51"/>
      <c r="N75" s="51"/>
      <c r="O75" s="51"/>
      <c r="P75" s="43"/>
      <c r="Q75" s="43"/>
      <c r="R75" s="43"/>
      <c r="S75" s="43"/>
      <c r="T75" s="43"/>
      <c r="U75" s="43"/>
      <c r="V75" s="79" t="s">
        <v>154</v>
      </c>
      <c r="W75" s="31"/>
      <c r="X75" s="31">
        <f>-C61</f>
        <v>0</v>
      </c>
      <c r="Y75" s="31">
        <f>-D61</f>
        <v>-25909</v>
      </c>
      <c r="Z75" s="31">
        <f>-E61</f>
        <v>-3212</v>
      </c>
      <c r="AA75" s="31">
        <f>-F61</f>
        <v>3702</v>
      </c>
      <c r="AB75" s="31">
        <f>-G61</f>
        <v>-5645</v>
      </c>
      <c r="AC75" s="32">
        <f t="shared" si="63"/>
        <v>20264</v>
      </c>
      <c r="AD75" s="33">
        <f t="shared" si="64"/>
        <v>-0.78212204253348261</v>
      </c>
    </row>
    <row r="76" spans="1:33" ht="15" x14ac:dyDescent="0.25">
      <c r="A76" s="94"/>
      <c r="B76" s="94"/>
      <c r="C76" s="95"/>
      <c r="D76" s="95"/>
      <c r="E76" s="95"/>
      <c r="F76" s="95"/>
      <c r="G76" s="95"/>
      <c r="J76" s="51"/>
      <c r="K76" s="51"/>
      <c r="L76" s="51"/>
      <c r="M76" s="51"/>
      <c r="N76" s="51"/>
      <c r="O76" s="51"/>
      <c r="P76" s="43"/>
      <c r="Q76" s="43"/>
      <c r="R76" s="43"/>
      <c r="S76" s="43"/>
      <c r="T76" s="43"/>
      <c r="U76" s="43"/>
      <c r="V76" s="160" t="s">
        <v>39</v>
      </c>
      <c r="W76" s="45"/>
      <c r="X76" s="45">
        <f>X74+X75</f>
        <v>0</v>
      </c>
      <c r="Y76" s="45">
        <f t="shared" ref="Y76:AB76" si="78">Y74+Y75</f>
        <v>140276</v>
      </c>
      <c r="Z76" s="45">
        <f t="shared" si="78"/>
        <v>-24092</v>
      </c>
      <c r="AA76" s="45">
        <f t="shared" si="78"/>
        <v>-121411</v>
      </c>
      <c r="AB76" s="45">
        <f t="shared" si="78"/>
        <v>-4299</v>
      </c>
      <c r="AC76" s="161">
        <f t="shared" si="63"/>
        <v>-144575</v>
      </c>
      <c r="AD76" s="162">
        <f t="shared" si="64"/>
        <v>-1.0306467250278024</v>
      </c>
      <c r="AE76"/>
    </row>
    <row r="77" spans="1:33" ht="15" x14ac:dyDescent="0.25">
      <c r="A77" s="11"/>
      <c r="B77" s="11" t="s">
        <v>100</v>
      </c>
      <c r="C77" s="20">
        <f t="shared" ref="C77:G77" si="79">C53+C58</f>
        <v>0</v>
      </c>
      <c r="D77" s="20">
        <f t="shared" ref="D77" si="80">D53+D58</f>
        <v>1372167</v>
      </c>
      <c r="E77" s="20">
        <f t="shared" si="79"/>
        <v>1628466</v>
      </c>
      <c r="F77" s="20">
        <f t="shared" si="79"/>
        <v>1216796</v>
      </c>
      <c r="G77" s="20">
        <f t="shared" si="79"/>
        <v>1113208</v>
      </c>
      <c r="M77" s="51"/>
      <c r="N77" s="51"/>
      <c r="O77" s="51"/>
      <c r="P77" s="43"/>
      <c r="Q77" s="43"/>
      <c r="R77" s="43"/>
      <c r="S77" s="43"/>
      <c r="T77" s="43"/>
      <c r="U77" s="43"/>
      <c r="V77"/>
      <c r="W77"/>
      <c r="X77" s="147">
        <f>X76-C64</f>
        <v>0</v>
      </c>
      <c r="Y77" s="147">
        <f>Y76-D64</f>
        <v>0</v>
      </c>
      <c r="Z77" s="147">
        <f>Z76-E64</f>
        <v>0</v>
      </c>
      <c r="AA77" s="147">
        <f>AA76-F64</f>
        <v>0</v>
      </c>
      <c r="AB77" s="147">
        <f>AB76-G64</f>
        <v>0</v>
      </c>
      <c r="AC77"/>
      <c r="AD77"/>
      <c r="AE77"/>
    </row>
    <row r="78" spans="1:33" ht="15" x14ac:dyDescent="0.25">
      <c r="A78" s="11"/>
      <c r="B78" s="11" t="s">
        <v>101</v>
      </c>
      <c r="C78" s="20">
        <f>C77/12*12</f>
        <v>0</v>
      </c>
      <c r="D78" s="20">
        <f>D77/12*12</f>
        <v>1372167</v>
      </c>
      <c r="E78" s="20">
        <f>E77/1*12</f>
        <v>19541592</v>
      </c>
      <c r="F78" s="20">
        <f>F77/2*12</f>
        <v>7300776</v>
      </c>
      <c r="G78" s="20">
        <f>G77/3*12</f>
        <v>4452832</v>
      </c>
      <c r="M78" s="51"/>
      <c r="N78" s="51"/>
      <c r="O78" s="51"/>
      <c r="P78" s="43"/>
      <c r="Q78" s="43"/>
      <c r="R78" s="43"/>
      <c r="S78" s="43"/>
      <c r="T78" s="43"/>
      <c r="U78" s="43"/>
      <c r="V78"/>
      <c r="W78"/>
      <c r="X78"/>
      <c r="Z78"/>
      <c r="AA78"/>
      <c r="AB78"/>
      <c r="AC78"/>
      <c r="AD78"/>
    </row>
    <row r="79" spans="1:33" x14ac:dyDescent="0.2">
      <c r="A79" s="11"/>
      <c r="B79" s="11" t="s">
        <v>102</v>
      </c>
      <c r="C79" s="20">
        <f t="shared" ref="C79:G79" si="81">C54+C59+C61</f>
        <v>0</v>
      </c>
      <c r="D79" s="20">
        <f t="shared" ref="D79" si="82">D54+D59+D61</f>
        <v>1186277</v>
      </c>
      <c r="E79" s="20">
        <f t="shared" si="81"/>
        <v>1361214</v>
      </c>
      <c r="F79" s="20">
        <f t="shared" si="81"/>
        <v>1316337</v>
      </c>
      <c r="G79" s="20">
        <f t="shared" si="81"/>
        <v>1213588</v>
      </c>
      <c r="M79" s="51"/>
      <c r="N79" s="51"/>
      <c r="O79" s="51"/>
      <c r="P79" s="43"/>
      <c r="Q79" s="43"/>
      <c r="R79" s="43"/>
      <c r="S79" s="43"/>
      <c r="T79" s="43"/>
      <c r="U79" s="43"/>
      <c r="AE79" s="3"/>
    </row>
    <row r="80" spans="1:33" x14ac:dyDescent="0.2">
      <c r="A80" s="11"/>
      <c r="B80" s="11" t="s">
        <v>103</v>
      </c>
      <c r="C80" s="20">
        <f>C79/12*12</f>
        <v>0</v>
      </c>
      <c r="D80" s="20">
        <f>D79/12*12</f>
        <v>1186277</v>
      </c>
      <c r="E80" s="20">
        <f>E79/1*12</f>
        <v>16334568</v>
      </c>
      <c r="F80" s="20">
        <f>F79/2*12</f>
        <v>7898022</v>
      </c>
      <c r="G80" s="20">
        <f>G79/3*12</f>
        <v>4854352</v>
      </c>
      <c r="M80" s="51"/>
      <c r="N80" s="51"/>
      <c r="O80" s="51"/>
      <c r="P80" s="43"/>
      <c r="Q80" s="43"/>
      <c r="R80" s="43"/>
      <c r="S80" s="43"/>
      <c r="T80" s="43"/>
      <c r="U80" s="43"/>
      <c r="V80" s="96" t="s">
        <v>99</v>
      </c>
      <c r="W80" s="97"/>
      <c r="X80" s="97"/>
      <c r="Y80" s="97">
        <f t="shared" ref="X80:Y80" si="83">Y67+Y72</f>
        <v>1372167</v>
      </c>
      <c r="Z80" s="97">
        <f t="shared" ref="Z80:AA80" si="84">Z67+Z72</f>
        <v>1628466</v>
      </c>
      <c r="AA80" s="97">
        <f t="shared" si="84"/>
        <v>1216796</v>
      </c>
      <c r="AB80" s="97">
        <f>AB67+AB72</f>
        <v>1113208</v>
      </c>
      <c r="AC80" s="98">
        <f t="shared" ref="AC80:AC88" si="85">AB80-Y80</f>
        <v>-258959</v>
      </c>
      <c r="AD80" s="99">
        <f t="shared" ref="AD80:AD88" si="86">AB80/Y80-1</f>
        <v>-0.18872265547852407</v>
      </c>
      <c r="AE80" s="3"/>
    </row>
    <row r="81" spans="1:31" x14ac:dyDescent="0.2">
      <c r="A81" s="11"/>
      <c r="B81" s="11" t="s">
        <v>9</v>
      </c>
      <c r="C81" s="20">
        <f>C56</f>
        <v>0</v>
      </c>
      <c r="D81" s="20">
        <f>D56</f>
        <v>45614</v>
      </c>
      <c r="E81" s="20">
        <f t="shared" ref="E81:G81" si="87">E56</f>
        <v>291344</v>
      </c>
      <c r="F81" s="20">
        <f t="shared" si="87"/>
        <v>21870</v>
      </c>
      <c r="G81" s="20">
        <f t="shared" si="87"/>
        <v>-96081</v>
      </c>
      <c r="M81" s="51"/>
      <c r="N81" s="51"/>
      <c r="O81" s="51"/>
      <c r="P81" s="43"/>
      <c r="Q81" s="43"/>
      <c r="R81" s="43"/>
      <c r="S81" s="43"/>
      <c r="T81" s="43"/>
      <c r="U81" s="43"/>
      <c r="V81" s="151" t="str">
        <f>V67</f>
        <v>Процентные доходы</v>
      </c>
      <c r="W81" s="97"/>
      <c r="X81" s="97"/>
      <c r="Y81" s="97">
        <f t="shared" ref="X81:Y81" si="88">Y67</f>
        <v>1369073</v>
      </c>
      <c r="Z81" s="97">
        <f t="shared" ref="Z81:AA81" si="89">Z67</f>
        <v>1590482</v>
      </c>
      <c r="AA81" s="97">
        <f t="shared" si="89"/>
        <v>1236641</v>
      </c>
      <c r="AB81" s="97">
        <f>AB67</f>
        <v>1065177</v>
      </c>
      <c r="AC81" s="98">
        <f t="shared" si="85"/>
        <v>-303896</v>
      </c>
      <c r="AD81" s="99">
        <f t="shared" si="86"/>
        <v>-0.2219720935260574</v>
      </c>
      <c r="AE81" s="3"/>
    </row>
    <row r="82" spans="1:31" x14ac:dyDescent="0.2">
      <c r="A82" s="11"/>
      <c r="B82" s="11" t="s">
        <v>105</v>
      </c>
      <c r="C82" s="20">
        <f t="shared" ref="C82:G82" si="90">C77-C79-C81</f>
        <v>0</v>
      </c>
      <c r="D82" s="20">
        <f t="shared" ref="D82" si="91">D77-D79-D81</f>
        <v>140276</v>
      </c>
      <c r="E82" s="20">
        <f t="shared" si="90"/>
        <v>-24092</v>
      </c>
      <c r="F82" s="20">
        <f t="shared" si="90"/>
        <v>-121411</v>
      </c>
      <c r="G82" s="20">
        <f t="shared" si="90"/>
        <v>-4299</v>
      </c>
      <c r="M82" s="51"/>
      <c r="N82" s="51"/>
      <c r="O82" s="51"/>
      <c r="P82" s="43"/>
      <c r="Q82" s="43"/>
      <c r="R82" s="43"/>
      <c r="S82" s="43"/>
      <c r="T82" s="43"/>
      <c r="U82" s="43"/>
      <c r="V82" s="151" t="str">
        <f>V72</f>
        <v>Непроцентные доходы</v>
      </c>
      <c r="W82" s="97"/>
      <c r="X82" s="97"/>
      <c r="Y82" s="97">
        <f t="shared" ref="X82:Y82" si="92">Y72</f>
        <v>3094</v>
      </c>
      <c r="Z82" s="97">
        <f t="shared" ref="Z82:AA82" si="93">Z72</f>
        <v>37984</v>
      </c>
      <c r="AA82" s="97">
        <f t="shared" si="93"/>
        <v>-19845</v>
      </c>
      <c r="AB82" s="97">
        <f>AB72</f>
        <v>48031</v>
      </c>
      <c r="AC82" s="98">
        <f t="shared" si="85"/>
        <v>44937</v>
      </c>
      <c r="AD82" s="99">
        <f t="shared" si="86"/>
        <v>14.523917259211377</v>
      </c>
      <c r="AE82" s="3"/>
    </row>
    <row r="83" spans="1:31" x14ac:dyDescent="0.2">
      <c r="A83" s="11"/>
      <c r="B83" s="11"/>
      <c r="C83" s="89"/>
      <c r="D83" s="89"/>
      <c r="E83" s="89"/>
      <c r="F83" s="89"/>
      <c r="G83" s="89"/>
      <c r="J83" s="51"/>
      <c r="K83" s="51"/>
      <c r="L83" s="51"/>
      <c r="M83" s="51"/>
      <c r="N83" s="51"/>
      <c r="O83" s="51"/>
      <c r="P83" s="43"/>
      <c r="Q83" s="43"/>
      <c r="R83" s="43"/>
      <c r="S83" s="43"/>
      <c r="T83" s="43"/>
      <c r="U83" s="43"/>
      <c r="V83" s="65"/>
      <c r="W83" s="65"/>
      <c r="X83" s="65"/>
      <c r="Y83" s="65"/>
      <c r="Z83" s="65"/>
      <c r="AA83" s="65"/>
      <c r="AB83" s="65"/>
      <c r="AE83" s="3"/>
    </row>
    <row r="84" spans="1:31" x14ac:dyDescent="0.2">
      <c r="A84" s="11"/>
      <c r="B84" s="11" t="s">
        <v>106</v>
      </c>
      <c r="C84" s="100" t="e">
        <f>C78/#REF!-1</f>
        <v>#REF!</v>
      </c>
      <c r="D84" s="100" t="e">
        <f>D78/#REF!-1</f>
        <v>#REF!</v>
      </c>
      <c r="E84" s="100" t="e">
        <f>E78/C78-1</f>
        <v>#DIV/0!</v>
      </c>
      <c r="F84" s="100">
        <f t="shared" ref="F84:G84" si="94">F78/E78-1</f>
        <v>-0.62639809489421339</v>
      </c>
      <c r="G84" s="100">
        <f t="shared" si="94"/>
        <v>-0.39008784819586306</v>
      </c>
      <c r="J84" s="51"/>
      <c r="K84" s="51"/>
      <c r="L84" s="51"/>
      <c r="M84" s="51"/>
      <c r="N84" s="51"/>
      <c r="O84" s="51"/>
      <c r="P84" s="43"/>
      <c r="Q84" s="43"/>
      <c r="R84" s="43"/>
      <c r="S84" s="43"/>
      <c r="T84" s="43"/>
      <c r="U84" s="43"/>
      <c r="V84" s="96" t="s">
        <v>104</v>
      </c>
      <c r="W84" s="97"/>
      <c r="X84" s="97"/>
      <c r="Y84" s="97">
        <f>(Y68+Y73+Y70+Y75)*-1</f>
        <v>1231891</v>
      </c>
      <c r="Z84" s="97">
        <f>(Z68+Z73+Z70+Z75)*-1</f>
        <v>1652558</v>
      </c>
      <c r="AA84" s="97">
        <f>(AA68+AA73+AA70+AA75)*-1</f>
        <v>1338207</v>
      </c>
      <c r="AB84" s="97">
        <f>(AB68+AB73+AB70+AB75)*-1</f>
        <v>1117507</v>
      </c>
      <c r="AC84" s="98">
        <f t="shared" si="85"/>
        <v>-114384</v>
      </c>
      <c r="AD84" s="99">
        <f t="shared" si="86"/>
        <v>-9.2852370867227751E-2</v>
      </c>
      <c r="AE84" s="3"/>
    </row>
    <row r="85" spans="1:31" x14ac:dyDescent="0.2">
      <c r="A85" s="11"/>
      <c r="B85" s="11" t="s">
        <v>107</v>
      </c>
      <c r="C85" s="100" t="e">
        <f>C80/#REF!-1</f>
        <v>#REF!</v>
      </c>
      <c r="D85" s="100" t="e">
        <f>D80/#REF!-1</f>
        <v>#REF!</v>
      </c>
      <c r="E85" s="100" t="e">
        <f>E80/C80-1</f>
        <v>#DIV/0!</v>
      </c>
      <c r="F85" s="100">
        <f t="shared" ref="F85:G85" si="95">F80/E80-1</f>
        <v>-0.51648418250179617</v>
      </c>
      <c r="G85" s="100">
        <f t="shared" si="95"/>
        <v>-0.38537117268095733</v>
      </c>
      <c r="J85" s="51"/>
      <c r="K85" s="51"/>
      <c r="L85" s="51"/>
      <c r="M85" s="51"/>
      <c r="N85" s="51"/>
      <c r="O85" s="51"/>
      <c r="P85" s="43"/>
      <c r="Q85" s="43"/>
      <c r="R85" s="43"/>
      <c r="S85" s="43"/>
      <c r="T85" s="43"/>
      <c r="U85" s="43"/>
      <c r="V85" s="151" t="str">
        <f>V68</f>
        <v>Процентные расходы</v>
      </c>
      <c r="W85" s="97"/>
      <c r="X85" s="97"/>
      <c r="Y85" s="97">
        <f>(Y68)*-1</f>
        <v>529540</v>
      </c>
      <c r="Z85" s="97">
        <f>(Z68)*-1</f>
        <v>700669</v>
      </c>
      <c r="AA85" s="97">
        <f>(AA68)*-1</f>
        <v>724265</v>
      </c>
      <c r="AB85" s="97">
        <f>(AB68)*-1</f>
        <v>625960</v>
      </c>
      <c r="AC85" s="98">
        <f t="shared" si="85"/>
        <v>96420</v>
      </c>
      <c r="AD85" s="99">
        <f t="shared" si="86"/>
        <v>0.18208256222381691</v>
      </c>
      <c r="AE85" s="3"/>
    </row>
    <row r="86" spans="1:31" x14ac:dyDescent="0.2">
      <c r="A86" s="11"/>
      <c r="B86" s="11"/>
      <c r="C86" s="89"/>
      <c r="D86" s="89"/>
      <c r="E86" s="89"/>
      <c r="F86" s="89"/>
      <c r="G86" s="89"/>
      <c r="J86" s="51"/>
      <c r="K86" s="51"/>
      <c r="L86" s="51"/>
      <c r="M86" s="51"/>
      <c r="N86" s="51"/>
      <c r="O86" s="51"/>
      <c r="P86" s="43"/>
      <c r="Q86" s="43"/>
      <c r="R86" s="43"/>
      <c r="S86" s="43"/>
      <c r="T86" s="43"/>
      <c r="U86" s="43"/>
      <c r="V86" s="151" t="str">
        <f>V73</f>
        <v>Операционные расходы</v>
      </c>
      <c r="W86" s="97"/>
      <c r="X86" s="97"/>
      <c r="Y86" s="97">
        <f>(Y73)*-1</f>
        <v>630828</v>
      </c>
      <c r="Z86" s="97">
        <f>(Z73)*-1</f>
        <v>657333</v>
      </c>
      <c r="AA86" s="97">
        <f>(AA73)*-1</f>
        <v>595774</v>
      </c>
      <c r="AB86" s="97">
        <f>(AB73)*-1</f>
        <v>581983</v>
      </c>
      <c r="AC86" s="98">
        <f t="shared" si="85"/>
        <v>-48845</v>
      </c>
      <c r="AD86" s="99">
        <f t="shared" si="86"/>
        <v>-7.7429980913973351E-2</v>
      </c>
      <c r="AE86" s="3"/>
    </row>
    <row r="87" spans="1:31" x14ac:dyDescent="0.2">
      <c r="A87" s="11"/>
      <c r="B87" s="11" t="s">
        <v>108</v>
      </c>
      <c r="C87" s="100" t="e">
        <f t="shared" ref="C87:G87" si="96">(C79+C81)/C77</f>
        <v>#DIV/0!</v>
      </c>
      <c r="D87" s="100">
        <f t="shared" ref="D87" si="97">(D79+D81)/D77</f>
        <v>0.89777046088413437</v>
      </c>
      <c r="E87" s="100">
        <f t="shared" si="96"/>
        <v>1.0147942910690184</v>
      </c>
      <c r="F87" s="100">
        <f t="shared" si="96"/>
        <v>1.0997792563420656</v>
      </c>
      <c r="G87" s="100">
        <f t="shared" si="96"/>
        <v>1.0038618119884155</v>
      </c>
      <c r="J87" s="51"/>
      <c r="K87" s="51"/>
      <c r="L87" s="51"/>
      <c r="M87" s="51"/>
      <c r="N87" s="51"/>
      <c r="O87" s="51"/>
      <c r="P87" s="43"/>
      <c r="Q87" s="43"/>
      <c r="R87" s="43"/>
      <c r="S87" s="43"/>
      <c r="T87" s="43"/>
      <c r="U87" s="43"/>
      <c r="V87" s="151" t="str">
        <f>V70</f>
        <v>Рппу по ссудам</v>
      </c>
      <c r="W87" s="97"/>
      <c r="X87" s="97"/>
      <c r="Y87" s="97">
        <f>(Y70)*-1</f>
        <v>45614</v>
      </c>
      <c r="Z87" s="97">
        <f>(Z70)*-1</f>
        <v>291344</v>
      </c>
      <c r="AA87" s="97">
        <f>(AA70)*-1</f>
        <v>21870</v>
      </c>
      <c r="AB87" s="97">
        <f>(AB70)*-1</f>
        <v>-96081</v>
      </c>
      <c r="AC87" s="98">
        <f t="shared" si="85"/>
        <v>-141695</v>
      </c>
      <c r="AD87" s="99">
        <f t="shared" si="86"/>
        <v>-3.1063927741482877</v>
      </c>
      <c r="AE87" s="3"/>
    </row>
    <row r="88" spans="1:31" x14ac:dyDescent="0.2">
      <c r="A88" s="11"/>
      <c r="B88" s="11" t="s">
        <v>109</v>
      </c>
      <c r="C88" s="100" t="e">
        <f t="shared" ref="C88:G88" si="98">C59/(C55+C58)</f>
        <v>#DIV/0!</v>
      </c>
      <c r="D88" s="100">
        <f t="shared" ref="D88" si="99">D59/(D55+D58)</f>
        <v>0.74864441799277737</v>
      </c>
      <c r="E88" s="100">
        <f t="shared" si="98"/>
        <v>0.7084879558782794</v>
      </c>
      <c r="F88" s="100">
        <f t="shared" si="98"/>
        <v>1.209617262669761</v>
      </c>
      <c r="G88" s="100">
        <f t="shared" si="98"/>
        <v>1.1944287098151249</v>
      </c>
      <c r="J88" s="51"/>
      <c r="K88" s="51"/>
      <c r="L88" s="51"/>
      <c r="M88" s="51"/>
      <c r="N88" s="51"/>
      <c r="O88" s="51"/>
      <c r="P88" s="43"/>
      <c r="Q88" s="43"/>
      <c r="R88" s="43"/>
      <c r="S88" s="43"/>
      <c r="T88" s="43"/>
      <c r="U88" s="43"/>
      <c r="V88" s="151" t="str">
        <f>V75</f>
        <v>Расходы по налогу на прибыль</v>
      </c>
      <c r="W88" s="97"/>
      <c r="X88" s="97"/>
      <c r="Y88" s="97">
        <f>(Y75)*-1</f>
        <v>25909</v>
      </c>
      <c r="Z88" s="97">
        <f>(Z75)*-1</f>
        <v>3212</v>
      </c>
      <c r="AA88" s="97">
        <f>(AA75)*-1</f>
        <v>-3702</v>
      </c>
      <c r="AB88" s="97">
        <f>(AB75)*-1</f>
        <v>5645</v>
      </c>
      <c r="AC88" s="98">
        <f t="shared" si="85"/>
        <v>-20264</v>
      </c>
      <c r="AD88" s="99">
        <f t="shared" si="86"/>
        <v>-0.78212204253348261</v>
      </c>
      <c r="AE88" s="3"/>
    </row>
    <row r="89" spans="1:31" x14ac:dyDescent="0.2">
      <c r="A89" s="11"/>
      <c r="B89" s="11" t="s">
        <v>110</v>
      </c>
      <c r="C89" s="100" t="e">
        <f t="shared" ref="C89:G89" si="100">C59/(C58+C57)</f>
        <v>#DIV/0!</v>
      </c>
      <c r="D89" s="100">
        <f t="shared" ref="D89" si="101">D59/(D58+D57)</f>
        <v>0.79149022663369351</v>
      </c>
      <c r="E89" s="100">
        <f t="shared" si="100"/>
        <v>1.0328068215563444</v>
      </c>
      <c r="F89" s="100">
        <f t="shared" si="100"/>
        <v>1.2658240219606043</v>
      </c>
      <c r="G89" s="100">
        <f t="shared" si="100"/>
        <v>0.99769255428754611</v>
      </c>
      <c r="J89" s="51"/>
      <c r="K89" s="51"/>
      <c r="L89" s="51"/>
      <c r="M89" s="51"/>
      <c r="N89" s="51"/>
      <c r="O89" s="51"/>
      <c r="P89" s="43"/>
      <c r="Q89" s="43"/>
      <c r="R89" s="43"/>
      <c r="S89" s="43"/>
      <c r="T89" s="43"/>
      <c r="U89" s="43"/>
      <c r="V89" s="65"/>
      <c r="AE89" s="3"/>
    </row>
    <row r="90" spans="1:31" x14ac:dyDescent="0.2">
      <c r="A90" s="11"/>
      <c r="B90" s="11" t="s">
        <v>111</v>
      </c>
      <c r="C90" s="100" t="e">
        <f t="shared" ref="C90:G90" si="102">C59/C58</f>
        <v>#DIV/0!</v>
      </c>
      <c r="D90" s="100">
        <f t="shared" ref="D90" si="103">D59/D58</f>
        <v>203.88752424046541</v>
      </c>
      <c r="E90" s="100">
        <f t="shared" si="102"/>
        <v>17.305523378264532</v>
      </c>
      <c r="F90" s="100">
        <f t="shared" si="102"/>
        <v>-30.021365583270345</v>
      </c>
      <c r="G90" s="100">
        <f t="shared" si="102"/>
        <v>12.116820386833503</v>
      </c>
      <c r="J90" s="51"/>
      <c r="K90" s="51"/>
      <c r="L90" s="51"/>
      <c r="M90" s="51"/>
      <c r="N90" s="51"/>
      <c r="O90" s="51"/>
      <c r="P90" s="43"/>
      <c r="Q90" s="43"/>
      <c r="R90" s="43"/>
      <c r="S90" s="43"/>
      <c r="T90" s="43"/>
      <c r="U90" s="43"/>
      <c r="V90" s="65" t="s">
        <v>159</v>
      </c>
      <c r="W90" s="67"/>
      <c r="X90" s="150"/>
      <c r="Y90" s="150">
        <f t="shared" ref="X90:Y90" si="104">Y84/Y80</f>
        <v>0.89777046088413437</v>
      </c>
      <c r="Z90" s="150">
        <f t="shared" ref="Z90:AA90" si="105">Z84/Z80</f>
        <v>1.0147942910690184</v>
      </c>
      <c r="AA90" s="150">
        <f t="shared" si="105"/>
        <v>1.0997792563420656</v>
      </c>
      <c r="AB90" s="150">
        <f>AB84/AB80</f>
        <v>1.0038618119884155</v>
      </c>
      <c r="AC90" s="171">
        <f>AB90-Y90</f>
        <v>0.10609135110428114</v>
      </c>
      <c r="AD90" s="165"/>
      <c r="AE90" s="3"/>
    </row>
    <row r="91" spans="1:31" x14ac:dyDescent="0.2">
      <c r="A91" s="11"/>
      <c r="B91" s="11"/>
      <c r="C91" s="89"/>
      <c r="D91" s="89"/>
      <c r="E91" s="89"/>
      <c r="F91" s="89"/>
      <c r="G91" s="89"/>
      <c r="J91" s="51"/>
      <c r="K91" s="51"/>
      <c r="L91" s="51"/>
      <c r="M91" s="51"/>
      <c r="N91" s="51"/>
      <c r="O91" s="51"/>
      <c r="P91" s="43"/>
      <c r="Q91" s="43"/>
      <c r="R91" s="43"/>
      <c r="S91" s="43"/>
      <c r="T91" s="43"/>
      <c r="U91" s="43"/>
      <c r="V91" s="65" t="s">
        <v>160</v>
      </c>
      <c r="W91" s="65"/>
      <c r="X91" s="152"/>
      <c r="Y91" s="152">
        <f t="shared" ref="Y91" si="106">Y86/Y80</f>
        <v>0.45973121347474472</v>
      </c>
      <c r="Z91" s="152">
        <f t="shared" ref="Z91:AB91" si="107">Z86/Z80</f>
        <v>0.40365165744940329</v>
      </c>
      <c r="AA91" s="152">
        <f t="shared" si="107"/>
        <v>0.48962521244317042</v>
      </c>
      <c r="AB91" s="152">
        <f t="shared" si="107"/>
        <v>0.52279807547196933</v>
      </c>
      <c r="AC91" s="171">
        <f>AB91-Y91</f>
        <v>6.306686199722461E-2</v>
      </c>
      <c r="AD91" s="165"/>
      <c r="AE91" s="3"/>
    </row>
    <row r="92" spans="1:31" x14ac:dyDescent="0.2">
      <c r="A92" s="11"/>
      <c r="B92" s="11" t="s">
        <v>112</v>
      </c>
      <c r="C92" s="100" t="e">
        <f t="shared" ref="C92:G92" si="108">C53/C77</f>
        <v>#DIV/0!</v>
      </c>
      <c r="D92" s="100">
        <f t="shared" ref="D92" si="109">D53/D77</f>
        <v>0.99774517241706007</v>
      </c>
      <c r="E92" s="100">
        <f t="shared" si="108"/>
        <v>0.97667498124001362</v>
      </c>
      <c r="F92" s="100">
        <f t="shared" si="108"/>
        <v>1.0163092252111283</v>
      </c>
      <c r="G92" s="100">
        <f t="shared" si="108"/>
        <v>0.9568535260256843</v>
      </c>
      <c r="J92" s="51"/>
      <c r="K92" s="51"/>
      <c r="L92" s="51"/>
      <c r="M92" s="51"/>
      <c r="O92" s="51"/>
      <c r="P92" s="43"/>
      <c r="Q92" s="43"/>
      <c r="R92" s="43"/>
      <c r="S92" s="43"/>
      <c r="T92" s="43"/>
      <c r="U92" s="43"/>
      <c r="V92" s="65"/>
      <c r="W92" s="65"/>
      <c r="X92" s="65"/>
      <c r="Y92" s="82"/>
      <c r="Z92" s="82"/>
      <c r="AA92" s="82"/>
      <c r="AB92" s="82"/>
    </row>
    <row r="93" spans="1:31" x14ac:dyDescent="0.2">
      <c r="A93" s="11"/>
      <c r="B93" s="11" t="s">
        <v>113</v>
      </c>
      <c r="C93" s="100" t="e">
        <f t="shared" ref="C93:G93" si="110">C58/C77</f>
        <v>#DIV/0!</v>
      </c>
      <c r="D93" s="100">
        <f t="shared" ref="D93" si="111">D58/D77</f>
        <v>2.2548275829399776E-3</v>
      </c>
      <c r="E93" s="100">
        <f t="shared" si="110"/>
        <v>2.3325018759986393E-2</v>
      </c>
      <c r="F93" s="100">
        <f t="shared" si="110"/>
        <v>-1.630922521112824E-2</v>
      </c>
      <c r="G93" s="100">
        <f t="shared" si="110"/>
        <v>4.3146473974315674E-2</v>
      </c>
      <c r="J93" s="51"/>
      <c r="K93" s="51"/>
      <c r="L93" s="51"/>
      <c r="M93" s="51"/>
      <c r="N93" s="51"/>
      <c r="O93" s="51"/>
      <c r="P93" s="43"/>
      <c r="Q93" s="43"/>
      <c r="R93" s="43"/>
      <c r="S93" s="43"/>
      <c r="T93" s="43"/>
      <c r="U93" s="43"/>
      <c r="W93" s="65"/>
      <c r="X93" s="65"/>
      <c r="Y93" s="65"/>
      <c r="Z93" s="65"/>
      <c r="AA93" s="65"/>
    </row>
    <row r="94" spans="1:31" x14ac:dyDescent="0.2">
      <c r="A94" s="11"/>
      <c r="B94" s="11" t="s">
        <v>114</v>
      </c>
      <c r="C94" s="100" t="e">
        <f t="shared" ref="C94:G94" si="112">C54/C79</f>
        <v>#DIV/0!</v>
      </c>
      <c r="D94" s="100">
        <f t="shared" ref="D94" si="113">D54/D79</f>
        <v>0.44638815386288361</v>
      </c>
      <c r="E94" s="100">
        <f t="shared" si="112"/>
        <v>0.51473831447516705</v>
      </c>
      <c r="F94" s="100">
        <f t="shared" si="112"/>
        <v>0.55021244559713811</v>
      </c>
      <c r="G94" s="100">
        <f t="shared" si="112"/>
        <v>0.51579283908542273</v>
      </c>
      <c r="J94" s="51"/>
      <c r="K94" s="51"/>
      <c r="L94" s="51"/>
      <c r="M94" s="51"/>
      <c r="N94" s="51"/>
      <c r="O94" s="51"/>
      <c r="P94" s="43"/>
      <c r="Q94" s="43"/>
      <c r="R94" s="43"/>
      <c r="S94" s="43"/>
      <c r="T94" s="43"/>
      <c r="U94" s="43"/>
      <c r="V94" s="65" t="s">
        <v>79</v>
      </c>
      <c r="W94" s="65"/>
      <c r="X94" s="65"/>
      <c r="Y94" s="152">
        <f>Y81/Y80</f>
        <v>0.99774517241706007</v>
      </c>
      <c r="Z94" s="152">
        <f t="shared" ref="Z94:AB95" si="114">Z81/Z80</f>
        <v>0.97667498124001362</v>
      </c>
      <c r="AA94" s="152">
        <f t="shared" si="114"/>
        <v>1.0163092252111283</v>
      </c>
      <c r="AB94" s="152">
        <f t="shared" si="114"/>
        <v>0.9568535260256843</v>
      </c>
    </row>
    <row r="95" spans="1:31" x14ac:dyDescent="0.2">
      <c r="A95" s="11"/>
      <c r="B95" s="11" t="s">
        <v>115</v>
      </c>
      <c r="C95" s="100" t="e">
        <f t="shared" ref="C95:G95" si="115">C59/C79</f>
        <v>#DIV/0!</v>
      </c>
      <c r="D95" s="100">
        <f t="shared" ref="D95" si="116">D59/D79</f>
        <v>0.53177124735622461</v>
      </c>
      <c r="E95" s="100">
        <f t="shared" si="115"/>
        <v>0.48290202716104891</v>
      </c>
      <c r="F95" s="100">
        <f t="shared" si="115"/>
        <v>0.4525999041278943</v>
      </c>
      <c r="G95" s="100">
        <f t="shared" si="115"/>
        <v>0.47955566469015842</v>
      </c>
      <c r="J95" s="51"/>
      <c r="K95" s="51"/>
      <c r="L95" s="51"/>
      <c r="M95" s="51"/>
      <c r="N95" s="51"/>
      <c r="O95" s="51"/>
      <c r="P95" s="43"/>
      <c r="Q95" s="43"/>
      <c r="R95" s="43"/>
      <c r="S95" s="43"/>
      <c r="T95" s="43"/>
      <c r="U95" s="43"/>
      <c r="V95" s="65" t="s">
        <v>84</v>
      </c>
      <c r="W95" s="65"/>
      <c r="X95" s="65"/>
      <c r="Y95" s="152">
        <f>Y82/Y80</f>
        <v>2.2548275829399776E-3</v>
      </c>
      <c r="Z95" s="152">
        <f t="shared" ref="Z95:AB95" si="117">Z82/Z80</f>
        <v>2.3325018759986393E-2</v>
      </c>
      <c r="AA95" s="152">
        <f t="shared" si="117"/>
        <v>-1.630922521112824E-2</v>
      </c>
      <c r="AB95" s="152">
        <f t="shared" si="117"/>
        <v>4.3146473974315674E-2</v>
      </c>
    </row>
    <row r="96" spans="1:31" x14ac:dyDescent="0.2">
      <c r="A96" s="11"/>
      <c r="B96" s="11"/>
      <c r="C96" s="89"/>
      <c r="D96" s="89"/>
      <c r="E96" s="89"/>
      <c r="F96" s="89"/>
      <c r="G96" s="89"/>
      <c r="J96" s="51"/>
      <c r="K96" s="51"/>
      <c r="L96" s="51"/>
      <c r="M96" s="51"/>
      <c r="N96" s="51"/>
      <c r="O96" s="51"/>
      <c r="P96" s="43"/>
      <c r="Q96" s="43"/>
      <c r="R96" s="43"/>
      <c r="S96" s="43"/>
      <c r="T96" s="43"/>
      <c r="U96" s="43"/>
      <c r="V96" s="65" t="s">
        <v>80</v>
      </c>
      <c r="W96" s="65"/>
      <c r="X96" s="65"/>
      <c r="Y96" s="152">
        <f>Y85/Y84</f>
        <v>0.42985945996845498</v>
      </c>
      <c r="Z96" s="152">
        <f t="shared" ref="Z96:AB96" si="118">Z85/Z84</f>
        <v>0.4239905649302475</v>
      </c>
      <c r="AA96" s="152">
        <f t="shared" si="118"/>
        <v>0.54122045393575136</v>
      </c>
      <c r="AB96" s="152">
        <f t="shared" si="118"/>
        <v>0.56013966802892512</v>
      </c>
      <c r="AC96" s="171">
        <f>AB96-Y96</f>
        <v>0.13028020806047014</v>
      </c>
    </row>
    <row r="97" spans="1:28" x14ac:dyDescent="0.2">
      <c r="A97" s="11"/>
      <c r="B97" s="11"/>
      <c r="C97" s="89"/>
      <c r="D97" s="89"/>
      <c r="E97" s="89"/>
      <c r="F97" s="89"/>
      <c r="G97" s="89"/>
      <c r="J97" s="51"/>
      <c r="K97" s="51"/>
      <c r="L97" s="51"/>
      <c r="M97" s="51"/>
      <c r="N97" s="51"/>
      <c r="O97" s="51"/>
      <c r="P97" s="43"/>
      <c r="Q97" s="43"/>
      <c r="R97" s="43"/>
      <c r="S97" s="43"/>
      <c r="T97" s="43"/>
      <c r="U97" s="43"/>
      <c r="V97" s="65" t="s">
        <v>85</v>
      </c>
      <c r="W97" s="65"/>
      <c r="X97" s="65"/>
      <c r="Y97" s="152">
        <f>Y86/Y84</f>
        <v>0.5120810201551923</v>
      </c>
      <c r="Z97" s="152">
        <f t="shared" ref="Z97:AB97" si="119">Z86/Z84</f>
        <v>0.39776697701381736</v>
      </c>
      <c r="AA97" s="152">
        <f t="shared" si="119"/>
        <v>0.44520317110880453</v>
      </c>
      <c r="AB97" s="152">
        <f>AB86/AB84</f>
        <v>0.52078689439976666</v>
      </c>
    </row>
    <row r="98" spans="1:28" x14ac:dyDescent="0.2">
      <c r="A98" s="11"/>
      <c r="B98" s="11"/>
      <c r="C98" s="89"/>
      <c r="D98" s="89"/>
      <c r="E98" s="89"/>
      <c r="F98" s="89"/>
      <c r="G98" s="89"/>
      <c r="J98" s="51"/>
      <c r="K98" s="51"/>
      <c r="L98" s="51"/>
      <c r="M98" s="51"/>
      <c r="N98" s="51"/>
      <c r="O98" s="51"/>
      <c r="P98" s="43"/>
      <c r="Q98" s="43"/>
      <c r="R98" s="43"/>
      <c r="S98" s="43"/>
      <c r="T98" s="43"/>
      <c r="U98" s="43"/>
      <c r="V98" s="65"/>
      <c r="W98" s="65"/>
      <c r="X98" s="65"/>
      <c r="Y98" s="65"/>
      <c r="Z98" s="65"/>
      <c r="AA98" s="65"/>
    </row>
    <row r="99" spans="1:28" x14ac:dyDescent="0.2">
      <c r="A99" s="11"/>
      <c r="B99" s="11"/>
      <c r="C99" s="89"/>
      <c r="D99" s="89"/>
      <c r="E99" s="89"/>
      <c r="F99" s="89"/>
      <c r="G99" s="89"/>
      <c r="J99" s="51"/>
      <c r="K99" s="51"/>
      <c r="L99" s="51"/>
      <c r="M99" s="51"/>
      <c r="N99" s="51"/>
      <c r="O99" s="51"/>
      <c r="P99" s="43"/>
      <c r="Q99" s="43"/>
      <c r="R99" s="43"/>
      <c r="S99" s="43"/>
      <c r="T99" s="43"/>
      <c r="U99" s="43"/>
      <c r="V99" s="65"/>
      <c r="W99" s="65"/>
      <c r="X99" s="65"/>
      <c r="Y99" s="65"/>
      <c r="Z99" s="65"/>
      <c r="AA99" s="65"/>
    </row>
    <row r="100" spans="1:28" x14ac:dyDescent="0.2">
      <c r="A100" s="11"/>
      <c r="B100" s="11"/>
      <c r="C100" s="89"/>
      <c r="D100" s="89"/>
      <c r="E100" s="89"/>
      <c r="F100" s="89"/>
      <c r="G100" s="89"/>
      <c r="J100" s="51"/>
      <c r="K100" s="51"/>
      <c r="L100" s="51"/>
      <c r="M100" s="51"/>
      <c r="N100" s="51"/>
      <c r="O100" s="51"/>
      <c r="P100" s="43"/>
      <c r="Q100" s="43"/>
      <c r="R100" s="43"/>
      <c r="S100" s="43"/>
      <c r="T100" s="43"/>
      <c r="U100" s="43"/>
      <c r="V100" s="65"/>
      <c r="W100" s="65"/>
      <c r="X100" s="65"/>
      <c r="Y100" s="65"/>
      <c r="Z100" s="65"/>
      <c r="AA100" s="65"/>
    </row>
    <row r="101" spans="1:28" x14ac:dyDescent="0.2">
      <c r="A101" s="11"/>
      <c r="B101" s="11"/>
      <c r="C101" s="89"/>
      <c r="D101" s="89"/>
      <c r="E101" s="89"/>
      <c r="F101" s="89"/>
      <c r="G101" s="89"/>
      <c r="J101" s="51"/>
      <c r="K101" s="51"/>
      <c r="L101" s="51"/>
      <c r="M101" s="51"/>
      <c r="N101" s="51"/>
      <c r="O101" s="51"/>
      <c r="P101" s="43"/>
      <c r="Q101" s="43"/>
      <c r="R101" s="43"/>
      <c r="S101" s="43"/>
      <c r="T101" s="43"/>
      <c r="U101" s="43"/>
      <c r="V101" s="65"/>
      <c r="W101" s="65"/>
      <c r="X101" s="65"/>
      <c r="Y101" s="65"/>
      <c r="Z101" s="65"/>
      <c r="AA101" s="65"/>
    </row>
    <row r="102" spans="1:28" x14ac:dyDescent="0.2">
      <c r="A102" s="11"/>
      <c r="B102" s="11"/>
      <c r="C102" s="89"/>
      <c r="D102" s="89"/>
      <c r="E102" s="89"/>
      <c r="F102" s="89"/>
      <c r="G102" s="89"/>
      <c r="J102" s="51"/>
      <c r="K102" s="51"/>
      <c r="L102" s="51"/>
      <c r="M102" s="51"/>
      <c r="N102" s="51"/>
      <c r="O102" s="51"/>
      <c r="P102" s="43"/>
      <c r="Q102" s="43"/>
      <c r="R102" s="43"/>
      <c r="S102" s="43"/>
      <c r="T102" s="43"/>
      <c r="U102" s="43"/>
      <c r="V102" s="65"/>
      <c r="W102" s="65"/>
      <c r="X102" s="65"/>
      <c r="Y102" s="65"/>
      <c r="Z102" s="65"/>
      <c r="AA102" s="65"/>
    </row>
    <row r="103" spans="1:28" x14ac:dyDescent="0.2">
      <c r="A103" s="11"/>
      <c r="B103" s="11"/>
      <c r="C103" s="89"/>
      <c r="D103" s="89"/>
      <c r="E103" s="89"/>
      <c r="F103" s="89"/>
      <c r="G103" s="89"/>
      <c r="J103" s="51"/>
      <c r="K103" s="51"/>
      <c r="L103" s="51"/>
      <c r="M103" s="51"/>
      <c r="N103" s="51"/>
      <c r="O103" s="51"/>
      <c r="P103" s="43"/>
      <c r="Q103" s="43"/>
      <c r="R103" s="43"/>
      <c r="S103" s="43"/>
      <c r="T103" s="43"/>
      <c r="U103" s="43"/>
      <c r="V103" s="65"/>
      <c r="W103" s="65"/>
      <c r="X103" s="65"/>
      <c r="Y103" s="65"/>
      <c r="Z103" s="65"/>
      <c r="AA103" s="65"/>
    </row>
    <row r="104" spans="1:28" x14ac:dyDescent="0.2">
      <c r="A104" s="11"/>
      <c r="B104" s="11"/>
      <c r="C104" s="89"/>
      <c r="D104" s="89"/>
      <c r="E104" s="89"/>
      <c r="F104" s="89"/>
      <c r="G104" s="89"/>
      <c r="J104" s="51"/>
      <c r="K104" s="51"/>
      <c r="L104" s="51"/>
      <c r="M104" s="51"/>
      <c r="N104" s="51"/>
      <c r="O104" s="51"/>
      <c r="P104" s="43"/>
      <c r="Q104" s="43"/>
      <c r="R104" s="43"/>
      <c r="S104" s="43"/>
      <c r="T104" s="43"/>
      <c r="U104" s="43"/>
      <c r="V104" s="65"/>
      <c r="W104" s="65"/>
      <c r="X104" s="65"/>
      <c r="Y104" s="65"/>
      <c r="Z104" s="65"/>
      <c r="AA104" s="65"/>
    </row>
    <row r="105" spans="1:28" x14ac:dyDescent="0.2">
      <c r="A105" s="101">
        <v>6</v>
      </c>
      <c r="B105" s="101" t="s">
        <v>116</v>
      </c>
      <c r="C105" s="102">
        <f t="shared" ref="C105:G105" si="120">C53/(C5+C8+C10+C14+C19+C11+C12)*100</f>
        <v>0</v>
      </c>
      <c r="D105" s="102">
        <f t="shared" ref="D105" si="121">D53/(D5+D8+D10+D14+D19+D11+D12)*100</f>
        <v>20.232888972436854</v>
      </c>
      <c r="E105" s="102">
        <f t="shared" si="120"/>
        <v>23.873268061483703</v>
      </c>
      <c r="F105" s="102">
        <f t="shared" si="120"/>
        <v>21.170498349608422</v>
      </c>
      <c r="G105" s="102">
        <f t="shared" si="120"/>
        <v>16.957385768001334</v>
      </c>
      <c r="J105" s="51"/>
      <c r="K105" s="51"/>
      <c r="L105" s="51"/>
      <c r="M105" s="51"/>
      <c r="N105" s="51"/>
      <c r="O105" s="51"/>
      <c r="P105" s="43"/>
      <c r="Q105" s="43"/>
      <c r="R105" s="43"/>
      <c r="S105" s="43"/>
      <c r="T105" s="43"/>
      <c r="U105" s="43"/>
      <c r="V105" s="65"/>
      <c r="W105" s="65"/>
      <c r="X105" s="65"/>
      <c r="Y105" s="65"/>
      <c r="Z105" s="65"/>
      <c r="AA105" s="65"/>
    </row>
    <row r="106" spans="1:28" x14ac:dyDescent="0.2">
      <c r="A106" s="103">
        <v>7</v>
      </c>
      <c r="B106" s="103" t="s">
        <v>117</v>
      </c>
      <c r="C106" s="104">
        <f t="shared" ref="C106:G106" si="122">C54/(C24+C27+C30+C31+C38+C32)*100</f>
        <v>0</v>
      </c>
      <c r="D106" s="104">
        <f t="shared" ref="D106" si="123">D54/(D24+D27+D30+D31+D38+D32)*100</f>
        <v>7.8631187153629432</v>
      </c>
      <c r="E106" s="104">
        <f t="shared" si="122"/>
        <v>9.7567717317093514</v>
      </c>
      <c r="F106" s="104">
        <f t="shared" si="122"/>
        <v>12.041887776419404</v>
      </c>
      <c r="G106" s="104">
        <f t="shared" si="122"/>
        <v>10.031191627874778</v>
      </c>
      <c r="J106" s="51"/>
      <c r="K106" s="51"/>
      <c r="L106" s="51"/>
      <c r="M106" s="51"/>
      <c r="N106" s="51"/>
      <c r="O106" s="51"/>
      <c r="P106" s="43"/>
      <c r="Q106" s="43"/>
      <c r="R106" s="43"/>
      <c r="S106" s="43"/>
      <c r="T106" s="43"/>
      <c r="U106" s="43"/>
      <c r="V106" s="65"/>
      <c r="W106" s="65"/>
      <c r="X106" s="65"/>
      <c r="Y106" s="65"/>
      <c r="Z106" s="65"/>
      <c r="AA106" s="65"/>
    </row>
    <row r="107" spans="1:28" x14ac:dyDescent="0.2">
      <c r="A107" s="94"/>
      <c r="B107" s="94"/>
      <c r="C107" s="95"/>
      <c r="D107" s="95"/>
      <c r="E107" s="95"/>
      <c r="F107" s="95"/>
      <c r="G107" s="95"/>
      <c r="J107" s="51"/>
      <c r="K107" s="51"/>
      <c r="L107" s="51"/>
      <c r="M107" s="51"/>
      <c r="N107" s="51"/>
      <c r="O107" s="51"/>
      <c r="P107" s="43"/>
      <c r="Q107" s="43"/>
      <c r="R107" s="43"/>
      <c r="S107" s="43"/>
      <c r="T107" s="43"/>
      <c r="U107" s="43"/>
      <c r="V107" s="65"/>
      <c r="W107" s="65"/>
      <c r="X107" s="65"/>
      <c r="Y107" s="65"/>
      <c r="Z107" s="65"/>
      <c r="AA107" s="65"/>
    </row>
    <row r="108" spans="1:28" x14ac:dyDescent="0.2">
      <c r="A108" s="101">
        <v>8</v>
      </c>
      <c r="B108" s="105" t="s">
        <v>118</v>
      </c>
      <c r="C108" s="105">
        <f t="shared" ref="C108:G108" si="124">C15/C14*100</f>
        <v>3.4550583399660022</v>
      </c>
      <c r="D108" s="105">
        <f t="shared" ref="D108" si="125">D15/D14*100</f>
        <v>3.1368985672691778</v>
      </c>
      <c r="E108" s="105">
        <f t="shared" si="124"/>
        <v>8.5359997542066761</v>
      </c>
      <c r="F108" s="105">
        <f t="shared" si="124"/>
        <v>10.345160190246727</v>
      </c>
      <c r="G108" s="105">
        <f t="shared" si="124"/>
        <v>6.9563940891927025</v>
      </c>
      <c r="J108" s="51"/>
      <c r="K108" s="51"/>
      <c r="L108" s="51"/>
      <c r="M108" s="51"/>
      <c r="N108" s="51"/>
      <c r="O108" s="51"/>
      <c r="P108" s="43"/>
      <c r="Q108" s="43"/>
      <c r="R108" s="43"/>
      <c r="S108" s="43"/>
      <c r="T108" s="43"/>
      <c r="U108" s="43"/>
      <c r="V108" s="65"/>
      <c r="W108" s="65"/>
      <c r="X108" s="65"/>
      <c r="Y108" s="65"/>
      <c r="Z108" s="65"/>
      <c r="AA108" s="65"/>
    </row>
    <row r="109" spans="1:28" x14ac:dyDescent="0.2">
      <c r="A109" s="11">
        <v>9</v>
      </c>
      <c r="B109" s="11" t="s">
        <v>119</v>
      </c>
      <c r="C109" s="106">
        <f t="shared" ref="C109:G109" si="126">C15/C22*100</f>
        <v>2.2383747452936347</v>
      </c>
      <c r="D109" s="106">
        <f t="shared" ref="D109" si="127">D15/D22*100</f>
        <v>2.5457624524540581</v>
      </c>
      <c r="E109" s="106">
        <f t="shared" si="126"/>
        <v>6.6838032145620518</v>
      </c>
      <c r="F109" s="106">
        <f t="shared" si="126"/>
        <v>7.3143039760770536</v>
      </c>
      <c r="G109" s="106">
        <f t="shared" si="126"/>
        <v>5.4397940690286983</v>
      </c>
      <c r="J109" s="51"/>
      <c r="K109" s="51"/>
      <c r="L109" s="51"/>
      <c r="M109" s="51"/>
      <c r="N109" s="51"/>
      <c r="O109" s="51"/>
      <c r="P109" s="43"/>
      <c r="Q109" s="43"/>
      <c r="R109" s="43"/>
      <c r="S109" s="43"/>
      <c r="T109" s="43"/>
      <c r="U109" s="43"/>
      <c r="V109" s="65"/>
      <c r="W109" s="65"/>
      <c r="X109" s="65"/>
      <c r="Y109" s="65"/>
      <c r="Z109" s="65"/>
      <c r="AA109" s="65"/>
    </row>
    <row r="110" spans="1:28" x14ac:dyDescent="0.2">
      <c r="A110" s="75">
        <v>10</v>
      </c>
      <c r="B110" s="75" t="s">
        <v>120</v>
      </c>
      <c r="C110" s="93">
        <f t="shared" ref="C110:G110" si="128">C16/C22</f>
        <v>0.62547065182058215</v>
      </c>
      <c r="D110" s="93">
        <f t="shared" ref="D110" si="129">D16/D22</f>
        <v>0.78609633485970176</v>
      </c>
      <c r="E110" s="93">
        <f t="shared" si="128"/>
        <v>0.71617548788970609</v>
      </c>
      <c r="F110" s="93">
        <f t="shared" si="128"/>
        <v>0.63388361246766733</v>
      </c>
      <c r="G110" s="93">
        <f t="shared" si="128"/>
        <v>0.72758680590131863</v>
      </c>
      <c r="J110" s="51"/>
      <c r="K110" s="51"/>
      <c r="L110" s="51"/>
      <c r="M110" s="51"/>
      <c r="N110" s="51"/>
      <c r="O110" s="51"/>
      <c r="P110" s="43"/>
      <c r="Q110" s="43"/>
      <c r="R110" s="43"/>
      <c r="S110" s="43"/>
      <c r="T110" s="43"/>
      <c r="U110" s="43"/>
      <c r="V110" s="65"/>
      <c r="W110" s="65"/>
      <c r="X110" s="65"/>
      <c r="Y110" s="65"/>
      <c r="Z110" s="65"/>
      <c r="AA110" s="65"/>
    </row>
    <row r="111" spans="1:28" x14ac:dyDescent="0.2">
      <c r="A111" s="11">
        <v>11</v>
      </c>
      <c r="B111" s="11" t="s">
        <v>121</v>
      </c>
      <c r="C111" s="89">
        <f t="shared" ref="C111:G111" si="130">C20/C16*100</f>
        <v>0</v>
      </c>
      <c r="D111" s="89">
        <f t="shared" ref="D111" si="131">D20/D16*100</f>
        <v>0</v>
      </c>
      <c r="E111" s="89">
        <f t="shared" si="130"/>
        <v>0</v>
      </c>
      <c r="F111" s="89">
        <f t="shared" si="130"/>
        <v>0</v>
      </c>
      <c r="G111" s="89">
        <f t="shared" si="130"/>
        <v>0</v>
      </c>
      <c r="J111" s="51"/>
      <c r="K111" s="51"/>
      <c r="L111" s="51"/>
      <c r="M111" s="51"/>
      <c r="N111" s="51"/>
      <c r="O111" s="51"/>
      <c r="P111" s="43"/>
      <c r="Q111" s="43"/>
      <c r="R111" s="43"/>
      <c r="S111" s="43"/>
      <c r="T111" s="43"/>
      <c r="U111" s="43"/>
      <c r="V111" s="65"/>
      <c r="W111" s="65"/>
      <c r="X111" s="65"/>
      <c r="Y111" s="65"/>
      <c r="Z111" s="65"/>
      <c r="AA111" s="65"/>
    </row>
    <row r="112" spans="1:28" x14ac:dyDescent="0.2">
      <c r="A112" s="107">
        <v>12</v>
      </c>
      <c r="B112" s="107" t="s">
        <v>122</v>
      </c>
      <c r="C112" s="108">
        <f t="shared" ref="C112:G112" si="132">C20/C22*100</f>
        <v>0</v>
      </c>
      <c r="D112" s="108">
        <f t="shared" ref="D112" si="133">D20/D22*100</f>
        <v>0</v>
      </c>
      <c r="E112" s="108">
        <f t="shared" si="132"/>
        <v>0</v>
      </c>
      <c r="F112" s="108">
        <f t="shared" si="132"/>
        <v>0</v>
      </c>
      <c r="G112" s="108">
        <f t="shared" si="132"/>
        <v>0</v>
      </c>
      <c r="J112" s="51"/>
      <c r="K112" s="51"/>
      <c r="L112" s="51"/>
      <c r="M112" s="51"/>
      <c r="N112" s="51"/>
      <c r="O112" s="51"/>
      <c r="P112" s="43"/>
      <c r="Q112" s="43"/>
      <c r="R112" s="43"/>
      <c r="S112" s="43"/>
      <c r="T112" s="43"/>
      <c r="U112" s="43"/>
      <c r="V112" s="65"/>
      <c r="W112" s="65"/>
      <c r="X112" s="65"/>
      <c r="Y112" s="65"/>
      <c r="Z112" s="65"/>
      <c r="AA112" s="65"/>
    </row>
    <row r="113" spans="1:30" x14ac:dyDescent="0.2">
      <c r="A113" s="94"/>
      <c r="B113" s="94"/>
      <c r="C113" s="95"/>
      <c r="D113" s="95"/>
      <c r="E113" s="95"/>
      <c r="F113" s="95"/>
      <c r="G113" s="95"/>
      <c r="J113" s="51"/>
      <c r="K113" s="51"/>
      <c r="L113" s="51"/>
      <c r="M113" s="51"/>
      <c r="N113" s="51"/>
      <c r="O113" s="51"/>
      <c r="P113" s="43"/>
      <c r="Q113" s="43"/>
      <c r="R113" s="43"/>
      <c r="S113" s="43"/>
      <c r="T113" s="43"/>
      <c r="U113" s="43"/>
      <c r="V113" s="65"/>
      <c r="W113" s="65"/>
      <c r="X113" s="65"/>
      <c r="Y113" s="65"/>
      <c r="Z113" s="65"/>
      <c r="AA113" s="65"/>
    </row>
    <row r="114" spans="1:30" x14ac:dyDescent="0.2">
      <c r="A114" s="107">
        <v>14</v>
      </c>
      <c r="B114" s="109" t="s">
        <v>123</v>
      </c>
      <c r="C114" s="110">
        <f t="shared" ref="C114:G114" si="134">(C5+C8-C27-C30)/C22*100</f>
        <v>21.361987700737195</v>
      </c>
      <c r="D114" s="110">
        <f t="shared" ref="D114" si="135">(D5+D8-D27-D30)/D22*100</f>
        <v>3.0848389177436459</v>
      </c>
      <c r="E114" s="110">
        <f t="shared" si="134"/>
        <v>9.5497033974474201E-3</v>
      </c>
      <c r="F114" s="110">
        <f t="shared" si="134"/>
        <v>6.2163423058650311</v>
      </c>
      <c r="G114" s="110">
        <f t="shared" si="134"/>
        <v>8.6746015149402851</v>
      </c>
      <c r="J114" s="51"/>
      <c r="K114" s="51"/>
      <c r="L114" s="51"/>
      <c r="M114" s="51"/>
      <c r="N114" s="51"/>
      <c r="O114" s="51"/>
      <c r="P114" s="43"/>
      <c r="Q114" s="43"/>
      <c r="R114" s="43"/>
      <c r="S114" s="43"/>
      <c r="T114" s="43"/>
      <c r="U114" s="43"/>
      <c r="V114" s="65"/>
      <c r="W114" s="65"/>
      <c r="X114" s="65"/>
      <c r="Y114" s="65"/>
      <c r="Z114" s="65"/>
      <c r="AA114" s="65"/>
    </row>
    <row r="115" spans="1:30" x14ac:dyDescent="0.2">
      <c r="A115" s="94"/>
      <c r="B115" s="94"/>
      <c r="C115" s="95"/>
      <c r="D115" s="95"/>
      <c r="E115" s="95"/>
      <c r="F115" s="95"/>
      <c r="G115" s="95"/>
      <c r="J115" s="51"/>
      <c r="K115" s="51"/>
      <c r="L115" s="51"/>
      <c r="M115" s="51"/>
      <c r="N115" s="51"/>
      <c r="O115" s="51"/>
      <c r="P115" s="43"/>
      <c r="Q115" s="43"/>
      <c r="R115" s="43"/>
      <c r="S115" s="43"/>
      <c r="T115" s="43"/>
      <c r="U115" s="43"/>
      <c r="V115" s="65"/>
      <c r="W115" s="65"/>
      <c r="X115" s="65"/>
      <c r="Y115" s="65"/>
      <c r="Z115" s="65"/>
      <c r="AA115" s="65"/>
    </row>
    <row r="116" spans="1:30" x14ac:dyDescent="0.2">
      <c r="A116" s="111">
        <v>15</v>
      </c>
      <c r="B116" s="111" t="s">
        <v>124</v>
      </c>
      <c r="C116" s="112" t="e">
        <f t="shared" ref="C116:G116" si="136">C54/(C54+C59)</f>
        <v>#DIV/0!</v>
      </c>
      <c r="D116" s="112">
        <f t="shared" ref="D116" si="137">D54/(D54+D59)</f>
        <v>0.45635522523888972</v>
      </c>
      <c r="E116" s="112">
        <f t="shared" si="136"/>
        <v>0.51595579387953772</v>
      </c>
      <c r="F116" s="112">
        <f t="shared" si="136"/>
        <v>0.54866939537392456</v>
      </c>
      <c r="G116" s="112">
        <f t="shared" si="136"/>
        <v>0.51820325959089131</v>
      </c>
      <c r="J116" s="51"/>
      <c r="K116" s="51"/>
      <c r="L116" s="51"/>
      <c r="M116" s="51"/>
      <c r="N116" s="51"/>
      <c r="O116" s="51"/>
      <c r="P116" s="43"/>
      <c r="Q116" s="43"/>
      <c r="R116" s="43"/>
      <c r="S116" s="43"/>
      <c r="T116" s="43"/>
      <c r="U116" s="43"/>
      <c r="V116" s="65"/>
      <c r="W116" s="65"/>
      <c r="X116" s="65"/>
      <c r="Y116" s="65"/>
      <c r="Z116" s="65"/>
      <c r="AA116" s="65"/>
    </row>
    <row r="117" spans="1:30" x14ac:dyDescent="0.2">
      <c r="A117" s="75">
        <v>16</v>
      </c>
      <c r="B117" s="75" t="s">
        <v>125</v>
      </c>
      <c r="C117" s="93" t="e">
        <f t="shared" ref="C117:G117" si="138">C53/(C53+C58)</f>
        <v>#DIV/0!</v>
      </c>
      <c r="D117" s="93">
        <f t="shared" ref="D117" si="139">D53/(D53+D58)</f>
        <v>0.99774517241706007</v>
      </c>
      <c r="E117" s="93">
        <f t="shared" si="138"/>
        <v>0.97667498124001362</v>
      </c>
      <c r="F117" s="93">
        <f t="shared" si="138"/>
        <v>1.0163092252111283</v>
      </c>
      <c r="G117" s="93">
        <f t="shared" si="138"/>
        <v>0.9568535260256843</v>
      </c>
      <c r="J117" s="51"/>
      <c r="K117" s="51"/>
      <c r="L117" s="51"/>
      <c r="M117" s="51"/>
      <c r="N117" s="51"/>
      <c r="O117" s="51"/>
      <c r="P117" s="43"/>
      <c r="Q117" s="43"/>
      <c r="R117" s="43"/>
      <c r="S117" s="43"/>
      <c r="T117" s="43"/>
      <c r="U117" s="43"/>
      <c r="V117" s="65"/>
      <c r="W117" s="65"/>
      <c r="X117" s="65"/>
      <c r="Y117" s="65"/>
      <c r="Z117" s="65"/>
      <c r="AA117" s="65"/>
    </row>
    <row r="118" spans="1:30" x14ac:dyDescent="0.2">
      <c r="A118" s="11">
        <v>17</v>
      </c>
      <c r="B118" s="11" t="s">
        <v>126</v>
      </c>
      <c r="C118" s="89" t="e">
        <f t="shared" ref="C118:G118" si="140">C53/C54</f>
        <v>#DIV/0!</v>
      </c>
      <c r="D118" s="89">
        <f t="shared" ref="D118" si="141">D53/D54</f>
        <v>2.5854005363145371</v>
      </c>
      <c r="E118" s="89">
        <f t="shared" si="140"/>
        <v>2.2699477213919841</v>
      </c>
      <c r="F118" s="89">
        <f t="shared" si="140"/>
        <v>1.7074427177897593</v>
      </c>
      <c r="G118" s="89">
        <f t="shared" si="140"/>
        <v>1.701669435746693</v>
      </c>
      <c r="J118" s="51"/>
      <c r="K118" s="51"/>
      <c r="L118" s="51"/>
      <c r="M118" s="51"/>
      <c r="N118" s="51"/>
      <c r="O118" s="51"/>
      <c r="P118" s="43"/>
      <c r="Q118" s="43"/>
      <c r="R118" s="43"/>
      <c r="S118" s="43"/>
      <c r="T118" s="43"/>
      <c r="U118" s="43"/>
      <c r="V118" s="65"/>
      <c r="W118" s="65"/>
      <c r="X118" s="65"/>
      <c r="Y118" s="65"/>
      <c r="Z118" s="65"/>
      <c r="AA118" s="65"/>
    </row>
    <row r="119" spans="1:30" x14ac:dyDescent="0.2">
      <c r="A119" s="76">
        <v>18</v>
      </c>
      <c r="B119" s="76" t="s">
        <v>127</v>
      </c>
      <c r="C119" s="113" t="e">
        <f t="shared" ref="C119:G119" si="142">C58/C59</f>
        <v>#DIV/0!</v>
      </c>
      <c r="D119" s="113">
        <f t="shared" ref="D119" si="143">D58/D59</f>
        <v>4.9046649799945469E-3</v>
      </c>
      <c r="E119" s="113">
        <f t="shared" si="142"/>
        <v>5.7785019160760225E-2</v>
      </c>
      <c r="F119" s="113">
        <f t="shared" si="142"/>
        <v>-3.3309610691302408E-2</v>
      </c>
      <c r="G119" s="113">
        <f t="shared" si="142"/>
        <v>8.2529902076177483E-2</v>
      </c>
      <c r="J119" s="51"/>
      <c r="K119" s="51"/>
      <c r="L119" s="51"/>
      <c r="M119" s="51"/>
      <c r="N119" s="51"/>
      <c r="O119" s="51"/>
      <c r="P119" s="43"/>
      <c r="Q119" s="43"/>
      <c r="R119" s="43"/>
      <c r="S119" s="43"/>
      <c r="T119" s="43"/>
      <c r="U119" s="43"/>
      <c r="V119" s="65"/>
      <c r="W119" s="65"/>
      <c r="X119" s="65"/>
      <c r="Y119" s="65"/>
      <c r="Z119" s="65"/>
      <c r="AA119" s="65"/>
    </row>
    <row r="120" spans="1:30" x14ac:dyDescent="0.2">
      <c r="A120" s="90">
        <v>19</v>
      </c>
      <c r="B120" s="90" t="s">
        <v>128</v>
      </c>
      <c r="C120" s="114" t="e">
        <f t="shared" ref="C120:G120" si="144">(C54+C59+C56)/(C53+C58)</f>
        <v>#DIV/0!</v>
      </c>
      <c r="D120" s="114">
        <f t="shared" ref="D120" si="145">(D54+D59+D56)/(D53+D58)</f>
        <v>0.87888864839338066</v>
      </c>
      <c r="E120" s="114">
        <f t="shared" si="144"/>
        <v>1.0128218826797735</v>
      </c>
      <c r="F120" s="114">
        <f t="shared" si="144"/>
        <v>1.1028216726550713</v>
      </c>
      <c r="G120" s="114">
        <f t="shared" si="144"/>
        <v>0.99879088184777687</v>
      </c>
      <c r="J120" s="51"/>
      <c r="K120" s="51"/>
      <c r="L120" s="51"/>
      <c r="M120" s="51"/>
      <c r="N120" s="51"/>
      <c r="O120" s="51"/>
      <c r="P120" s="43"/>
      <c r="Q120" s="43"/>
      <c r="R120" s="43"/>
      <c r="S120" s="43"/>
      <c r="T120" s="43"/>
      <c r="U120" s="43"/>
      <c r="V120" s="65"/>
      <c r="W120" s="65"/>
      <c r="X120" s="65"/>
      <c r="Y120" s="65"/>
      <c r="Z120" s="65"/>
      <c r="AA120" s="65"/>
    </row>
    <row r="121" spans="1:30" x14ac:dyDescent="0.2">
      <c r="A121" s="94"/>
      <c r="B121" s="94"/>
      <c r="C121" s="95"/>
      <c r="D121" s="95"/>
      <c r="E121" s="95"/>
      <c r="F121" s="95"/>
      <c r="G121" s="95"/>
      <c r="J121" s="51"/>
      <c r="K121" s="51"/>
      <c r="L121" s="51"/>
      <c r="M121" s="51"/>
      <c r="N121" s="51"/>
      <c r="O121" s="51"/>
      <c r="P121" s="43"/>
      <c r="Q121" s="43"/>
      <c r="R121" s="43"/>
      <c r="S121" s="43"/>
      <c r="T121" s="43"/>
      <c r="U121" s="43"/>
      <c r="V121" s="65"/>
      <c r="W121" s="65"/>
      <c r="X121" s="65"/>
      <c r="Y121" s="65"/>
      <c r="Z121" s="65"/>
      <c r="AA121" s="65"/>
    </row>
    <row r="122" spans="1:30" ht="15" x14ac:dyDescent="0.25">
      <c r="A122" s="101">
        <v>20</v>
      </c>
      <c r="B122" s="115" t="s">
        <v>129</v>
      </c>
      <c r="C122" s="102">
        <f t="shared" ref="C122:G122" si="146">(C14-C24-C32)/C22*100</f>
        <v>59.461505697643659</v>
      </c>
      <c r="D122" s="102">
        <f t="shared" ref="D122" si="147">(D14-D24-D32)/D22*100</f>
        <v>72.038079465568487</v>
      </c>
      <c r="E122" s="102">
        <f t="shared" si="146"/>
        <v>61.054404489288707</v>
      </c>
      <c r="F122" s="102">
        <f t="shared" si="146"/>
        <v>37.960543117088044</v>
      </c>
      <c r="G122" s="102">
        <f t="shared" si="146"/>
        <v>34.529728988114599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5" x14ac:dyDescent="0.25">
      <c r="A123" s="11">
        <v>21</v>
      </c>
      <c r="B123" s="11" t="s">
        <v>130</v>
      </c>
      <c r="C123" s="89">
        <f t="shared" ref="C123:G123" si="148">C17/(C41+C42+C43+C49)</f>
        <v>0.68702797202797206</v>
      </c>
      <c r="D123" s="89">
        <f t="shared" ref="D123" si="149">D17/(D41+D42+D43+D49)</f>
        <v>0.70113986013986018</v>
      </c>
      <c r="E123" s="89">
        <f t="shared" si="148"/>
        <v>0.7038265734265734</v>
      </c>
      <c r="F123" s="89">
        <f t="shared" si="148"/>
        <v>0.81953924050632909</v>
      </c>
      <c r="G123" s="89">
        <f t="shared" si="148"/>
        <v>0.754120253164557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5" x14ac:dyDescent="0.25">
      <c r="A124" s="75">
        <v>22</v>
      </c>
      <c r="B124" s="75" t="s">
        <v>131</v>
      </c>
      <c r="C124" s="93">
        <f t="shared" ref="C124:G124" si="150">(C17/C22)*100</f>
        <v>7.5072757418673923</v>
      </c>
      <c r="D124" s="93">
        <f t="shared" ref="D124" si="151">(D17/D22)*100</f>
        <v>6.3727006908446624</v>
      </c>
      <c r="E124" s="93">
        <f t="shared" si="150"/>
        <v>6.1454661622990407</v>
      </c>
      <c r="F124" s="93">
        <f t="shared" si="150"/>
        <v>9.2369852635904106</v>
      </c>
      <c r="G124" s="93">
        <f t="shared" si="150"/>
        <v>8.239603871661588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5" x14ac:dyDescent="0.25">
      <c r="A125" s="11">
        <v>23</v>
      </c>
      <c r="B125" s="11" t="s">
        <v>132</v>
      </c>
      <c r="C125" s="89">
        <f t="shared" ref="C125:G125" si="152">(C39)/C22</f>
        <v>0.86559053593443935</v>
      </c>
      <c r="D125" s="89">
        <f t="shared" ref="D125" si="153">(D39)/D22</f>
        <v>0.87223861077502074</v>
      </c>
      <c r="E125" s="89">
        <f t="shared" si="152"/>
        <v>0.88448925450765536</v>
      </c>
      <c r="F125" s="89">
        <f t="shared" si="152"/>
        <v>0.87167153885552784</v>
      </c>
      <c r="G125" s="89">
        <f t="shared" si="152"/>
        <v>0.87619219117546177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5" x14ac:dyDescent="0.25">
      <c r="A126" s="107">
        <v>24</v>
      </c>
      <c r="B126" s="107" t="s">
        <v>133</v>
      </c>
      <c r="C126" s="108">
        <f>(C41+C42+C43+C49)/(C50)</f>
        <v>0.81297669997407573</v>
      </c>
      <c r="D126" s="108">
        <f>(D41+D42+D43+D49)/(D50)</f>
        <v>0.71140880833552234</v>
      </c>
      <c r="E126" s="108">
        <f>(E41+E42+E43+E49)/(E50)</f>
        <v>0.75590424649033128</v>
      </c>
      <c r="F126" s="108">
        <f>(F41+F42+F43+F49)/(F50)</f>
        <v>0.8782891372310101</v>
      </c>
      <c r="G126" s="108">
        <f>(G41+G42+G43+G49)/(G50)</f>
        <v>0.88250604907627306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5" x14ac:dyDescent="0.25">
      <c r="A127" s="94"/>
      <c r="B127" s="94"/>
      <c r="C127" s="95"/>
      <c r="D127" s="95"/>
      <c r="E127" s="95"/>
      <c r="F127" s="95"/>
      <c r="G127" s="95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5" x14ac:dyDescent="0.25">
      <c r="A128" s="11">
        <v>25</v>
      </c>
      <c r="B128" s="117" t="s">
        <v>134</v>
      </c>
      <c r="C128" s="89">
        <f t="shared" ref="C128:G128" si="154">((C24+C27+C32+C37)/(C4+C5+C8+C11))</f>
        <v>0.25439084155238145</v>
      </c>
      <c r="D128" s="89">
        <f t="shared" ref="D128" si="155">((D24+D27+D32+D37)/(D4+D5+D8+D11))</f>
        <v>1.1431304453786633</v>
      </c>
      <c r="E128" s="89">
        <f t="shared" si="154"/>
        <v>1.3866117840762084</v>
      </c>
      <c r="F128" s="89">
        <f t="shared" si="154"/>
        <v>1.9434519332488225</v>
      </c>
      <c r="G128" s="89">
        <f t="shared" si="154"/>
        <v>2.85664954112326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5" x14ac:dyDescent="0.25">
      <c r="A129" s="101">
        <v>26</v>
      </c>
      <c r="B129" s="101" t="s">
        <v>135</v>
      </c>
      <c r="C129" s="102">
        <f t="shared" ref="C129:G129" si="156">(C25+C28)/C22</f>
        <v>0</v>
      </c>
      <c r="D129" s="102">
        <f t="shared" ref="D129" si="157">(D25+D28)/D22</f>
        <v>0</v>
      </c>
      <c r="E129" s="102">
        <f t="shared" si="156"/>
        <v>0</v>
      </c>
      <c r="F129" s="102">
        <f t="shared" si="156"/>
        <v>0</v>
      </c>
      <c r="G129" s="102">
        <f t="shared" si="156"/>
        <v>0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5" x14ac:dyDescent="0.25">
      <c r="A130" s="94"/>
      <c r="B130" s="94"/>
      <c r="C130" s="118"/>
      <c r="D130" s="118"/>
      <c r="E130" s="118"/>
      <c r="F130" s="118"/>
      <c r="G130" s="118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5" x14ac:dyDescent="0.25">
      <c r="A131" s="111"/>
      <c r="B131" s="119" t="s">
        <v>136</v>
      </c>
      <c r="C131" s="120">
        <v>15</v>
      </c>
      <c r="D131" s="120">
        <v>15</v>
      </c>
      <c r="E131" s="120">
        <v>15</v>
      </c>
      <c r="F131" s="120">
        <v>15</v>
      </c>
      <c r="G131" s="120">
        <v>15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">
      <c r="A132" s="75">
        <v>29</v>
      </c>
      <c r="B132" s="75" t="s">
        <v>137</v>
      </c>
      <c r="C132" s="121">
        <f t="shared" ref="C132:G132" si="158">C17/C131</f>
        <v>32748.333333333332</v>
      </c>
      <c r="D132" s="121">
        <f t="shared" ref="D132" si="159">D17/D131</f>
        <v>33421</v>
      </c>
      <c r="E132" s="121">
        <f t="shared" si="158"/>
        <v>33549.066666666666</v>
      </c>
      <c r="F132" s="121">
        <f t="shared" si="158"/>
        <v>43162.400000000001</v>
      </c>
      <c r="G132" s="121">
        <f t="shared" si="158"/>
        <v>39717</v>
      </c>
      <c r="J132" s="51"/>
      <c r="K132" s="51"/>
      <c r="L132" s="51"/>
      <c r="M132" s="51"/>
      <c r="N132" s="51"/>
      <c r="O132" s="51"/>
      <c r="P132" s="43"/>
      <c r="Q132" s="43"/>
      <c r="R132" s="43"/>
      <c r="S132" s="43"/>
      <c r="T132" s="43"/>
      <c r="U132" s="43"/>
      <c r="V132" s="65"/>
      <c r="W132" s="65"/>
      <c r="X132" s="65"/>
      <c r="Y132" s="65"/>
      <c r="Z132" s="65"/>
      <c r="AA132" s="65"/>
    </row>
    <row r="133" spans="1:30" x14ac:dyDescent="0.2">
      <c r="A133" s="11">
        <v>30</v>
      </c>
      <c r="B133" s="11" t="s">
        <v>138</v>
      </c>
      <c r="C133" s="122">
        <f t="shared" ref="C133:G133" si="160">C22/C131</f>
        <v>436221.26666666666</v>
      </c>
      <c r="D133" s="122">
        <f t="shared" ref="D133" si="161">D22/D131</f>
        <v>524440.1333333333</v>
      </c>
      <c r="E133" s="122">
        <f t="shared" si="160"/>
        <v>545915.73333333328</v>
      </c>
      <c r="F133" s="122">
        <f t="shared" si="160"/>
        <v>467278</v>
      </c>
      <c r="G133" s="122">
        <f t="shared" si="160"/>
        <v>482025.6</v>
      </c>
      <c r="J133" s="51"/>
      <c r="K133" s="51"/>
      <c r="L133" s="51"/>
      <c r="M133" s="51"/>
      <c r="N133" s="51"/>
      <c r="O133" s="51"/>
      <c r="P133" s="43"/>
      <c r="Q133" s="43"/>
      <c r="R133" s="43"/>
      <c r="S133" s="43"/>
      <c r="T133" s="43"/>
      <c r="U133" s="43"/>
      <c r="V133" s="65"/>
      <c r="W133" s="65"/>
      <c r="X133" s="65"/>
      <c r="Y133" s="65"/>
      <c r="Z133" s="65"/>
      <c r="AA133" s="65"/>
    </row>
    <row r="134" spans="1:30" x14ac:dyDescent="0.2">
      <c r="A134" s="116"/>
      <c r="B134" s="116"/>
      <c r="C134" s="123"/>
      <c r="D134" s="123"/>
      <c r="E134" s="123"/>
      <c r="F134" s="123"/>
      <c r="G134" s="123"/>
      <c r="J134" s="51"/>
      <c r="K134" s="51"/>
      <c r="L134" s="51"/>
      <c r="M134" s="51"/>
      <c r="N134" s="51"/>
      <c r="O134" s="51"/>
      <c r="P134" s="43"/>
      <c r="Q134" s="43"/>
      <c r="R134" s="43"/>
      <c r="S134" s="43"/>
      <c r="T134" s="43"/>
      <c r="U134" s="43"/>
      <c r="V134" s="65"/>
      <c r="W134" s="65"/>
      <c r="X134" s="65"/>
      <c r="Y134" s="65"/>
      <c r="Z134" s="65"/>
      <c r="AA134" s="65"/>
    </row>
    <row r="135" spans="1:30" x14ac:dyDescent="0.2">
      <c r="B135" s="86" t="s">
        <v>139</v>
      </c>
      <c r="C135" s="124">
        <f t="shared" ref="C135:G135" si="162">C140+C141+C17+C18+C19+C20+C21-C19</f>
        <v>6543319</v>
      </c>
      <c r="D135" s="124">
        <f t="shared" ref="D135" si="163">D140+D141+D17+D18+D19+D20+D21-D19</f>
        <v>7866602</v>
      </c>
      <c r="E135" s="124">
        <f t="shared" si="162"/>
        <v>8188736</v>
      </c>
      <c r="F135" s="124">
        <f t="shared" si="162"/>
        <v>7009170</v>
      </c>
      <c r="G135" s="124">
        <f t="shared" si="162"/>
        <v>7230384</v>
      </c>
      <c r="J135" s="51"/>
      <c r="K135" s="51"/>
      <c r="L135" s="51"/>
      <c r="M135" s="51"/>
      <c r="N135" s="51"/>
      <c r="O135" s="51"/>
      <c r="P135" s="43"/>
      <c r="Q135" s="43"/>
      <c r="R135" s="43"/>
      <c r="S135" s="43"/>
      <c r="T135" s="43"/>
      <c r="U135" s="43"/>
      <c r="V135" s="65"/>
      <c r="W135" s="65"/>
      <c r="X135" s="65"/>
      <c r="Y135" s="65"/>
      <c r="Z135" s="65"/>
      <c r="AA135" s="65"/>
    </row>
    <row r="136" spans="1:30" x14ac:dyDescent="0.2">
      <c r="A136" s="75"/>
      <c r="B136" s="75" t="s">
        <v>140</v>
      </c>
      <c r="C136" s="125">
        <f t="shared" ref="C136:G136" si="164">(C41+C42+C43)</f>
        <v>715000</v>
      </c>
      <c r="D136" s="125">
        <f t="shared" ref="D136" si="165">(D41+D42+D43)</f>
        <v>715000</v>
      </c>
      <c r="E136" s="125">
        <f t="shared" si="164"/>
        <v>715000</v>
      </c>
      <c r="F136" s="125">
        <f t="shared" si="164"/>
        <v>790000</v>
      </c>
      <c r="G136" s="125">
        <f t="shared" si="164"/>
        <v>790000</v>
      </c>
      <c r="J136" s="51"/>
      <c r="K136" s="51"/>
      <c r="L136" s="51"/>
      <c r="M136" s="51"/>
      <c r="N136" s="51"/>
      <c r="O136" s="51"/>
      <c r="P136" s="43"/>
      <c r="Q136" s="43"/>
      <c r="R136" s="43"/>
      <c r="S136" s="43"/>
      <c r="T136" s="43"/>
      <c r="U136" s="43"/>
      <c r="V136" s="65"/>
      <c r="W136" s="65"/>
      <c r="X136" s="65"/>
      <c r="Y136" s="65"/>
      <c r="Z136" s="65"/>
      <c r="AA136" s="65"/>
    </row>
    <row r="137" spans="1:30" x14ac:dyDescent="0.2">
      <c r="A137" s="19"/>
      <c r="B137" s="19" t="s">
        <v>141</v>
      </c>
      <c r="C137" s="127">
        <f t="shared" ref="C137:G137" si="166">C50</f>
        <v>879484</v>
      </c>
      <c r="D137" s="127">
        <f t="shared" ref="D137" si="167">D50</f>
        <v>1005048</v>
      </c>
      <c r="E137" s="127">
        <f t="shared" si="166"/>
        <v>945887</v>
      </c>
      <c r="F137" s="127">
        <f t="shared" si="166"/>
        <v>899476</v>
      </c>
      <c r="G137" s="127">
        <f t="shared" si="166"/>
        <v>895178</v>
      </c>
      <c r="J137" s="51"/>
      <c r="K137" s="51"/>
      <c r="L137" s="51"/>
      <c r="M137" s="51"/>
      <c r="N137" s="51"/>
      <c r="O137" s="51"/>
      <c r="P137" s="43"/>
      <c r="Q137" s="43"/>
      <c r="R137" s="43"/>
      <c r="S137" s="43"/>
      <c r="T137" s="43"/>
      <c r="U137" s="43"/>
      <c r="V137" s="65"/>
      <c r="W137" s="169"/>
      <c r="X137" s="169"/>
      <c r="Y137" s="169"/>
      <c r="Z137" s="169"/>
      <c r="AA137" s="169"/>
      <c r="AB137" s="164"/>
    </row>
    <row r="138" spans="1:30" x14ac:dyDescent="0.2">
      <c r="A138" s="128"/>
      <c r="B138" s="128" t="s">
        <v>142</v>
      </c>
      <c r="C138" s="129">
        <f t="shared" ref="C138:G138" si="168">(C25+C37+C32)</f>
        <v>107397</v>
      </c>
      <c r="D138" s="129">
        <f t="shared" ref="D138" si="169">(D25+D37+D32)</f>
        <v>127076</v>
      </c>
      <c r="E138" s="129">
        <f t="shared" si="168"/>
        <v>61488</v>
      </c>
      <c r="F138" s="129">
        <f t="shared" si="168"/>
        <v>95147</v>
      </c>
      <c r="G138" s="129">
        <f t="shared" si="168"/>
        <v>95070</v>
      </c>
      <c r="J138" s="51"/>
      <c r="K138" s="51"/>
      <c r="L138" s="51"/>
      <c r="M138" s="51"/>
      <c r="N138" s="51"/>
      <c r="O138" s="51"/>
      <c r="P138" s="43"/>
      <c r="Q138" s="43"/>
      <c r="R138" s="43"/>
      <c r="S138" s="43"/>
      <c r="T138" s="43"/>
      <c r="U138" s="43"/>
      <c r="V138" s="65"/>
      <c r="W138" s="169"/>
      <c r="X138" s="169"/>
      <c r="Y138" s="169"/>
      <c r="Z138" s="169"/>
      <c r="AA138" s="169"/>
      <c r="AB138" s="164"/>
    </row>
    <row r="139" spans="1:30" x14ac:dyDescent="0.2">
      <c r="A139" s="19"/>
      <c r="B139" s="19" t="s">
        <v>143</v>
      </c>
      <c r="C139" s="127">
        <f t="shared" ref="C139:G139" si="170">C39</f>
        <v>5663835</v>
      </c>
      <c r="D139" s="127">
        <f t="shared" ref="D139" si="171">D39</f>
        <v>6861554</v>
      </c>
      <c r="E139" s="127">
        <f t="shared" si="170"/>
        <v>7242849</v>
      </c>
      <c r="F139" s="127">
        <f t="shared" si="170"/>
        <v>6109694</v>
      </c>
      <c r="G139" s="127">
        <f t="shared" si="170"/>
        <v>6335206</v>
      </c>
      <c r="J139" s="51"/>
      <c r="K139" s="51"/>
      <c r="L139" s="51"/>
      <c r="M139" s="51"/>
      <c r="N139" s="51"/>
      <c r="O139" s="51"/>
      <c r="P139" s="43"/>
      <c r="Q139" s="43"/>
      <c r="R139" s="43"/>
      <c r="S139" s="43"/>
      <c r="T139" s="43"/>
      <c r="U139" s="43"/>
      <c r="V139" s="65"/>
      <c r="W139" s="152"/>
      <c r="X139" s="152"/>
      <c r="Y139" s="152"/>
      <c r="Z139" s="152"/>
      <c r="AA139" s="152"/>
      <c r="AB139" s="170"/>
    </row>
    <row r="140" spans="1:30" x14ac:dyDescent="0.2">
      <c r="A140" s="75"/>
      <c r="B140" s="75" t="s">
        <v>42</v>
      </c>
      <c r="C140" s="125">
        <f t="shared" ref="C140:G140" si="172">(C4+C5+C8+C11)</f>
        <v>1791570</v>
      </c>
      <c r="D140" s="125">
        <f t="shared" ref="D140" si="173">(D4+D5+D8+D11)</f>
        <v>738585</v>
      </c>
      <c r="E140" s="125">
        <f t="shared" si="172"/>
        <v>1062875</v>
      </c>
      <c r="F140" s="125">
        <f t="shared" si="172"/>
        <v>1229821</v>
      </c>
      <c r="G140" s="125">
        <f t="shared" si="172"/>
        <v>1138650</v>
      </c>
      <c r="J140" s="51"/>
      <c r="K140" s="51"/>
      <c r="L140" s="51"/>
      <c r="M140" s="51"/>
      <c r="N140" s="51"/>
      <c r="O140" s="51"/>
      <c r="P140" s="43"/>
      <c r="Q140" s="43"/>
      <c r="R140" s="43"/>
      <c r="S140" s="43"/>
      <c r="T140" s="43"/>
      <c r="U140" s="43"/>
      <c r="V140" s="65"/>
      <c r="W140" s="152"/>
      <c r="X140" s="152"/>
      <c r="Y140" s="152"/>
      <c r="Z140" s="152"/>
      <c r="AA140" s="152"/>
      <c r="AB140" s="170"/>
    </row>
    <row r="141" spans="1:30" x14ac:dyDescent="0.2">
      <c r="A141" s="19"/>
      <c r="B141" s="19" t="s">
        <v>144</v>
      </c>
      <c r="C141" s="127">
        <f t="shared" ref="C141:G141" si="174">(C10+C12+C16+C19)</f>
        <v>4092654</v>
      </c>
      <c r="D141" s="127">
        <f t="shared" ref="D141" si="175">(D10+D12+D16+D19)</f>
        <v>6323635</v>
      </c>
      <c r="E141" s="127">
        <f t="shared" si="174"/>
        <v>6114087</v>
      </c>
      <c r="F141" s="127">
        <f t="shared" si="174"/>
        <v>4892955</v>
      </c>
      <c r="G141" s="127">
        <f t="shared" si="174"/>
        <v>5260732</v>
      </c>
      <c r="J141" s="51"/>
      <c r="K141" s="51"/>
      <c r="L141" s="51"/>
      <c r="M141" s="51"/>
      <c r="N141" s="51"/>
      <c r="O141" s="51"/>
      <c r="P141" s="43"/>
      <c r="Q141" s="43"/>
      <c r="R141" s="43"/>
      <c r="S141" s="43"/>
      <c r="T141" s="43"/>
      <c r="U141" s="43"/>
      <c r="V141" s="65"/>
      <c r="W141" s="65"/>
      <c r="X141" s="65"/>
      <c r="Y141" s="65"/>
      <c r="Z141" s="65"/>
      <c r="AA141" s="65"/>
    </row>
    <row r="142" spans="1:30" x14ac:dyDescent="0.2">
      <c r="A142" s="75"/>
      <c r="B142" s="75" t="s">
        <v>145</v>
      </c>
      <c r="C142" s="130">
        <f t="shared" ref="C142:G142" si="176">C17+C18</f>
        <v>491225</v>
      </c>
      <c r="D142" s="130">
        <f t="shared" ref="D142" si="177">D17+D18</f>
        <v>501315</v>
      </c>
      <c r="E142" s="130">
        <f t="shared" si="176"/>
        <v>503236</v>
      </c>
      <c r="F142" s="130">
        <f t="shared" si="176"/>
        <v>647436</v>
      </c>
      <c r="G142" s="130">
        <f t="shared" si="176"/>
        <v>595755</v>
      </c>
      <c r="J142" s="51"/>
      <c r="K142" s="51"/>
      <c r="L142" s="51"/>
      <c r="M142" s="51"/>
      <c r="N142" s="51"/>
      <c r="O142" s="51"/>
      <c r="P142" s="43"/>
      <c r="Q142" s="43"/>
      <c r="R142" s="43"/>
      <c r="S142" s="43"/>
      <c r="T142" s="43"/>
      <c r="U142" s="43"/>
      <c r="V142" s="65"/>
      <c r="W142" s="65"/>
      <c r="X142" s="65"/>
      <c r="Y142" s="65"/>
      <c r="Z142" s="65"/>
      <c r="AA142" s="65"/>
    </row>
    <row r="143" spans="1:30" x14ac:dyDescent="0.2">
      <c r="A143" s="11"/>
      <c r="B143" s="11" t="s">
        <v>146</v>
      </c>
      <c r="C143" s="126">
        <f t="shared" ref="C143:G143" si="178">C17</f>
        <v>491225</v>
      </c>
      <c r="D143" s="126">
        <f t="shared" ref="D143" si="179">D17</f>
        <v>501315</v>
      </c>
      <c r="E143" s="126">
        <f t="shared" si="178"/>
        <v>503236</v>
      </c>
      <c r="F143" s="126">
        <f t="shared" si="178"/>
        <v>647436</v>
      </c>
      <c r="G143" s="126">
        <f t="shared" si="178"/>
        <v>595755</v>
      </c>
      <c r="J143" s="51"/>
      <c r="K143" s="51"/>
      <c r="L143" s="51"/>
      <c r="M143" s="51"/>
      <c r="N143" s="51"/>
      <c r="O143" s="51"/>
      <c r="P143" s="43"/>
      <c r="Q143" s="43"/>
      <c r="R143" s="43"/>
      <c r="S143" s="43"/>
      <c r="T143" s="43"/>
      <c r="U143" s="43"/>
      <c r="V143" s="65"/>
      <c r="W143" s="65"/>
      <c r="X143" s="65"/>
      <c r="Y143" s="65"/>
      <c r="Z143" s="65"/>
      <c r="AA143" s="65"/>
    </row>
    <row r="144" spans="1:30" x14ac:dyDescent="0.2">
      <c r="A144" s="75"/>
      <c r="B144" s="75" t="s">
        <v>147</v>
      </c>
      <c r="C144" s="125">
        <f t="shared" ref="C144:G144" si="180">C22</f>
        <v>6543319</v>
      </c>
      <c r="D144" s="125">
        <f t="shared" ref="D144" si="181">D22</f>
        <v>7866602</v>
      </c>
      <c r="E144" s="125">
        <f t="shared" si="180"/>
        <v>8188736</v>
      </c>
      <c r="F144" s="125">
        <f t="shared" si="180"/>
        <v>7009170</v>
      </c>
      <c r="G144" s="125">
        <f t="shared" si="180"/>
        <v>7230384</v>
      </c>
      <c r="J144" s="51"/>
      <c r="K144" s="51"/>
      <c r="L144" s="51"/>
      <c r="M144" s="51"/>
      <c r="N144" s="51"/>
      <c r="O144" s="51"/>
      <c r="P144" s="43"/>
      <c r="Q144" s="43"/>
      <c r="R144" s="43"/>
      <c r="S144" s="43"/>
      <c r="T144" s="43"/>
      <c r="U144" s="43"/>
      <c r="V144" s="65"/>
      <c r="W144" s="65"/>
      <c r="X144" s="65"/>
      <c r="Y144" s="65"/>
      <c r="Z144" s="65"/>
      <c r="AA144" s="65"/>
    </row>
    <row r="145" spans="1:27" x14ac:dyDescent="0.2">
      <c r="A145" s="11"/>
      <c r="B145" s="11" t="s">
        <v>148</v>
      </c>
      <c r="C145" s="126">
        <f t="shared" ref="C145:G145" si="182">C4+C5-C7</f>
        <v>1791570</v>
      </c>
      <c r="D145" s="126">
        <f t="shared" ref="D145" si="183">D4+D5-D7</f>
        <v>738585</v>
      </c>
      <c r="E145" s="126">
        <f t="shared" si="182"/>
        <v>1062875</v>
      </c>
      <c r="F145" s="126">
        <f t="shared" si="182"/>
        <v>1229821</v>
      </c>
      <c r="G145" s="126">
        <f t="shared" si="182"/>
        <v>1138650</v>
      </c>
      <c r="J145" s="51"/>
      <c r="K145" s="51"/>
      <c r="L145" s="51"/>
      <c r="M145" s="51"/>
      <c r="N145" s="51"/>
      <c r="O145" s="51"/>
      <c r="P145" s="43"/>
      <c r="Q145" s="43"/>
      <c r="R145" s="43"/>
      <c r="S145" s="43"/>
      <c r="T145" s="43"/>
      <c r="U145" s="43"/>
      <c r="V145" s="65"/>
      <c r="W145" s="65"/>
      <c r="X145" s="65"/>
      <c r="Y145" s="65"/>
      <c r="Z145" s="65"/>
      <c r="AA145" s="65"/>
    </row>
    <row r="146" spans="1:27" ht="15" x14ac:dyDescent="0.25">
      <c r="A146"/>
      <c r="B146"/>
      <c r="C146"/>
      <c r="D146"/>
      <c r="E146"/>
      <c r="F146"/>
      <c r="G146"/>
      <c r="H146"/>
      <c r="I146"/>
      <c r="J146" s="51"/>
      <c r="K146" s="51"/>
      <c r="L146" s="51"/>
      <c r="M146" s="51"/>
      <c r="N146" s="51"/>
      <c r="O146" s="51"/>
      <c r="P146" s="43"/>
      <c r="Q146" s="43"/>
      <c r="R146" s="43"/>
      <c r="S146" s="43"/>
      <c r="T146" s="43"/>
      <c r="U146" s="43"/>
      <c r="V146" s="65"/>
      <c r="W146" s="65"/>
      <c r="X146" s="65"/>
      <c r="Y146" s="65"/>
      <c r="Z146" s="65"/>
      <c r="AA146" s="65"/>
    </row>
    <row r="147" spans="1:27" ht="15" x14ac:dyDescent="0.25">
      <c r="A147"/>
      <c r="B147"/>
      <c r="C147"/>
      <c r="D147"/>
      <c r="E147"/>
      <c r="F147"/>
      <c r="G147"/>
      <c r="H147"/>
      <c r="I147"/>
      <c r="J147" s="51"/>
      <c r="K147" s="51"/>
      <c r="L147" s="51"/>
      <c r="M147" s="51"/>
      <c r="N147" s="51"/>
      <c r="O147" s="51"/>
      <c r="P147" s="43"/>
      <c r="Q147" s="43"/>
      <c r="R147" s="43"/>
      <c r="S147" s="43"/>
      <c r="T147" s="43"/>
      <c r="U147" s="43"/>
      <c r="V147" s="65"/>
      <c r="W147" s="65"/>
      <c r="X147" s="65"/>
      <c r="Y147" s="65"/>
      <c r="Z147" s="65"/>
      <c r="AA147" s="65"/>
    </row>
    <row r="148" spans="1:27" ht="15" x14ac:dyDescent="0.25">
      <c r="A148"/>
      <c r="B148"/>
      <c r="C148"/>
      <c r="D148"/>
      <c r="E148"/>
      <c r="F148"/>
      <c r="G148"/>
      <c r="H148"/>
      <c r="I148"/>
      <c r="J148" s="51"/>
      <c r="K148" s="51"/>
      <c r="L148" s="51"/>
      <c r="M148" s="51"/>
      <c r="N148" s="51"/>
      <c r="O148" s="51"/>
      <c r="P148" s="43"/>
      <c r="Q148" s="43"/>
      <c r="R148" s="43"/>
      <c r="S148" s="43"/>
      <c r="T148" s="43"/>
      <c r="U148" s="43"/>
      <c r="V148" s="65"/>
      <c r="W148" s="65"/>
      <c r="X148" s="65"/>
      <c r="Y148" s="65"/>
      <c r="Z148" s="65"/>
      <c r="AA148" s="65"/>
    </row>
    <row r="149" spans="1:27" ht="15" x14ac:dyDescent="0.25">
      <c r="A149"/>
      <c r="B149"/>
      <c r="C149"/>
      <c r="D149"/>
      <c r="E149"/>
      <c r="F149"/>
      <c r="G149"/>
      <c r="H149"/>
      <c r="I149"/>
      <c r="J149" s="131"/>
      <c r="K149" s="131"/>
      <c r="L149" s="131"/>
      <c r="M149" s="131"/>
      <c r="N149" s="131"/>
      <c r="O149" s="131"/>
      <c r="P149" s="132"/>
      <c r="Q149" s="132"/>
      <c r="R149" s="132"/>
      <c r="S149" s="132"/>
      <c r="T149" s="132"/>
      <c r="U149" s="132"/>
      <c r="V149" s="65"/>
      <c r="W149" s="65"/>
      <c r="X149" s="65"/>
      <c r="Y149" s="65"/>
      <c r="Z149" s="65"/>
      <c r="AA149" s="65"/>
    </row>
    <row r="150" spans="1:27" ht="15" x14ac:dyDescent="0.25">
      <c r="A150"/>
      <c r="B150"/>
      <c r="C150"/>
      <c r="D150"/>
      <c r="E150"/>
      <c r="F150"/>
      <c r="G150"/>
      <c r="H150"/>
      <c r="I150"/>
      <c r="J150" s="131"/>
      <c r="K150" s="131"/>
      <c r="L150" s="131"/>
      <c r="M150" s="131"/>
      <c r="N150" s="131"/>
      <c r="O150" s="131"/>
      <c r="P150" s="132"/>
      <c r="Q150" s="132"/>
      <c r="R150" s="132"/>
      <c r="S150" s="132"/>
      <c r="T150" s="132"/>
      <c r="U150" s="132"/>
      <c r="V150" s="65"/>
      <c r="W150" s="65"/>
      <c r="X150" s="65"/>
      <c r="Y150" s="65"/>
      <c r="Z150" s="65"/>
      <c r="AA150" s="65"/>
    </row>
    <row r="151" spans="1:27" ht="15" x14ac:dyDescent="0.25">
      <c r="A151"/>
      <c r="B151"/>
      <c r="C151"/>
      <c r="D151"/>
      <c r="E151"/>
      <c r="F151"/>
      <c r="G151"/>
      <c r="H151"/>
      <c r="I151"/>
      <c r="J151" s="131"/>
      <c r="K151" s="131"/>
      <c r="L151" s="131"/>
      <c r="M151" s="131"/>
      <c r="N151" s="131"/>
      <c r="O151" s="131"/>
      <c r="P151" s="132"/>
      <c r="Q151" s="132"/>
      <c r="R151" s="132"/>
      <c r="S151" s="132"/>
      <c r="T151" s="132"/>
      <c r="U151" s="132"/>
      <c r="V151" s="65"/>
      <c r="W151" s="65"/>
      <c r="X151" s="65"/>
      <c r="Y151" s="65"/>
      <c r="Z151" s="65"/>
      <c r="AA151" s="65"/>
    </row>
    <row r="152" spans="1:27" ht="15" x14ac:dyDescent="0.25">
      <c r="A152"/>
      <c r="B152"/>
      <c r="C152"/>
      <c r="D152"/>
      <c r="E152"/>
      <c r="F152"/>
      <c r="G152"/>
      <c r="H152"/>
      <c r="I152"/>
      <c r="J152" s="51"/>
      <c r="K152" s="51"/>
      <c r="L152" s="51"/>
      <c r="M152" s="51"/>
      <c r="N152" s="51"/>
      <c r="O152" s="51"/>
      <c r="P152" s="43"/>
      <c r="Q152" s="43"/>
      <c r="R152" s="43"/>
      <c r="S152" s="43"/>
      <c r="T152" s="43"/>
      <c r="U152" s="43"/>
      <c r="V152" s="65"/>
      <c r="W152" s="65"/>
      <c r="X152" s="65"/>
      <c r="Y152" s="65"/>
      <c r="Z152" s="65"/>
      <c r="AA152" s="65"/>
    </row>
    <row r="153" spans="1:27" ht="15" x14ac:dyDescent="0.25">
      <c r="A153"/>
      <c r="B153"/>
      <c r="C153"/>
      <c r="D153"/>
      <c r="E153"/>
      <c r="F153"/>
      <c r="G153"/>
      <c r="H153"/>
      <c r="I153"/>
      <c r="J153" s="51"/>
      <c r="K153" s="51"/>
      <c r="L153" s="51"/>
      <c r="M153" s="51"/>
      <c r="N153" s="51"/>
      <c r="O153" s="51"/>
      <c r="P153" s="43"/>
      <c r="Q153" s="43"/>
      <c r="R153" s="43"/>
      <c r="S153" s="43"/>
      <c r="T153" s="43"/>
      <c r="U153" s="43"/>
      <c r="V153" s="65"/>
      <c r="W153" s="65"/>
      <c r="X153" s="65"/>
      <c r="Y153" s="65"/>
      <c r="Z153" s="65"/>
      <c r="AA153" s="65"/>
    </row>
    <row r="154" spans="1:27" ht="15" x14ac:dyDescent="0.25">
      <c r="A154"/>
      <c r="B154"/>
      <c r="C154"/>
      <c r="D154"/>
      <c r="E154"/>
      <c r="F154"/>
      <c r="G154"/>
      <c r="H154"/>
      <c r="I154"/>
      <c r="J154" s="51"/>
      <c r="K154" s="51"/>
      <c r="L154" s="51"/>
      <c r="M154" s="51"/>
      <c r="N154" s="51"/>
      <c r="O154" s="51"/>
      <c r="P154" s="43"/>
      <c r="Q154" s="43"/>
      <c r="R154" s="43"/>
      <c r="S154" s="43"/>
      <c r="T154" s="43"/>
      <c r="U154" s="43"/>
      <c r="V154" s="65"/>
      <c r="W154" s="65"/>
      <c r="X154" s="65"/>
      <c r="Y154" s="65"/>
      <c r="Z154" s="65"/>
      <c r="AA154" s="65"/>
    </row>
    <row r="155" spans="1:27" ht="15" x14ac:dyDescent="0.25">
      <c r="A155"/>
      <c r="B155"/>
      <c r="C155"/>
      <c r="D155"/>
      <c r="E155"/>
      <c r="F155"/>
      <c r="G155"/>
      <c r="H155"/>
      <c r="I155"/>
      <c r="J155" s="133"/>
      <c r="K155" s="133"/>
      <c r="L155" s="133"/>
      <c r="M155" s="133"/>
      <c r="N155" s="133"/>
      <c r="O155" s="133"/>
      <c r="P155" s="134"/>
      <c r="Q155" s="134"/>
      <c r="R155" s="134"/>
      <c r="S155" s="134"/>
      <c r="T155" s="134"/>
      <c r="U155" s="134"/>
      <c r="V155" s="135"/>
      <c r="W155" s="135"/>
      <c r="X155" s="135"/>
      <c r="Y155" s="135"/>
      <c r="Z155" s="135"/>
      <c r="AA155" s="135"/>
    </row>
    <row r="156" spans="1:27" ht="15" x14ac:dyDescent="0.25">
      <c r="A156"/>
      <c r="B156"/>
      <c r="C156"/>
      <c r="D156"/>
      <c r="E156"/>
      <c r="F156"/>
      <c r="G156"/>
      <c r="H156"/>
      <c r="I156"/>
      <c r="J156" s="133"/>
      <c r="K156" s="133"/>
      <c r="L156" s="133"/>
      <c r="M156" s="133"/>
      <c r="N156" s="133"/>
      <c r="O156" s="133"/>
      <c r="P156" s="134"/>
      <c r="Q156" s="134"/>
      <c r="R156" s="134"/>
      <c r="S156" s="134"/>
      <c r="T156" s="134"/>
      <c r="U156" s="134"/>
      <c r="V156" s="135"/>
      <c r="W156" s="135"/>
      <c r="X156" s="135"/>
      <c r="Y156" s="135"/>
      <c r="Z156" s="135"/>
      <c r="AA156" s="135"/>
    </row>
    <row r="157" spans="1:27" ht="15" x14ac:dyDescent="0.25">
      <c r="A157"/>
      <c r="B157"/>
      <c r="C157"/>
      <c r="D157"/>
      <c r="E157"/>
      <c r="F157"/>
      <c r="G157"/>
      <c r="H157"/>
      <c r="I157"/>
      <c r="J157" s="133"/>
      <c r="K157" s="133"/>
      <c r="L157" s="133"/>
      <c r="M157" s="133"/>
      <c r="N157" s="133"/>
      <c r="O157" s="133"/>
      <c r="P157" s="134"/>
      <c r="Q157" s="134"/>
      <c r="R157" s="134"/>
      <c r="S157" s="134"/>
      <c r="T157" s="134"/>
      <c r="U157" s="134"/>
      <c r="V157" s="135"/>
      <c r="W157" s="135"/>
      <c r="X157" s="135"/>
      <c r="Y157" s="135"/>
      <c r="Z157" s="135"/>
      <c r="AA157" s="135"/>
    </row>
    <row r="158" spans="1:27" ht="15" x14ac:dyDescent="0.25">
      <c r="A158"/>
      <c r="B158"/>
      <c r="C158"/>
      <c r="D158"/>
      <c r="E158"/>
      <c r="F158"/>
      <c r="G158"/>
      <c r="H158"/>
      <c r="I158"/>
      <c r="J158" s="133"/>
      <c r="K158" s="133"/>
      <c r="L158" s="133"/>
      <c r="M158" s="133"/>
      <c r="N158" s="133"/>
      <c r="O158" s="133"/>
      <c r="P158" s="134"/>
      <c r="Q158" s="134"/>
      <c r="R158" s="134"/>
      <c r="S158" s="134"/>
      <c r="T158" s="134"/>
      <c r="U158" s="134"/>
      <c r="V158" s="135"/>
      <c r="W158" s="135"/>
      <c r="X158" s="135"/>
      <c r="Y158" s="135"/>
      <c r="Z158" s="135"/>
      <c r="AA158" s="135"/>
    </row>
    <row r="159" spans="1:27" ht="15" x14ac:dyDescent="0.25">
      <c r="A159"/>
      <c r="B159"/>
      <c r="C159"/>
      <c r="D159"/>
      <c r="E159"/>
      <c r="F159"/>
      <c r="G159"/>
      <c r="H159"/>
      <c r="I159"/>
      <c r="J159" s="133"/>
      <c r="K159" s="133"/>
      <c r="L159" s="133"/>
      <c r="M159" s="133"/>
      <c r="N159" s="133"/>
      <c r="O159" s="133"/>
      <c r="P159" s="134"/>
      <c r="Q159" s="134"/>
      <c r="R159" s="134"/>
      <c r="S159" s="134"/>
      <c r="T159" s="134"/>
      <c r="U159" s="134"/>
      <c r="V159" s="135"/>
      <c r="W159" s="135"/>
      <c r="X159" s="135"/>
      <c r="Y159" s="135"/>
      <c r="Z159" s="135"/>
      <c r="AA159" s="135"/>
    </row>
    <row r="160" spans="1:27" ht="15" x14ac:dyDescent="0.25">
      <c r="A160"/>
      <c r="B160"/>
      <c r="C160"/>
      <c r="D160"/>
      <c r="E160"/>
      <c r="F160"/>
      <c r="G160"/>
      <c r="H160"/>
      <c r="J160" s="133"/>
      <c r="K160" s="133"/>
      <c r="L160" s="133"/>
      <c r="M160" s="133"/>
      <c r="N160" s="133"/>
      <c r="O160" s="133"/>
      <c r="P160" s="134"/>
      <c r="Q160" s="134"/>
      <c r="R160" s="134"/>
      <c r="S160" s="134"/>
      <c r="T160" s="134"/>
      <c r="U160" s="134"/>
      <c r="V160" s="135"/>
      <c r="W160" s="135"/>
      <c r="X160" s="135"/>
      <c r="Y160" s="135"/>
      <c r="Z160" s="135"/>
      <c r="AA160" s="135"/>
    </row>
    <row r="161" spans="1:27" ht="15" x14ac:dyDescent="0.25">
      <c r="A161"/>
      <c r="B161"/>
      <c r="C161"/>
      <c r="D161"/>
      <c r="E161"/>
      <c r="F161"/>
      <c r="G161"/>
      <c r="H161"/>
      <c r="J161" s="133"/>
      <c r="K161" s="133"/>
      <c r="L161" s="133"/>
      <c r="M161" s="133"/>
      <c r="N161" s="133"/>
      <c r="O161" s="133"/>
      <c r="P161" s="134"/>
      <c r="Q161" s="134"/>
      <c r="R161" s="134"/>
      <c r="S161" s="134"/>
      <c r="T161" s="134"/>
      <c r="U161" s="134"/>
      <c r="V161" s="135"/>
      <c r="W161" s="135"/>
      <c r="X161" s="135"/>
      <c r="Y161" s="135"/>
      <c r="Z161" s="135"/>
      <c r="AA161" s="135"/>
    </row>
    <row r="162" spans="1:27" ht="15" x14ac:dyDescent="0.25">
      <c r="A162"/>
      <c r="B162"/>
      <c r="C162"/>
      <c r="D162"/>
      <c r="E162"/>
      <c r="F162"/>
      <c r="G162"/>
      <c r="H162"/>
      <c r="J162" s="133"/>
      <c r="K162" s="133"/>
      <c r="L162" s="133"/>
      <c r="M162" s="133"/>
      <c r="N162" s="133"/>
      <c r="O162" s="133"/>
      <c r="P162" s="134"/>
      <c r="Q162" s="134"/>
      <c r="R162" s="134"/>
      <c r="S162" s="134"/>
      <c r="T162" s="134"/>
      <c r="U162" s="134"/>
      <c r="V162" s="135"/>
      <c r="W162" s="135"/>
      <c r="X162" s="135"/>
      <c r="Y162" s="135"/>
      <c r="Z162" s="135"/>
      <c r="AA162" s="135"/>
    </row>
    <row r="163" spans="1:27" ht="15" x14ac:dyDescent="0.25">
      <c r="A163"/>
      <c r="B163"/>
      <c r="C163"/>
      <c r="D163"/>
      <c r="E163"/>
      <c r="F163"/>
      <c r="G163"/>
      <c r="H163"/>
      <c r="J163" s="133"/>
      <c r="K163" s="133"/>
      <c r="L163" s="133"/>
      <c r="M163" s="133"/>
      <c r="N163" s="133"/>
      <c r="O163" s="133"/>
      <c r="P163" s="134"/>
      <c r="Q163" s="134"/>
      <c r="R163" s="134"/>
      <c r="S163" s="134"/>
      <c r="T163" s="134"/>
      <c r="U163" s="134"/>
      <c r="V163" s="135"/>
      <c r="W163" s="135"/>
      <c r="X163" s="135"/>
      <c r="Y163" s="135"/>
      <c r="Z163" s="135"/>
      <c r="AA163" s="135"/>
    </row>
    <row r="164" spans="1:27" ht="15" x14ac:dyDescent="0.25">
      <c r="A164"/>
      <c r="B164"/>
      <c r="C164"/>
      <c r="D164"/>
      <c r="E164"/>
      <c r="F164"/>
      <c r="G164"/>
      <c r="H164"/>
      <c r="J164" s="133"/>
      <c r="K164" s="133"/>
      <c r="L164" s="133"/>
      <c r="M164" s="133"/>
      <c r="N164" s="133"/>
      <c r="O164" s="133"/>
      <c r="P164" s="134"/>
      <c r="Q164" s="134"/>
      <c r="R164" s="134"/>
      <c r="S164" s="134"/>
      <c r="T164" s="134"/>
      <c r="U164" s="134"/>
      <c r="V164" s="135"/>
      <c r="W164" s="135"/>
      <c r="X164" s="135"/>
      <c r="Y164" s="135"/>
      <c r="Z164" s="135"/>
      <c r="AA164" s="135"/>
    </row>
    <row r="165" spans="1:27" ht="15" x14ac:dyDescent="0.25">
      <c r="A165"/>
      <c r="B165"/>
      <c r="C165"/>
      <c r="D165"/>
      <c r="E165"/>
      <c r="F165"/>
      <c r="G165"/>
      <c r="H165"/>
      <c r="J165" s="133"/>
      <c r="K165" s="133"/>
      <c r="L165" s="133"/>
      <c r="M165" s="133"/>
      <c r="N165" s="133"/>
      <c r="O165" s="133"/>
      <c r="P165" s="134"/>
      <c r="Q165" s="134"/>
      <c r="R165" s="134"/>
      <c r="S165" s="134"/>
      <c r="T165" s="134"/>
      <c r="U165" s="134"/>
      <c r="V165" s="135"/>
      <c r="W165" s="135"/>
      <c r="X165" s="135"/>
      <c r="Y165" s="135"/>
      <c r="Z165" s="135"/>
      <c r="AA165" s="135"/>
    </row>
    <row r="166" spans="1:27" ht="15" x14ac:dyDescent="0.25">
      <c r="A166"/>
      <c r="B166"/>
      <c r="C166"/>
      <c r="D166"/>
      <c r="E166"/>
      <c r="F166"/>
      <c r="G166"/>
      <c r="H166"/>
      <c r="J166" s="133"/>
      <c r="K166" s="133"/>
      <c r="L166" s="133"/>
      <c r="M166" s="133"/>
      <c r="N166" s="133"/>
      <c r="O166" s="133"/>
      <c r="P166" s="134"/>
      <c r="Q166" s="134"/>
      <c r="R166" s="134"/>
      <c r="S166" s="134"/>
      <c r="T166" s="134"/>
      <c r="U166" s="134"/>
      <c r="V166" s="135"/>
      <c r="W166" s="135"/>
      <c r="X166" s="135"/>
      <c r="Y166" s="135"/>
      <c r="Z166" s="135"/>
      <c r="AA166" s="135"/>
    </row>
    <row r="167" spans="1:27" ht="15" x14ac:dyDescent="0.25">
      <c r="A167"/>
      <c r="B167"/>
      <c r="C167"/>
      <c r="D167"/>
      <c r="E167"/>
      <c r="F167"/>
      <c r="G167"/>
      <c r="H167"/>
      <c r="J167" s="133"/>
      <c r="K167" s="133"/>
      <c r="L167" s="133"/>
      <c r="M167" s="133"/>
      <c r="N167" s="133"/>
      <c r="O167" s="133"/>
      <c r="P167" s="134"/>
      <c r="Q167" s="134"/>
      <c r="R167" s="134"/>
      <c r="S167" s="134"/>
      <c r="T167" s="134"/>
      <c r="U167" s="134"/>
      <c r="V167" s="135"/>
      <c r="W167" s="135"/>
      <c r="X167" s="135"/>
      <c r="Y167" s="135"/>
      <c r="Z167" s="135"/>
      <c r="AA167" s="135"/>
    </row>
    <row r="168" spans="1:27" ht="15" x14ac:dyDescent="0.25">
      <c r="A168"/>
      <c r="B168"/>
      <c r="C168"/>
      <c r="D168"/>
      <c r="E168"/>
      <c r="F168"/>
      <c r="G168"/>
      <c r="H168"/>
      <c r="J168" s="133"/>
      <c r="K168" s="133"/>
      <c r="L168" s="133"/>
      <c r="M168" s="133"/>
      <c r="N168" s="133"/>
      <c r="O168" s="133"/>
      <c r="P168" s="134"/>
      <c r="Q168" s="134"/>
      <c r="R168" s="134"/>
      <c r="S168" s="134"/>
      <c r="T168" s="134"/>
      <c r="U168" s="134"/>
      <c r="V168" s="135"/>
      <c r="W168" s="135"/>
      <c r="X168" s="135"/>
      <c r="Y168" s="135"/>
      <c r="Z168" s="135"/>
      <c r="AA168" s="135"/>
    </row>
    <row r="169" spans="1:27" ht="15" x14ac:dyDescent="0.25">
      <c r="A169"/>
      <c r="B169"/>
      <c r="C169"/>
      <c r="D169"/>
      <c r="E169"/>
      <c r="F169"/>
      <c r="G169"/>
      <c r="H169"/>
    </row>
    <row r="170" spans="1:27" ht="15" x14ac:dyDescent="0.25">
      <c r="A170"/>
      <c r="B170"/>
      <c r="C170"/>
      <c r="D170"/>
      <c r="E170"/>
      <c r="F170"/>
      <c r="G170"/>
      <c r="H170"/>
    </row>
    <row r="171" spans="1:27" ht="15" x14ac:dyDescent="0.25">
      <c r="A171"/>
      <c r="B171"/>
      <c r="C171"/>
      <c r="D171"/>
      <c r="E171"/>
      <c r="F171"/>
      <c r="G171"/>
      <c r="H171"/>
    </row>
    <row r="172" spans="1:27" x14ac:dyDescent="0.2">
      <c r="C172" s="136"/>
      <c r="D172" s="136"/>
      <c r="E172" s="136"/>
      <c r="F172" s="136"/>
      <c r="G172" s="136"/>
    </row>
    <row r="173" spans="1:27" x14ac:dyDescent="0.2">
      <c r="C173" s="137"/>
      <c r="D173" s="137"/>
      <c r="E173" s="137"/>
      <c r="F173" s="137"/>
      <c r="G173" s="137"/>
    </row>
    <row r="174" spans="1:27" x14ac:dyDescent="0.2">
      <c r="C174" s="137"/>
      <c r="D174" s="137"/>
      <c r="E174" s="137"/>
      <c r="F174" s="137"/>
      <c r="G174" s="137"/>
    </row>
    <row r="175" spans="1:27" x14ac:dyDescent="0.2">
      <c r="C175" s="137"/>
      <c r="D175" s="137"/>
      <c r="E175" s="137"/>
      <c r="F175" s="137"/>
      <c r="G175" s="137"/>
    </row>
    <row r="176" spans="1:27" x14ac:dyDescent="0.2">
      <c r="C176" s="137"/>
      <c r="D176" s="137"/>
      <c r="E176" s="137"/>
      <c r="F176" s="137"/>
      <c r="G176" s="137"/>
    </row>
    <row r="177" spans="1:7" x14ac:dyDescent="0.2">
      <c r="C177" s="137"/>
      <c r="D177" s="137"/>
      <c r="E177" s="137"/>
      <c r="F177" s="137"/>
      <c r="G177" s="137"/>
    </row>
    <row r="178" spans="1:7" x14ac:dyDescent="0.2">
      <c r="C178" s="137"/>
      <c r="D178" s="137"/>
      <c r="E178" s="137"/>
      <c r="F178" s="137"/>
      <c r="G178" s="137"/>
    </row>
    <row r="179" spans="1:7" x14ac:dyDescent="0.2">
      <c r="C179" s="137"/>
      <c r="D179" s="137"/>
      <c r="E179" s="137"/>
      <c r="F179" s="137"/>
      <c r="G179" s="137"/>
    </row>
    <row r="180" spans="1:7" x14ac:dyDescent="0.2">
      <c r="C180" s="137"/>
      <c r="D180" s="137"/>
      <c r="E180" s="137"/>
      <c r="F180" s="137"/>
      <c r="G180" s="137"/>
    </row>
    <row r="181" spans="1:7" x14ac:dyDescent="0.2">
      <c r="C181" s="137"/>
      <c r="D181" s="137"/>
      <c r="E181" s="137"/>
      <c r="F181" s="137"/>
      <c r="G181" s="137"/>
    </row>
    <row r="182" spans="1:7" x14ac:dyDescent="0.2">
      <c r="C182" s="137"/>
      <c r="D182" s="137"/>
      <c r="E182" s="137"/>
      <c r="F182" s="137"/>
      <c r="G182" s="137"/>
    </row>
    <row r="183" spans="1:7" x14ac:dyDescent="0.2">
      <c r="C183" s="137"/>
      <c r="D183" s="137"/>
      <c r="E183" s="137"/>
      <c r="F183" s="137"/>
      <c r="G183" s="137"/>
    </row>
    <row r="184" spans="1:7" x14ac:dyDescent="0.2">
      <c r="C184" s="137"/>
      <c r="D184" s="137"/>
      <c r="E184" s="137"/>
      <c r="F184" s="137"/>
      <c r="G184" s="137"/>
    </row>
    <row r="185" spans="1:7" x14ac:dyDescent="0.2">
      <c r="C185" s="85"/>
      <c r="D185" s="85"/>
      <c r="E185" s="85"/>
      <c r="F185" s="85"/>
      <c r="G185" s="85"/>
    </row>
    <row r="186" spans="1:7" x14ac:dyDescent="0.2">
      <c r="A186" s="86"/>
      <c r="B186" s="86"/>
      <c r="C186" s="138"/>
      <c r="D186" s="138"/>
      <c r="E186" s="138"/>
      <c r="F186" s="138"/>
      <c r="G186" s="138"/>
    </row>
    <row r="187" spans="1:7" x14ac:dyDescent="0.2">
      <c r="B187" s="139"/>
      <c r="C187" s="139"/>
      <c r="D187" s="139"/>
      <c r="E187" s="139"/>
      <c r="F187" s="139"/>
      <c r="G187" s="139"/>
    </row>
    <row r="188" spans="1:7" x14ac:dyDescent="0.2">
      <c r="B188" s="139"/>
      <c r="C188" s="139"/>
      <c r="D188" s="139"/>
      <c r="E188" s="139"/>
      <c r="F188" s="139"/>
      <c r="G188" s="139"/>
    </row>
    <row r="189" spans="1:7" x14ac:dyDescent="0.2">
      <c r="C189" s="137"/>
      <c r="D189" s="137"/>
      <c r="E189" s="137"/>
      <c r="F189" s="137"/>
      <c r="G189" s="137"/>
    </row>
    <row r="190" spans="1:7" x14ac:dyDescent="0.2">
      <c r="C190" s="137"/>
      <c r="D190" s="137"/>
      <c r="E190" s="137"/>
      <c r="F190" s="137"/>
      <c r="G190" s="137"/>
    </row>
    <row r="191" spans="1:7" x14ac:dyDescent="0.2">
      <c r="C191" s="137"/>
      <c r="D191" s="137"/>
      <c r="E191" s="137"/>
      <c r="F191" s="137"/>
      <c r="G191" s="137"/>
    </row>
    <row r="192" spans="1:7" x14ac:dyDescent="0.2">
      <c r="C192" s="137"/>
      <c r="D192" s="137"/>
      <c r="E192" s="137"/>
      <c r="F192" s="137"/>
      <c r="G192" s="137"/>
    </row>
    <row r="193" spans="1:30" x14ac:dyDescent="0.2">
      <c r="C193" s="137"/>
      <c r="D193" s="137"/>
      <c r="E193" s="137"/>
      <c r="F193" s="137"/>
      <c r="G193" s="137"/>
    </row>
    <row r="194" spans="1:30" x14ac:dyDescent="0.2">
      <c r="C194" s="137"/>
      <c r="D194" s="137"/>
      <c r="E194" s="137"/>
      <c r="F194" s="137"/>
      <c r="G194" s="137"/>
    </row>
    <row r="195" spans="1:30" x14ac:dyDescent="0.2">
      <c r="C195" s="137"/>
      <c r="D195" s="137"/>
      <c r="E195" s="137"/>
      <c r="F195" s="137"/>
      <c r="G195" s="137"/>
    </row>
    <row r="196" spans="1:30" x14ac:dyDescent="0.2">
      <c r="C196" s="137"/>
      <c r="D196" s="137"/>
      <c r="E196" s="137"/>
      <c r="F196" s="137"/>
      <c r="G196" s="137"/>
    </row>
    <row r="197" spans="1:30" x14ac:dyDescent="0.2">
      <c r="C197" s="137"/>
      <c r="D197" s="137"/>
      <c r="E197" s="137"/>
      <c r="F197" s="137"/>
      <c r="G197" s="137"/>
    </row>
    <row r="198" spans="1:30" x14ac:dyDescent="0.2">
      <c r="C198" s="137"/>
      <c r="D198" s="137"/>
      <c r="E198" s="137"/>
      <c r="F198" s="137"/>
      <c r="G198" s="137"/>
    </row>
    <row r="199" spans="1:30" x14ac:dyDescent="0.2">
      <c r="C199" s="137"/>
      <c r="D199" s="137"/>
      <c r="E199" s="137"/>
      <c r="F199" s="137"/>
      <c r="G199" s="137"/>
    </row>
    <row r="200" spans="1:30" s="80" customFormat="1" x14ac:dyDescent="0.2">
      <c r="A200" s="85"/>
      <c r="B200" s="85"/>
      <c r="C200" s="137"/>
      <c r="D200" s="137"/>
      <c r="E200" s="137"/>
      <c r="F200" s="137"/>
      <c r="G200" s="137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1"/>
      <c r="W200" s="141"/>
      <c r="X200" s="141"/>
      <c r="Y200" s="141"/>
      <c r="Z200" s="141"/>
      <c r="AA200" s="141"/>
      <c r="AB200" s="141"/>
      <c r="AC200" s="141"/>
      <c r="AD200" s="141"/>
    </row>
    <row r="201" spans="1:30" s="80" customFormat="1" x14ac:dyDescent="0.2">
      <c r="A201" s="85"/>
      <c r="B201" s="85"/>
      <c r="C201" s="85"/>
      <c r="D201" s="85"/>
      <c r="E201" s="85"/>
      <c r="F201" s="85"/>
      <c r="G201" s="85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1"/>
      <c r="W201" s="141"/>
      <c r="X201" s="141"/>
      <c r="Y201" s="141"/>
      <c r="Z201" s="141"/>
      <c r="AA201" s="141"/>
      <c r="AB201" s="141"/>
      <c r="AC201" s="141"/>
      <c r="AD201" s="141"/>
    </row>
    <row r="202" spans="1:30" s="80" customFormat="1" x14ac:dyDescent="0.2">
      <c r="A202" s="85"/>
      <c r="B202" s="86"/>
      <c r="C202" s="138"/>
      <c r="D202" s="138"/>
      <c r="E202" s="138"/>
      <c r="F202" s="138"/>
      <c r="G202" s="138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1"/>
      <c r="W202" s="141"/>
      <c r="X202" s="141"/>
      <c r="Y202" s="141"/>
      <c r="Z202" s="141"/>
      <c r="AA202" s="141"/>
      <c r="AB202" s="141"/>
      <c r="AC202" s="141"/>
      <c r="AD202" s="141"/>
    </row>
    <row r="203" spans="1:30" s="80" customFormat="1" x14ac:dyDescent="0.2">
      <c r="A203" s="85"/>
      <c r="B203" s="85"/>
      <c r="C203" s="136"/>
      <c r="D203" s="136"/>
      <c r="E203" s="136"/>
      <c r="F203" s="136"/>
      <c r="G203" s="136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1"/>
      <c r="W203" s="141"/>
      <c r="X203" s="141"/>
      <c r="Y203" s="141"/>
      <c r="Z203" s="141"/>
      <c r="AA203" s="141"/>
      <c r="AB203" s="141"/>
      <c r="AC203" s="141"/>
      <c r="AD203" s="141"/>
    </row>
    <row r="204" spans="1:30" s="80" customFormat="1" x14ac:dyDescent="0.2">
      <c r="A204" s="85"/>
      <c r="B204" s="85"/>
      <c r="C204" s="136"/>
      <c r="D204" s="136"/>
      <c r="E204" s="136"/>
      <c r="F204" s="136"/>
      <c r="G204" s="136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1"/>
      <c r="W204" s="141"/>
      <c r="X204" s="141"/>
      <c r="Y204" s="141"/>
      <c r="Z204" s="141"/>
      <c r="AA204" s="141"/>
      <c r="AB204" s="141"/>
      <c r="AC204" s="141"/>
      <c r="AD204" s="141"/>
    </row>
    <row r="205" spans="1:30" s="80" customFormat="1" x14ac:dyDescent="0.2">
      <c r="A205" s="65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1"/>
      <c r="W205" s="141"/>
      <c r="X205" s="141"/>
      <c r="Y205" s="141"/>
      <c r="Z205" s="141"/>
      <c r="AA205" s="141"/>
      <c r="AB205" s="141"/>
      <c r="AC205" s="141"/>
      <c r="AD205" s="141"/>
    </row>
    <row r="206" spans="1:30" s="80" customFormat="1" x14ac:dyDescent="0.2">
      <c r="A206" s="65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1"/>
      <c r="W206" s="141"/>
      <c r="X206" s="141"/>
      <c r="Y206" s="141"/>
      <c r="Z206" s="141"/>
      <c r="AA206" s="141"/>
      <c r="AB206" s="141"/>
      <c r="AC206" s="141"/>
      <c r="AD206" s="141"/>
    </row>
    <row r="207" spans="1:30" s="80" customFormat="1" x14ac:dyDescent="0.2">
      <c r="A207" s="65"/>
      <c r="B207" s="65"/>
      <c r="C207" s="65"/>
      <c r="D207" s="65"/>
      <c r="E207" s="65"/>
      <c r="F207" s="65"/>
      <c r="G207" s="65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1"/>
      <c r="W207" s="141"/>
      <c r="X207" s="141"/>
      <c r="Y207" s="141"/>
      <c r="Z207" s="141"/>
      <c r="AA207" s="141"/>
      <c r="AB207" s="141"/>
      <c r="AC207" s="141"/>
      <c r="AD207" s="141"/>
    </row>
    <row r="208" spans="1:30" s="80" customFormat="1" x14ac:dyDescent="0.2">
      <c r="A208" s="65"/>
      <c r="B208" s="65"/>
      <c r="C208" s="65"/>
      <c r="D208" s="65"/>
      <c r="E208" s="65"/>
      <c r="F208" s="65"/>
      <c r="G208" s="65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1"/>
      <c r="W208" s="141"/>
      <c r="X208" s="141"/>
      <c r="Y208" s="141"/>
      <c r="Z208" s="141"/>
      <c r="AA208" s="141"/>
      <c r="AB208" s="141"/>
      <c r="AC208" s="141"/>
      <c r="AD208" s="141"/>
    </row>
    <row r="209" spans="1:30" s="80" customFormat="1" x14ac:dyDescent="0.2">
      <c r="A209" s="65"/>
      <c r="B209" s="65"/>
      <c r="C209" s="65"/>
      <c r="D209" s="65"/>
      <c r="E209" s="65"/>
      <c r="F209" s="65"/>
      <c r="G209" s="65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1"/>
      <c r="W209" s="141"/>
      <c r="X209" s="141"/>
      <c r="Y209" s="141"/>
      <c r="Z209" s="141"/>
      <c r="AA209" s="141"/>
      <c r="AB209" s="141"/>
      <c r="AC209" s="141"/>
      <c r="AD209" s="141"/>
    </row>
    <row r="210" spans="1:30" s="80" customFormat="1" x14ac:dyDescent="0.2">
      <c r="A210" s="65"/>
      <c r="B210" s="65"/>
      <c r="C210" s="65"/>
      <c r="D210" s="65"/>
      <c r="E210" s="65"/>
      <c r="F210" s="65"/>
      <c r="G210" s="65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1"/>
      <c r="W210" s="141"/>
      <c r="X210" s="141"/>
      <c r="Y210" s="141"/>
      <c r="Z210" s="141"/>
      <c r="AA210" s="141"/>
      <c r="AB210" s="141"/>
      <c r="AC210" s="141"/>
      <c r="AD210" s="141"/>
    </row>
    <row r="211" spans="1:30" s="80" customFormat="1" x14ac:dyDescent="0.2">
      <c r="A211" s="65"/>
      <c r="B211" s="65"/>
      <c r="C211" s="65"/>
      <c r="D211" s="65"/>
      <c r="E211" s="65"/>
      <c r="F211" s="65"/>
      <c r="G211" s="65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1"/>
      <c r="W211" s="141"/>
      <c r="X211" s="141"/>
      <c r="Y211" s="141"/>
      <c r="Z211" s="141"/>
      <c r="AA211" s="141"/>
      <c r="AB211" s="141"/>
      <c r="AC211" s="141"/>
      <c r="AD211" s="141"/>
    </row>
    <row r="212" spans="1:30" s="80" customFormat="1" x14ac:dyDescent="0.2">
      <c r="A212" s="65"/>
      <c r="B212" s="65"/>
      <c r="C212" s="65"/>
      <c r="D212" s="65"/>
      <c r="E212" s="65"/>
      <c r="F212" s="65"/>
      <c r="G212" s="65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1"/>
      <c r="W212" s="141"/>
      <c r="X212" s="141"/>
      <c r="Y212" s="141"/>
      <c r="Z212" s="141"/>
      <c r="AA212" s="141"/>
      <c r="AB212" s="141"/>
      <c r="AC212" s="141"/>
      <c r="AD212" s="141"/>
    </row>
    <row r="213" spans="1:30" s="80" customFormat="1" x14ac:dyDescent="0.2">
      <c r="A213" s="65"/>
      <c r="B213" s="65"/>
      <c r="C213" s="65"/>
      <c r="D213" s="65"/>
      <c r="E213" s="65"/>
      <c r="F213" s="65"/>
      <c r="G213" s="65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1"/>
      <c r="W213" s="141"/>
      <c r="X213" s="141"/>
      <c r="Y213" s="141"/>
      <c r="Z213" s="141"/>
      <c r="AA213" s="141"/>
      <c r="AB213" s="141"/>
      <c r="AC213" s="141"/>
      <c r="AD213" s="141"/>
    </row>
    <row r="214" spans="1:30" s="80" customFormat="1" x14ac:dyDescent="0.2">
      <c r="A214" s="65"/>
      <c r="B214" s="65"/>
      <c r="C214" s="65"/>
      <c r="D214" s="65"/>
      <c r="E214" s="65"/>
      <c r="F214" s="65"/>
      <c r="G214" s="65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1"/>
      <c r="W214" s="141"/>
      <c r="X214" s="141"/>
      <c r="Y214" s="141"/>
      <c r="Z214" s="141"/>
      <c r="AA214" s="141"/>
      <c r="AB214" s="141"/>
      <c r="AC214" s="141"/>
      <c r="AD214" s="141"/>
    </row>
    <row r="215" spans="1:30" s="80" customFormat="1" x14ac:dyDescent="0.2">
      <c r="A215" s="65"/>
      <c r="B215" s="65"/>
      <c r="C215" s="65"/>
      <c r="D215" s="65"/>
      <c r="E215" s="65"/>
      <c r="F215" s="65"/>
      <c r="G215" s="65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1"/>
      <c r="W215" s="141"/>
      <c r="X215" s="141"/>
      <c r="Y215" s="141"/>
      <c r="Z215" s="141"/>
      <c r="AA215" s="141"/>
      <c r="AB215" s="141"/>
      <c r="AC215" s="141"/>
      <c r="AD215" s="141"/>
    </row>
    <row r="216" spans="1:30" s="80" customFormat="1" x14ac:dyDescent="0.2">
      <c r="A216" s="65"/>
      <c r="B216" s="65"/>
      <c r="C216" s="65"/>
      <c r="D216" s="65"/>
      <c r="E216" s="65"/>
      <c r="F216" s="65"/>
      <c r="G216" s="65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1"/>
      <c r="W216" s="141"/>
      <c r="X216" s="141"/>
      <c r="Y216" s="141"/>
      <c r="Z216" s="141"/>
      <c r="AA216" s="141"/>
      <c r="AB216" s="141"/>
      <c r="AC216" s="141"/>
      <c r="AD216" s="141"/>
    </row>
    <row r="217" spans="1:30" s="80" customFormat="1" x14ac:dyDescent="0.2">
      <c r="A217" s="65"/>
      <c r="B217" s="65"/>
      <c r="C217" s="65"/>
      <c r="D217" s="65"/>
      <c r="E217" s="65"/>
      <c r="F217" s="65"/>
      <c r="G217" s="65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1"/>
      <c r="W217" s="141"/>
      <c r="X217" s="141"/>
      <c r="Y217" s="141"/>
      <c r="Z217" s="141"/>
      <c r="AA217" s="141"/>
      <c r="AB217" s="141"/>
      <c r="AC217" s="141"/>
      <c r="AD217" s="141"/>
    </row>
    <row r="218" spans="1:30" s="80" customFormat="1" x14ac:dyDescent="0.2">
      <c r="A218" s="65"/>
      <c r="B218" s="65"/>
      <c r="C218" s="65"/>
      <c r="D218" s="65"/>
      <c r="E218" s="65"/>
      <c r="F218" s="65"/>
      <c r="G218" s="65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1"/>
      <c r="W218" s="141"/>
      <c r="X218" s="141"/>
      <c r="Y218" s="141"/>
      <c r="Z218" s="141"/>
      <c r="AA218" s="141"/>
      <c r="AB218" s="141"/>
      <c r="AC218" s="141"/>
      <c r="AD218" s="141"/>
    </row>
    <row r="219" spans="1:30" s="80" customFormat="1" x14ac:dyDescent="0.2">
      <c r="A219" s="65"/>
      <c r="B219" s="65"/>
      <c r="C219" s="65"/>
      <c r="D219" s="65"/>
      <c r="E219" s="65"/>
      <c r="F219" s="65"/>
      <c r="G219" s="65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1"/>
      <c r="W219" s="141"/>
      <c r="X219" s="141"/>
      <c r="Y219" s="141"/>
      <c r="Z219" s="141"/>
      <c r="AA219" s="141"/>
      <c r="AB219" s="141"/>
      <c r="AC219" s="141"/>
      <c r="AD219" s="141"/>
    </row>
    <row r="220" spans="1:30" s="80" customFormat="1" x14ac:dyDescent="0.2">
      <c r="A220" s="65"/>
      <c r="B220" s="65"/>
      <c r="C220" s="65"/>
      <c r="D220" s="65"/>
      <c r="E220" s="65"/>
      <c r="F220" s="65"/>
      <c r="G220" s="65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1"/>
      <c r="W220" s="141"/>
      <c r="X220" s="141"/>
      <c r="Y220" s="141"/>
      <c r="Z220" s="141"/>
      <c r="AA220" s="141"/>
      <c r="AB220" s="141"/>
      <c r="AC220" s="141"/>
      <c r="AD220" s="141"/>
    </row>
    <row r="221" spans="1:30" s="80" customFormat="1" x14ac:dyDescent="0.2">
      <c r="A221" s="65"/>
      <c r="B221" s="65"/>
      <c r="C221" s="65"/>
      <c r="D221" s="65"/>
      <c r="E221" s="65"/>
      <c r="F221" s="65"/>
      <c r="G221" s="65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1"/>
      <c r="W221" s="141"/>
      <c r="X221" s="141"/>
      <c r="Y221" s="141"/>
      <c r="Z221" s="141"/>
      <c r="AA221" s="141"/>
      <c r="AB221" s="141"/>
      <c r="AC221" s="141"/>
      <c r="AD221" s="141"/>
    </row>
    <row r="222" spans="1:30" s="80" customFormat="1" x14ac:dyDescent="0.2">
      <c r="A222" s="65"/>
      <c r="B222" s="65"/>
      <c r="C222" s="65"/>
      <c r="D222" s="65"/>
      <c r="E222" s="65"/>
      <c r="F222" s="65"/>
      <c r="G222" s="65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1"/>
      <c r="W222" s="141"/>
      <c r="X222" s="141"/>
      <c r="Y222" s="141"/>
      <c r="Z222" s="141"/>
      <c r="AA222" s="141"/>
      <c r="AB222" s="141"/>
      <c r="AC222" s="141"/>
      <c r="AD222" s="141"/>
    </row>
    <row r="223" spans="1:30" s="80" customFormat="1" x14ac:dyDescent="0.2">
      <c r="A223" s="65"/>
      <c r="B223" s="65"/>
      <c r="C223" s="65"/>
      <c r="D223" s="65"/>
      <c r="E223" s="65"/>
      <c r="F223" s="65"/>
      <c r="G223" s="65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1"/>
      <c r="W223" s="141"/>
      <c r="X223" s="141"/>
      <c r="Y223" s="141"/>
      <c r="Z223" s="141"/>
      <c r="AA223" s="141"/>
      <c r="AB223" s="141"/>
      <c r="AC223" s="141"/>
      <c r="AD223" s="141"/>
    </row>
    <row r="224" spans="1:30" s="80" customFormat="1" x14ac:dyDescent="0.2">
      <c r="A224" s="65"/>
      <c r="B224" s="65"/>
      <c r="C224" s="65"/>
      <c r="D224" s="65"/>
      <c r="E224" s="65"/>
      <c r="F224" s="65"/>
      <c r="G224" s="65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1"/>
      <c r="W224" s="141"/>
      <c r="X224" s="141"/>
      <c r="Y224" s="141"/>
      <c r="Z224" s="141"/>
      <c r="AA224" s="141"/>
      <c r="AB224" s="141"/>
      <c r="AC224" s="141"/>
      <c r="AD224" s="141"/>
    </row>
    <row r="225" spans="1:30" s="80" customFormat="1" x14ac:dyDescent="0.2">
      <c r="A225" s="65"/>
      <c r="B225" s="65"/>
      <c r="C225" s="65"/>
      <c r="D225" s="65"/>
      <c r="E225" s="65"/>
      <c r="F225" s="65"/>
      <c r="G225" s="65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1"/>
      <c r="W225" s="141"/>
      <c r="X225" s="141"/>
      <c r="Y225" s="141"/>
      <c r="Z225" s="141"/>
      <c r="AA225" s="141"/>
      <c r="AB225" s="141"/>
      <c r="AC225" s="141"/>
      <c r="AD225" s="141"/>
    </row>
    <row r="226" spans="1:30" s="80" customFormat="1" x14ac:dyDescent="0.2">
      <c r="A226" s="65"/>
      <c r="B226" s="65"/>
      <c r="C226" s="65"/>
      <c r="D226" s="65"/>
      <c r="E226" s="65"/>
      <c r="F226" s="65"/>
      <c r="G226" s="65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1"/>
      <c r="W226" s="141"/>
      <c r="X226" s="141"/>
      <c r="Y226" s="141"/>
      <c r="Z226" s="141"/>
      <c r="AA226" s="141"/>
      <c r="AB226" s="141"/>
      <c r="AC226" s="141"/>
      <c r="AD226" s="141"/>
    </row>
    <row r="227" spans="1:30" s="80" customFormat="1" x14ac:dyDescent="0.2">
      <c r="A227" s="65"/>
      <c r="B227" s="65"/>
      <c r="C227" s="65"/>
      <c r="D227" s="65"/>
      <c r="E227" s="65"/>
      <c r="F227" s="65"/>
      <c r="G227" s="65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1"/>
      <c r="W227" s="141"/>
      <c r="X227" s="141"/>
      <c r="Y227" s="141"/>
      <c r="Z227" s="141"/>
      <c r="AA227" s="141"/>
      <c r="AB227" s="141"/>
      <c r="AC227" s="141"/>
      <c r="AD227" s="141"/>
    </row>
    <row r="228" spans="1:30" s="80" customFormat="1" x14ac:dyDescent="0.2">
      <c r="A228" s="65"/>
      <c r="B228" s="65"/>
      <c r="C228" s="65"/>
      <c r="D228" s="65"/>
      <c r="E228" s="65"/>
      <c r="F228" s="65"/>
      <c r="G228" s="65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1"/>
      <c r="W228" s="141"/>
      <c r="X228" s="141"/>
      <c r="Y228" s="141"/>
      <c r="Z228" s="141"/>
      <c r="AA228" s="141"/>
      <c r="AB228" s="141"/>
      <c r="AC228" s="141"/>
      <c r="AD228" s="141"/>
    </row>
    <row r="229" spans="1:30" s="80" customFormat="1" x14ac:dyDescent="0.2">
      <c r="A229" s="65"/>
      <c r="B229" s="65"/>
      <c r="C229" s="65"/>
      <c r="D229" s="65"/>
      <c r="E229" s="65"/>
      <c r="F229" s="65"/>
      <c r="G229" s="65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1"/>
      <c r="W229" s="141"/>
      <c r="X229" s="141"/>
      <c r="Y229" s="141"/>
      <c r="Z229" s="141"/>
      <c r="AA229" s="141"/>
      <c r="AB229" s="141"/>
      <c r="AC229" s="141"/>
      <c r="AD229" s="141"/>
    </row>
    <row r="230" spans="1:30" s="80" customFormat="1" x14ac:dyDescent="0.2">
      <c r="A230" s="65"/>
      <c r="B230" s="65"/>
      <c r="C230" s="65"/>
      <c r="D230" s="65"/>
      <c r="E230" s="65"/>
      <c r="F230" s="65"/>
      <c r="G230" s="65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1"/>
      <c r="W230" s="141"/>
      <c r="X230" s="141"/>
      <c r="Y230" s="141"/>
      <c r="Z230" s="141"/>
      <c r="AA230" s="141"/>
      <c r="AB230" s="141"/>
      <c r="AC230" s="141"/>
      <c r="AD230" s="141"/>
    </row>
    <row r="231" spans="1:30" s="80" customFormat="1" x14ac:dyDescent="0.2">
      <c r="A231" s="65"/>
      <c r="B231" s="65"/>
      <c r="C231" s="65"/>
      <c r="D231" s="65"/>
      <c r="E231" s="65"/>
      <c r="F231" s="65"/>
      <c r="G231" s="65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1"/>
      <c r="W231" s="141"/>
      <c r="X231" s="141"/>
      <c r="Y231" s="141"/>
      <c r="Z231" s="141"/>
      <c r="AA231" s="141"/>
      <c r="AB231" s="141"/>
      <c r="AC231" s="141"/>
      <c r="AD231" s="141"/>
    </row>
    <row r="232" spans="1:30" s="80" customFormat="1" x14ac:dyDescent="0.2">
      <c r="A232" s="65"/>
      <c r="B232" s="65"/>
      <c r="C232" s="65"/>
      <c r="D232" s="65"/>
      <c r="E232" s="65"/>
      <c r="F232" s="65"/>
      <c r="G232" s="65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1"/>
      <c r="W232" s="141"/>
      <c r="X232" s="141"/>
      <c r="Y232" s="141"/>
      <c r="Z232" s="141"/>
      <c r="AA232" s="141"/>
      <c r="AB232" s="141"/>
      <c r="AC232" s="141"/>
      <c r="AD232" s="141"/>
    </row>
    <row r="233" spans="1:30" s="80" customFormat="1" x14ac:dyDescent="0.2">
      <c r="A233" s="65"/>
      <c r="B233" s="65"/>
      <c r="C233" s="65"/>
      <c r="D233" s="65"/>
      <c r="E233" s="65"/>
      <c r="F233" s="65"/>
      <c r="G233" s="65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1"/>
      <c r="W233" s="141"/>
      <c r="X233" s="141"/>
      <c r="Y233" s="141"/>
      <c r="Z233" s="141"/>
      <c r="AA233" s="141"/>
      <c r="AB233" s="141"/>
      <c r="AC233" s="141"/>
      <c r="AD233" s="141"/>
    </row>
    <row r="234" spans="1:30" s="80" customFormat="1" x14ac:dyDescent="0.2">
      <c r="A234" s="65"/>
      <c r="B234" s="65"/>
      <c r="C234" s="65"/>
      <c r="D234" s="65"/>
      <c r="E234" s="65"/>
      <c r="F234" s="65"/>
      <c r="G234" s="65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1"/>
      <c r="W234" s="141"/>
      <c r="X234" s="141"/>
      <c r="Y234" s="141"/>
      <c r="Z234" s="141"/>
      <c r="AA234" s="141"/>
      <c r="AB234" s="141"/>
      <c r="AC234" s="141"/>
      <c r="AD234" s="141"/>
    </row>
    <row r="235" spans="1:30" s="80" customFormat="1" x14ac:dyDescent="0.2">
      <c r="A235" s="65"/>
      <c r="B235" s="65"/>
      <c r="C235" s="65"/>
      <c r="D235" s="65"/>
      <c r="E235" s="65"/>
      <c r="F235" s="65"/>
      <c r="G235" s="65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1"/>
      <c r="W235" s="141"/>
      <c r="X235" s="141"/>
      <c r="Y235" s="141"/>
      <c r="Z235" s="141"/>
      <c r="AA235" s="141"/>
      <c r="AB235" s="141"/>
      <c r="AC235" s="141"/>
      <c r="AD235" s="141"/>
    </row>
    <row r="236" spans="1:30" s="80" customFormat="1" x14ac:dyDescent="0.2">
      <c r="A236" s="65"/>
      <c r="B236" s="65"/>
      <c r="C236" s="65"/>
      <c r="D236" s="65"/>
      <c r="E236" s="65"/>
      <c r="F236" s="65"/>
      <c r="G236" s="65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1"/>
      <c r="W236" s="141"/>
      <c r="X236" s="141"/>
      <c r="Y236" s="141"/>
      <c r="Z236" s="141"/>
      <c r="AA236" s="141"/>
      <c r="AB236" s="141"/>
      <c r="AC236" s="141"/>
      <c r="AD236" s="141"/>
    </row>
    <row r="237" spans="1:30" s="80" customFormat="1" x14ac:dyDescent="0.2">
      <c r="A237" s="65"/>
      <c r="B237" s="65"/>
      <c r="C237" s="65"/>
      <c r="D237" s="65"/>
      <c r="E237" s="65"/>
      <c r="F237" s="65"/>
      <c r="G237" s="65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1"/>
      <c r="W237" s="141"/>
      <c r="X237" s="141"/>
      <c r="Y237" s="141"/>
      <c r="Z237" s="141"/>
      <c r="AA237" s="141"/>
      <c r="AB237" s="141"/>
      <c r="AC237" s="141"/>
      <c r="AD237" s="141"/>
    </row>
    <row r="238" spans="1:30" s="80" customFormat="1" x14ac:dyDescent="0.2">
      <c r="A238" s="65"/>
      <c r="B238" s="65"/>
      <c r="C238" s="65"/>
      <c r="D238" s="65"/>
      <c r="E238" s="65"/>
      <c r="F238" s="65"/>
      <c r="G238" s="65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1"/>
      <c r="W238" s="141"/>
      <c r="X238" s="141"/>
      <c r="Y238" s="141"/>
      <c r="Z238" s="141"/>
      <c r="AA238" s="141"/>
      <c r="AB238" s="141"/>
      <c r="AC238" s="141"/>
      <c r="AD238" s="141"/>
    </row>
    <row r="239" spans="1:30" s="80" customFormat="1" x14ac:dyDescent="0.2">
      <c r="A239" s="65"/>
      <c r="B239" s="65"/>
      <c r="C239" s="65"/>
      <c r="D239" s="65"/>
      <c r="E239" s="65"/>
      <c r="F239" s="65"/>
      <c r="G239" s="65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1"/>
      <c r="W239" s="141"/>
      <c r="X239" s="141"/>
      <c r="Y239" s="141"/>
      <c r="Z239" s="141"/>
      <c r="AA239" s="141"/>
      <c r="AB239" s="141"/>
      <c r="AC239" s="141"/>
      <c r="AD239" s="141"/>
    </row>
    <row r="240" spans="1:30" s="80" customFormat="1" x14ac:dyDescent="0.2">
      <c r="A240" s="65"/>
      <c r="B240" s="65"/>
      <c r="C240" s="65"/>
      <c r="D240" s="65"/>
      <c r="E240" s="65"/>
      <c r="F240" s="65"/>
      <c r="G240" s="65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1"/>
      <c r="W240" s="141"/>
      <c r="X240" s="141"/>
      <c r="Y240" s="141"/>
      <c r="Z240" s="141"/>
      <c r="AA240" s="141"/>
      <c r="AB240" s="141"/>
      <c r="AC240" s="141"/>
      <c r="AD240" s="141"/>
    </row>
    <row r="241" spans="1:30" s="80" customFormat="1" x14ac:dyDescent="0.2">
      <c r="A241" s="65"/>
      <c r="B241" s="65"/>
      <c r="C241" s="65"/>
      <c r="D241" s="65"/>
      <c r="E241" s="65"/>
      <c r="F241" s="65"/>
      <c r="G241" s="65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1"/>
      <c r="W241" s="141"/>
      <c r="X241" s="141"/>
      <c r="Y241" s="141"/>
      <c r="Z241" s="141"/>
      <c r="AA241" s="141"/>
      <c r="AB241" s="141"/>
      <c r="AC241" s="141"/>
      <c r="AD241" s="141"/>
    </row>
    <row r="242" spans="1:30" s="80" customFormat="1" x14ac:dyDescent="0.2">
      <c r="A242" s="65"/>
      <c r="B242" s="65"/>
      <c r="C242" s="65"/>
      <c r="D242" s="65"/>
      <c r="E242" s="65"/>
      <c r="F242" s="65"/>
      <c r="G242" s="65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1"/>
      <c r="W242" s="141"/>
      <c r="X242" s="141"/>
      <c r="Y242" s="141"/>
      <c r="Z242" s="141"/>
      <c r="AA242" s="141"/>
      <c r="AB242" s="141"/>
      <c r="AC242" s="141"/>
      <c r="AD242" s="141"/>
    </row>
    <row r="243" spans="1:30" s="80" customFormat="1" x14ac:dyDescent="0.2">
      <c r="A243" s="65"/>
      <c r="B243" s="65"/>
      <c r="C243" s="65"/>
      <c r="D243" s="65"/>
      <c r="E243" s="65"/>
      <c r="F243" s="65"/>
      <c r="G243" s="65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1"/>
      <c r="W243" s="141"/>
      <c r="X243" s="141"/>
      <c r="Y243" s="141"/>
      <c r="Z243" s="141"/>
      <c r="AA243" s="141"/>
      <c r="AB243" s="141"/>
      <c r="AC243" s="141"/>
      <c r="AD243" s="141"/>
    </row>
    <row r="244" spans="1:30" s="80" customFormat="1" x14ac:dyDescent="0.2">
      <c r="A244" s="65"/>
      <c r="B244" s="65"/>
      <c r="C244" s="65"/>
      <c r="D244" s="65"/>
      <c r="E244" s="65"/>
      <c r="F244" s="65"/>
      <c r="G244" s="65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1"/>
      <c r="W244" s="141"/>
      <c r="X244" s="141"/>
      <c r="Y244" s="141"/>
      <c r="Z244" s="141"/>
      <c r="AA244" s="141"/>
      <c r="AB244" s="141"/>
      <c r="AC244" s="141"/>
      <c r="AD244" s="141"/>
    </row>
    <row r="245" spans="1:30" s="80" customFormat="1" x14ac:dyDescent="0.2">
      <c r="A245" s="65"/>
      <c r="B245" s="65"/>
      <c r="C245" s="65"/>
      <c r="D245" s="65"/>
      <c r="E245" s="65"/>
      <c r="F245" s="65"/>
      <c r="G245" s="65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1"/>
      <c r="W245" s="141"/>
      <c r="X245" s="141"/>
      <c r="Y245" s="141"/>
      <c r="Z245" s="141"/>
      <c r="AA245" s="141"/>
      <c r="AB245" s="141"/>
      <c r="AC245" s="141"/>
      <c r="AD245" s="141"/>
    </row>
    <row r="246" spans="1:30" s="80" customFormat="1" x14ac:dyDescent="0.2">
      <c r="A246" s="65"/>
      <c r="B246" s="65"/>
      <c r="C246" s="65"/>
      <c r="D246" s="65"/>
      <c r="E246" s="65"/>
      <c r="F246" s="65"/>
      <c r="G246" s="65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1"/>
      <c r="W246" s="141"/>
      <c r="X246" s="141"/>
      <c r="Y246" s="141"/>
      <c r="Z246" s="141"/>
      <c r="AA246" s="141"/>
      <c r="AB246" s="141"/>
      <c r="AC246" s="141"/>
      <c r="AD246" s="141"/>
    </row>
    <row r="247" spans="1:30" s="80" customFormat="1" x14ac:dyDescent="0.2">
      <c r="A247" s="65"/>
      <c r="B247" s="65"/>
      <c r="C247" s="65"/>
      <c r="D247" s="65"/>
      <c r="E247" s="65"/>
      <c r="F247" s="65"/>
      <c r="G247" s="65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1"/>
      <c r="W247" s="141"/>
      <c r="X247" s="141"/>
      <c r="Y247" s="141"/>
      <c r="Z247" s="141"/>
      <c r="AA247" s="141"/>
      <c r="AB247" s="141"/>
      <c r="AC247" s="141"/>
      <c r="AD247" s="141"/>
    </row>
    <row r="248" spans="1:30" s="80" customFormat="1" x14ac:dyDescent="0.2">
      <c r="A248" s="65"/>
      <c r="B248" s="65"/>
      <c r="C248" s="65"/>
      <c r="D248" s="65"/>
      <c r="E248" s="65"/>
      <c r="F248" s="65"/>
      <c r="G248" s="65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1"/>
      <c r="W248" s="141"/>
      <c r="X248" s="141"/>
      <c r="Y248" s="141"/>
      <c r="Z248" s="141"/>
      <c r="AA248" s="141"/>
      <c r="AB248" s="141"/>
      <c r="AC248" s="141"/>
      <c r="AD248" s="141"/>
    </row>
    <row r="249" spans="1:30" s="80" customFormat="1" x14ac:dyDescent="0.2">
      <c r="A249" s="65"/>
      <c r="B249" s="65"/>
      <c r="C249" s="65"/>
      <c r="D249" s="65"/>
      <c r="E249" s="65"/>
      <c r="F249" s="65"/>
      <c r="G249" s="65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1"/>
      <c r="W249" s="141"/>
      <c r="X249" s="141"/>
      <c r="Y249" s="141"/>
      <c r="Z249" s="141"/>
      <c r="AA249" s="141"/>
      <c r="AB249" s="141"/>
      <c r="AC249" s="141"/>
      <c r="AD249" s="141"/>
    </row>
    <row r="250" spans="1:30" s="80" customFormat="1" x14ac:dyDescent="0.2">
      <c r="A250" s="65"/>
      <c r="B250" s="65"/>
      <c r="C250" s="65"/>
      <c r="D250" s="65"/>
      <c r="E250" s="65"/>
      <c r="F250" s="65"/>
      <c r="G250" s="65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1"/>
      <c r="W250" s="141"/>
      <c r="X250" s="141"/>
      <c r="Y250" s="141"/>
      <c r="Z250" s="141"/>
      <c r="AA250" s="141"/>
      <c r="AB250" s="141"/>
      <c r="AC250" s="141"/>
      <c r="AD250" s="141"/>
    </row>
    <row r="251" spans="1:30" s="80" customFormat="1" x14ac:dyDescent="0.2">
      <c r="A251" s="65"/>
      <c r="B251" s="65"/>
      <c r="C251" s="65"/>
      <c r="D251" s="65"/>
      <c r="E251" s="65"/>
      <c r="F251" s="65"/>
      <c r="G251" s="65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1"/>
      <c r="W251" s="141"/>
      <c r="X251" s="141"/>
      <c r="Y251" s="141"/>
      <c r="Z251" s="141"/>
      <c r="AA251" s="141"/>
      <c r="AB251" s="141"/>
      <c r="AC251" s="141"/>
      <c r="AD251" s="141"/>
    </row>
    <row r="252" spans="1:30" s="80" customFormat="1" x14ac:dyDescent="0.2">
      <c r="A252" s="65"/>
      <c r="B252" s="65"/>
      <c r="C252" s="65"/>
      <c r="D252" s="65"/>
      <c r="E252" s="65"/>
      <c r="F252" s="65"/>
      <c r="G252" s="65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1"/>
      <c r="W252" s="141"/>
      <c r="X252" s="141"/>
      <c r="Y252" s="141"/>
      <c r="Z252" s="141"/>
      <c r="AA252" s="141"/>
      <c r="AB252" s="141"/>
      <c r="AC252" s="141"/>
      <c r="AD252" s="141"/>
    </row>
    <row r="253" spans="1:30" s="80" customFormat="1" x14ac:dyDescent="0.2">
      <c r="A253" s="65"/>
      <c r="B253" s="65"/>
      <c r="C253" s="65"/>
      <c r="D253" s="65"/>
      <c r="E253" s="65"/>
      <c r="F253" s="65"/>
      <c r="G253" s="65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1"/>
      <c r="W253" s="141"/>
      <c r="X253" s="141"/>
      <c r="Y253" s="141"/>
      <c r="Z253" s="141"/>
      <c r="AA253" s="141"/>
      <c r="AB253" s="141"/>
      <c r="AC253" s="141"/>
      <c r="AD253" s="141"/>
    </row>
    <row r="254" spans="1:30" s="80" customFormat="1" x14ac:dyDescent="0.2">
      <c r="A254" s="65"/>
      <c r="B254" s="65"/>
      <c r="C254" s="65"/>
      <c r="D254" s="65"/>
      <c r="E254" s="65"/>
      <c r="F254" s="65"/>
      <c r="G254" s="65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1"/>
      <c r="W254" s="141"/>
      <c r="X254" s="141"/>
      <c r="Y254" s="141"/>
      <c r="Z254" s="141"/>
      <c r="AA254" s="141"/>
      <c r="AB254" s="141"/>
      <c r="AC254" s="141"/>
      <c r="AD254" s="141"/>
    </row>
    <row r="255" spans="1:30" s="80" customFormat="1" x14ac:dyDescent="0.2">
      <c r="A255" s="65"/>
      <c r="B255" s="65"/>
      <c r="C255" s="65"/>
      <c r="D255" s="65"/>
      <c r="E255" s="65"/>
      <c r="F255" s="65"/>
      <c r="G255" s="65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1"/>
      <c r="W255" s="141"/>
      <c r="X255" s="141"/>
      <c r="Y255" s="141"/>
      <c r="Z255" s="141"/>
      <c r="AA255" s="141"/>
      <c r="AB255" s="141"/>
      <c r="AC255" s="141"/>
      <c r="AD255" s="141"/>
    </row>
    <row r="256" spans="1:30" s="80" customFormat="1" x14ac:dyDescent="0.2">
      <c r="A256" s="65"/>
      <c r="B256" s="65"/>
      <c r="C256" s="65"/>
      <c r="D256" s="65"/>
      <c r="E256" s="65"/>
      <c r="F256" s="65"/>
      <c r="G256" s="65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1"/>
      <c r="W256" s="141"/>
      <c r="X256" s="141"/>
      <c r="Y256" s="141"/>
      <c r="Z256" s="141"/>
      <c r="AA256" s="141"/>
      <c r="AB256" s="141"/>
      <c r="AC256" s="141"/>
      <c r="AD256" s="141"/>
    </row>
    <row r="257" spans="1:30" s="80" customFormat="1" x14ac:dyDescent="0.2">
      <c r="A257" s="65"/>
      <c r="B257" s="65"/>
      <c r="C257" s="65"/>
      <c r="D257" s="65"/>
      <c r="E257" s="65"/>
      <c r="F257" s="65"/>
      <c r="G257" s="65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1"/>
      <c r="W257" s="141"/>
      <c r="X257" s="141"/>
      <c r="Y257" s="141"/>
      <c r="Z257" s="141"/>
      <c r="AA257" s="141"/>
      <c r="AB257" s="141"/>
      <c r="AC257" s="141"/>
      <c r="AD257" s="141"/>
    </row>
    <row r="258" spans="1:30" x14ac:dyDescent="0.2">
      <c r="A258" s="65"/>
      <c r="B258" s="65"/>
      <c r="C258" s="65"/>
      <c r="D258" s="65"/>
      <c r="E258" s="65"/>
      <c r="F258" s="65"/>
      <c r="G258" s="65"/>
    </row>
    <row r="259" spans="1:30" x14ac:dyDescent="0.2">
      <c r="A259" s="65"/>
      <c r="B259" s="65"/>
      <c r="C259" s="65"/>
      <c r="D259" s="65"/>
      <c r="E259" s="65"/>
      <c r="F259" s="65"/>
      <c r="G259" s="65"/>
    </row>
    <row r="260" spans="1:30" x14ac:dyDescent="0.2">
      <c r="A260" s="65"/>
      <c r="B260" s="65"/>
      <c r="C260" s="65"/>
      <c r="D260" s="65"/>
      <c r="E260" s="65"/>
      <c r="F260" s="65"/>
      <c r="G260" s="65"/>
    </row>
    <row r="261" spans="1:30" x14ac:dyDescent="0.2">
      <c r="A261" s="65"/>
      <c r="B261" s="65"/>
      <c r="C261" s="65"/>
      <c r="D261" s="65"/>
      <c r="E261" s="65"/>
      <c r="F261" s="65"/>
      <c r="G261" s="65"/>
    </row>
    <row r="262" spans="1:30" x14ac:dyDescent="0.2">
      <c r="A262" s="65"/>
      <c r="B262" s="65"/>
      <c r="C262" s="65"/>
      <c r="D262" s="65"/>
      <c r="E262" s="65"/>
      <c r="F262" s="65"/>
      <c r="G262" s="65"/>
    </row>
  </sheetData>
  <mergeCells count="9">
    <mergeCell ref="Y2:Y3"/>
    <mergeCell ref="AC2:AD2"/>
    <mergeCell ref="AE2:AF2"/>
    <mergeCell ref="V2:V3"/>
    <mergeCell ref="X2:X3"/>
    <mergeCell ref="Z2:Z3"/>
    <mergeCell ref="AA2:AA3"/>
    <mergeCell ref="AB2:AB3"/>
    <mergeCell ref="W2:W3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Банк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Saparbek Degenbaev</dc:creator>
  <cp:lastModifiedBy>Saparbek Degenbaev</cp:lastModifiedBy>
  <dcterms:created xsi:type="dcterms:W3CDTF">2018-03-19T04:23:58Z</dcterms:created>
  <dcterms:modified xsi:type="dcterms:W3CDTF">2018-03-19T17:13:33Z</dcterms:modified>
</cp:coreProperties>
</file>