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Pioneer\PES\Misc\"/>
    </mc:Choice>
  </mc:AlternateContent>
  <xr:revisionPtr revIDLastSave="0" documentId="13_ncr:1_{933BAEE7-6C9F-4E74-A9EC-315219B83CD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Main Building" sheetId="1" r:id="rId1"/>
    <sheet name="Psychiatry" sheetId="14" r:id="rId2"/>
    <sheet name="Bills Summary" sheetId="5" r:id="rId3"/>
    <sheet name="Retention" sheetId="13" r:id="rId4"/>
    <sheet name="Food Court" sheetId="8" r:id="rId5"/>
    <sheet name="JPMC MOSQUE" sheetId="9" r:id="rId6"/>
    <sheet name="EYE WARD" sheetId="10" r:id="rId7"/>
    <sheet name="excess ret money amount" sheetId="6" r:id="rId8"/>
  </sheets>
  <externalReferences>
    <externalReference r:id="rId9"/>
  </externalReferences>
  <definedNames>
    <definedName name="ABGRNT">'[1]Finish Basic Rates'!$F$150</definedName>
    <definedName name="BMFRS">'[1]Finish Basic Rates'!$F$39</definedName>
    <definedName name="BMSXH">'[1]Finish Basic Rates'!$F$42</definedName>
    <definedName name="BMSXS">'[1]Finish Basic Rates'!$F$41</definedName>
    <definedName name="CHQRDTL">'[1]Finish Basic Rates'!$F$153</definedName>
    <definedName name="CLRCRT">'[1]Finish Basic Rates'!$F$171</definedName>
    <definedName name="CRSH">'[1]Finish Basic Rates'!$F$13</definedName>
    <definedName name="GML">'[1]Finish Basic Rates'!$F$176</definedName>
    <definedName name="GRNT">'[1]Finish Basic Rates'!$F$149</definedName>
    <definedName name="GROUT">'[1]Finish Basic Rates'!$F$154</definedName>
    <definedName name="OPCF">'[1]Finish Basic Rates'!$F$14</definedName>
    <definedName name="PDLO">'[1]Finish Basic Rates'!$F$15</definedName>
    <definedName name="PRCTILE">'[1]Finish Basic Rates'!$F$48</definedName>
    <definedName name="_xlnm.Print_Area" localSheetId="4">'Food Court'!$A$208:$D$233</definedName>
    <definedName name="_xlnm.Print_Area" localSheetId="5">'JPMC MOSQUE'!$A$1:$D$70</definedName>
    <definedName name="_xlnm.Print_Area" localSheetId="0">'Main Building'!$A$1:$D$688</definedName>
    <definedName name="_xlnm.Print_Area" localSheetId="1">Psychiatry!$A$24:$B$128</definedName>
    <definedName name="_xlnm.Print_Area" localSheetId="3">Retention!$K$2:$N$22</definedName>
    <definedName name="SAND">'[1]Finish Basic Rates'!$F$8</definedName>
    <definedName name="sto">'[1]Finish Basic Rates'!$F$10</definedName>
    <definedName name="VNYLTL">'[1]Finish Basic Rates'!$F$121</definedName>
    <definedName name="WATR">'[1]Finish Basic Rates'!$F$9</definedName>
    <definedName name="WTCM">'[1]Finish Basic Rates'!$F$19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0" i="14" l="1"/>
  <c r="B162" i="14" s="1"/>
  <c r="E4" i="14"/>
  <c r="D12" i="14"/>
  <c r="D11" i="14"/>
  <c r="D10" i="14"/>
  <c r="D9" i="14"/>
  <c r="B168" i="14" l="1"/>
  <c r="B166" i="14"/>
  <c r="E148" i="14"/>
  <c r="E149" i="14"/>
  <c r="E150" i="14" s="1"/>
  <c r="B13" i="14"/>
  <c r="B169" i="14" l="1"/>
  <c r="B171" i="14" s="1"/>
  <c r="B19" i="14"/>
  <c r="B2" i="14"/>
  <c r="G147" i="14"/>
  <c r="B3" i="14"/>
  <c r="B143" i="14"/>
  <c r="B149" i="14" s="1"/>
  <c r="C41" i="13"/>
  <c r="I22" i="13"/>
  <c r="I19" i="13"/>
  <c r="F691" i="1"/>
  <c r="D688" i="1"/>
  <c r="B145" i="14" l="1"/>
  <c r="N21" i="13"/>
  <c r="P5" i="5"/>
  <c r="P4" i="5"/>
  <c r="B151" i="14" l="1"/>
  <c r="B152" i="14" s="1"/>
  <c r="B154" i="14" s="1"/>
  <c r="D8" i="5"/>
  <c r="C8" i="5"/>
  <c r="C7" i="5"/>
  <c r="C6" i="5"/>
  <c r="C5" i="5"/>
  <c r="B5" i="5"/>
  <c r="C4" i="5"/>
  <c r="B4" i="5"/>
  <c r="C11" i="5" l="1"/>
  <c r="I498" i="1" l="1"/>
  <c r="I492" i="1"/>
  <c r="I496" i="1"/>
  <c r="D487" i="1" l="1"/>
  <c r="D24" i="13"/>
  <c r="C24" i="13"/>
  <c r="B24" i="13"/>
  <c r="D23" i="13"/>
  <c r="C23" i="13"/>
  <c r="B23" i="13"/>
  <c r="D22" i="13"/>
  <c r="C22" i="13"/>
  <c r="D18" i="13"/>
  <c r="B28" i="13" l="1"/>
  <c r="I20" i="5" l="1"/>
  <c r="I19" i="5"/>
  <c r="I18" i="5"/>
  <c r="I17" i="5"/>
  <c r="I16" i="5"/>
  <c r="I15" i="5"/>
  <c r="I14" i="5"/>
  <c r="I13" i="5"/>
  <c r="I12" i="5"/>
  <c r="I11" i="5"/>
  <c r="I10" i="5"/>
  <c r="D39" i="1"/>
  <c r="E571" i="1"/>
  <c r="K24" i="5" s="1"/>
  <c r="E573" i="1"/>
  <c r="E570" i="1"/>
  <c r="E572" i="1" s="1"/>
  <c r="N31" i="13"/>
  <c r="N32" i="13" s="1"/>
  <c r="E574" i="1" l="1"/>
  <c r="E575" i="1" s="1"/>
  <c r="N34" i="13"/>
  <c r="N35" i="13" s="1"/>
  <c r="N37" i="13" s="1"/>
  <c r="D27" i="6"/>
  <c r="I5" i="13"/>
  <c r="I6" i="13" s="1"/>
  <c r="B22" i="13" s="1"/>
  <c r="I31" i="13"/>
  <c r="H31" i="13"/>
  <c r="I30" i="13"/>
  <c r="H30" i="13"/>
  <c r="G30" i="13"/>
  <c r="I29" i="13"/>
  <c r="H29" i="13"/>
  <c r="I18" i="13"/>
  <c r="N27" i="13"/>
  <c r="M27" i="13"/>
  <c r="N26" i="13"/>
  <c r="M26" i="13"/>
  <c r="L26" i="13"/>
  <c r="N25" i="13"/>
  <c r="M25" i="13"/>
  <c r="L25" i="13"/>
  <c r="S22" i="13"/>
  <c r="W7" i="13" s="1"/>
  <c r="S5" i="13"/>
  <c r="J128" i="14"/>
  <c r="K128" i="14" s="1"/>
  <c r="L128" i="14" s="1"/>
  <c r="M128" i="14" s="1"/>
  <c r="J129" i="14" l="1"/>
  <c r="K129" i="14" s="1"/>
  <c r="L129" i="14" s="1"/>
  <c r="M129" i="14" s="1"/>
  <c r="J127" i="14"/>
  <c r="K127" i="14" s="1"/>
  <c r="L127" i="14" s="1"/>
  <c r="M127" i="14" s="1"/>
  <c r="C41" i="14" l="1"/>
  <c r="C42" i="14" s="1"/>
  <c r="C43" i="14" s="1"/>
  <c r="C44" i="14" s="1"/>
  <c r="C62" i="14"/>
  <c r="C63" i="14" s="1"/>
  <c r="C64" i="14" s="1"/>
  <c r="C65" i="14" s="1"/>
  <c r="C85" i="14"/>
  <c r="C86" i="14" s="1"/>
  <c r="C87" i="14" s="1"/>
  <c r="C88" i="14" s="1"/>
  <c r="C108" i="14"/>
  <c r="C109" i="14" s="1"/>
  <c r="C110" i="14" s="1"/>
  <c r="C111" i="14" s="1"/>
  <c r="H27" i="5"/>
  <c r="B136" i="14" l="1"/>
  <c r="B115" i="14"/>
  <c r="B8" i="5" s="1"/>
  <c r="B51" i="14"/>
  <c r="D5" i="5" s="1"/>
  <c r="B28" i="14"/>
  <c r="D4" i="5" s="1"/>
  <c r="B121" i="14" l="1"/>
  <c r="E8" i="5" s="1"/>
  <c r="B117" i="14"/>
  <c r="B123" i="14" s="1"/>
  <c r="D675" i="1"/>
  <c r="F676" i="1" s="1"/>
  <c r="D616" i="1"/>
  <c r="B43" i="14"/>
  <c r="B92" i="14"/>
  <c r="B7" i="5" s="1"/>
  <c r="B68" i="14"/>
  <c r="J121" i="14"/>
  <c r="K121" i="14" s="1"/>
  <c r="L121" i="14" s="1"/>
  <c r="M121" i="14" s="1"/>
  <c r="J122" i="14"/>
  <c r="K122" i="14" s="1"/>
  <c r="L122" i="14" s="1"/>
  <c r="M122" i="14" s="1"/>
  <c r="J123" i="14"/>
  <c r="K123" i="14" s="1"/>
  <c r="L123" i="14" s="1"/>
  <c r="M123" i="14" s="1"/>
  <c r="J124" i="14"/>
  <c r="K124" i="14" s="1"/>
  <c r="L124" i="14" s="1"/>
  <c r="M124" i="14" s="1"/>
  <c r="J126" i="14"/>
  <c r="K126" i="14" s="1"/>
  <c r="L126" i="14" s="1"/>
  <c r="M126" i="14" s="1"/>
  <c r="F613" i="1"/>
  <c r="F614" i="1" s="1"/>
  <c r="F615" i="1" s="1"/>
  <c r="B86" i="14"/>
  <c r="D3" i="13" l="1"/>
  <c r="B6" i="5"/>
  <c r="B11" i="5" s="1"/>
  <c r="B95" i="14"/>
  <c r="D7" i="5" s="1"/>
  <c r="D678" i="1"/>
  <c r="B71" i="14"/>
  <c r="D6" i="5" s="1"/>
  <c r="B124" i="14"/>
  <c r="D5" i="13" l="1"/>
  <c r="D6" i="13" s="1"/>
  <c r="D19" i="13" s="1"/>
  <c r="C40" i="13" s="1"/>
  <c r="C42" i="13" s="1"/>
  <c r="D11" i="5"/>
  <c r="B7" i="14"/>
  <c r="B126" i="14"/>
  <c r="B4" i="14"/>
  <c r="B9" i="14" s="1"/>
  <c r="B108" i="14"/>
  <c r="B128" i="14" l="1"/>
  <c r="B20" i="14"/>
  <c r="B96" i="14"/>
  <c r="E7" i="5" s="1"/>
  <c r="B94" i="14"/>
  <c r="D662" i="1"/>
  <c r="I26" i="5" s="1"/>
  <c r="D661" i="1"/>
  <c r="D665" i="1" s="1"/>
  <c r="D28" i="6" s="1"/>
  <c r="K26" i="5" l="1"/>
  <c r="H26" i="5"/>
  <c r="D663" i="1"/>
  <c r="B98" i="14"/>
  <c r="B99" i="14" s="1"/>
  <c r="B100" i="14" s="1"/>
  <c r="B109" i="14" s="1"/>
  <c r="D666" i="1" l="1"/>
  <c r="E665" i="1"/>
  <c r="D667" i="1"/>
  <c r="D668" i="1" s="1"/>
  <c r="D669" i="1" s="1"/>
  <c r="C28" i="6" l="1"/>
  <c r="B70" i="14" l="1"/>
  <c r="B72" i="14"/>
  <c r="E6" i="5" s="1"/>
  <c r="B74" i="14" l="1"/>
  <c r="B62" i="14"/>
  <c r="B75" i="14" l="1"/>
  <c r="B76" i="14" s="1"/>
  <c r="B52" i="14"/>
  <c r="E5" i="5" s="1"/>
  <c r="B50" i="14"/>
  <c r="B87" i="14" l="1"/>
  <c r="B54" i="14"/>
  <c r="B55" i="14" l="1"/>
  <c r="B56" i="14" s="1"/>
  <c r="B63" i="14" s="1"/>
  <c r="B27" i="14" l="1"/>
  <c r="B29" i="14"/>
  <c r="Z6" i="13" l="1"/>
  <c r="Z8" i="13" s="1"/>
  <c r="E4" i="5"/>
  <c r="E11" i="5" s="1"/>
  <c r="B31" i="14"/>
  <c r="D647" i="1"/>
  <c r="D629" i="1"/>
  <c r="B10" i="14" l="1"/>
  <c r="B12" i="14" s="1"/>
  <c r="B14" i="14" s="1"/>
  <c r="B32" i="14"/>
  <c r="B33" i="14" s="1"/>
  <c r="C27" i="6"/>
  <c r="D637" i="1"/>
  <c r="D13" i="14" l="1"/>
  <c r="E154" i="14"/>
  <c r="E155" i="14" s="1"/>
  <c r="B44" i="14"/>
  <c r="F674" i="1"/>
  <c r="D638" i="1"/>
  <c r="D639" i="1" s="1"/>
  <c r="E26" i="6"/>
  <c r="D595" i="1"/>
  <c r="D599" i="1" s="1"/>
  <c r="D601" i="1" s="1"/>
  <c r="D26" i="6" s="1"/>
  <c r="D648" i="1" l="1"/>
  <c r="F667" i="1"/>
  <c r="J42" i="14"/>
  <c r="D602" i="1"/>
  <c r="H25" i="5"/>
  <c r="C26" i="6"/>
  <c r="D603" i="1"/>
  <c r="K25" i="5" l="1"/>
  <c r="D604" i="1"/>
  <c r="D605" i="1" s="1"/>
  <c r="H570" i="1"/>
  <c r="H569" i="1"/>
  <c r="D617" i="1" l="1"/>
  <c r="F673" i="1"/>
  <c r="F675" i="1" s="1"/>
  <c r="F677" i="1" s="1"/>
  <c r="F679" i="1" s="1"/>
  <c r="H571" i="1"/>
  <c r="D679" i="1"/>
  <c r="D684" i="1" s="1"/>
  <c r="F649" i="1"/>
  <c r="D683" i="1" l="1"/>
  <c r="D686" i="1" s="1"/>
  <c r="F666" i="1"/>
  <c r="F668" i="1" s="1"/>
  <c r="H583" i="1"/>
  <c r="E578" i="1"/>
  <c r="E579" i="1" s="1"/>
  <c r="E580" i="1" s="1"/>
  <c r="S8" i="13" l="1"/>
  <c r="L27" i="13" s="1"/>
  <c r="L31" i="13" s="1"/>
  <c r="S9" i="13" l="1"/>
  <c r="D582" i="1"/>
  <c r="E525" i="1"/>
  <c r="S10" i="13" l="1"/>
  <c r="S23" i="13" s="1"/>
  <c r="D231" i="8"/>
  <c r="E447" i="1" l="1"/>
  <c r="F66" i="9" l="1"/>
  <c r="F67" i="9" s="1"/>
  <c r="F68" i="9" s="1"/>
  <c r="G575" i="1" l="1"/>
  <c r="F228" i="8"/>
  <c r="F232" i="8" s="1"/>
  <c r="F233" i="8" s="1"/>
  <c r="E234" i="8" l="1"/>
  <c r="D52" i="9" l="1"/>
  <c r="D56" i="9" s="1"/>
  <c r="D563" i="1"/>
  <c r="D567" i="1" s="1"/>
  <c r="D571" i="1" s="1"/>
  <c r="D59" i="9" l="1"/>
  <c r="D58" i="9"/>
  <c r="D60" i="9"/>
  <c r="H24" i="5"/>
  <c r="C25" i="6"/>
  <c r="D570" i="1"/>
  <c r="D61" i="9" l="1"/>
  <c r="D63" i="9" s="1"/>
  <c r="D70" i="9" s="1"/>
  <c r="Y6" i="13"/>
  <c r="D25" i="6"/>
  <c r="D573" i="1"/>
  <c r="D572" i="1"/>
  <c r="Y8" i="13" l="1"/>
  <c r="D574" i="1"/>
  <c r="D575" i="1" l="1"/>
  <c r="D218" i="8"/>
  <c r="O10" i="5" l="1"/>
  <c r="D583" i="1"/>
  <c r="D222" i="8"/>
  <c r="D221" i="8"/>
  <c r="D220" i="8"/>
  <c r="R10" i="5" s="1"/>
  <c r="I59" i="9" l="1"/>
  <c r="D223" i="8"/>
  <c r="D225" i="8" s="1"/>
  <c r="D233" i="8" s="1"/>
  <c r="I58" i="9" s="1"/>
  <c r="I60" i="9" s="1"/>
  <c r="D550" i="1" l="1"/>
  <c r="D510" i="1"/>
  <c r="D514" i="1" s="1"/>
  <c r="D518" i="1" s="1"/>
  <c r="H23" i="5" l="1"/>
  <c r="C24" i="6"/>
  <c r="D516" i="1"/>
  <c r="F507" i="1"/>
  <c r="K23" i="5" l="1"/>
  <c r="D24" i="6"/>
  <c r="D520" i="1"/>
  <c r="D519" i="1"/>
  <c r="D521" i="1" l="1"/>
  <c r="D522" i="1" s="1"/>
  <c r="D551" i="1" s="1"/>
  <c r="G503" i="1"/>
  <c r="F503" i="1"/>
  <c r="L128" i="8" l="1"/>
  <c r="L129" i="8" s="1"/>
  <c r="L130" i="8" s="1"/>
  <c r="L144" i="8"/>
  <c r="L145" i="8" s="1"/>
  <c r="L146" i="8" s="1"/>
  <c r="L135" i="8"/>
  <c r="L136" i="8" s="1"/>
  <c r="L137" i="8" s="1"/>
  <c r="G211" i="8"/>
  <c r="D144" i="8" l="1"/>
  <c r="J455" i="1" l="1"/>
  <c r="F463" i="1" l="1"/>
  <c r="F30" i="9" l="1"/>
  <c r="F29" i="9"/>
  <c r="F33" i="9" s="1"/>
  <c r="F38" i="9" s="1"/>
  <c r="D9" i="9" l="1"/>
  <c r="D22" i="9"/>
  <c r="D26" i="9" s="1"/>
  <c r="D3" i="9"/>
  <c r="D33" i="9" l="1"/>
  <c r="D38" i="9" s="1"/>
  <c r="D464" i="1" l="1"/>
  <c r="D468" i="1" s="1"/>
  <c r="D470" i="1" s="1"/>
  <c r="H22" i="5" l="1"/>
  <c r="C23" i="6"/>
  <c r="D472" i="1"/>
  <c r="D471" i="1"/>
  <c r="K22" i="5" l="1"/>
  <c r="D23" i="6"/>
  <c r="D473" i="1"/>
  <c r="D474" i="1" s="1"/>
  <c r="D488" i="1" s="1"/>
  <c r="D492" i="1" s="1"/>
  <c r="D172" i="8" l="1"/>
  <c r="D184" i="8" l="1"/>
  <c r="D188" i="8" s="1"/>
  <c r="D10" i="10"/>
  <c r="D14" i="10" s="1"/>
  <c r="D10" i="9"/>
  <c r="D156" i="8"/>
  <c r="D160" i="8" s="1"/>
  <c r="D120" i="8"/>
  <c r="D126" i="8" s="1"/>
  <c r="D91" i="8"/>
  <c r="D97" i="8" s="1"/>
  <c r="D63" i="8"/>
  <c r="D67" i="8" s="1"/>
  <c r="D37" i="8"/>
  <c r="D41" i="8" s="1"/>
  <c r="D19" i="8"/>
  <c r="D21" i="8" s="1"/>
  <c r="O9" i="5" l="1"/>
  <c r="O8" i="5"/>
  <c r="D162" i="8"/>
  <c r="R8" i="5" s="1"/>
  <c r="D190" i="8"/>
  <c r="R9" i="5" s="1"/>
  <c r="D192" i="8"/>
  <c r="D191" i="8"/>
  <c r="D17" i="10"/>
  <c r="D18" i="10"/>
  <c r="D164" i="8"/>
  <c r="D163" i="8"/>
  <c r="D124" i="8"/>
  <c r="D95" i="8"/>
  <c r="D70" i="8"/>
  <c r="D69" i="8"/>
  <c r="D71" i="8"/>
  <c r="D24" i="8"/>
  <c r="D23" i="8"/>
  <c r="D45" i="8"/>
  <c r="D44" i="8"/>
  <c r="D43" i="8"/>
  <c r="D128" i="8" l="1"/>
  <c r="D193" i="8"/>
  <c r="D195" i="8" s="1"/>
  <c r="D19" i="10"/>
  <c r="D20" i="10" s="1"/>
  <c r="D29" i="10" s="1"/>
  <c r="D127" i="8"/>
  <c r="D129" i="8" s="1"/>
  <c r="D130" i="8" s="1"/>
  <c r="D145" i="8" s="1"/>
  <c r="D494" i="1" s="1"/>
  <c r="D165" i="8"/>
  <c r="D166" i="8" s="1"/>
  <c r="D173" i="8" s="1"/>
  <c r="D495" i="1" s="1"/>
  <c r="D99" i="8"/>
  <c r="D98" i="8"/>
  <c r="D46" i="8"/>
  <c r="D47" i="8" s="1"/>
  <c r="D48" i="8" s="1"/>
  <c r="D51" i="8" s="1"/>
  <c r="D52" i="8" s="1"/>
  <c r="D72" i="8"/>
  <c r="D73" i="8" s="1"/>
  <c r="D75" i="8" s="1"/>
  <c r="D79" i="8" s="1"/>
  <c r="D25" i="8"/>
  <c r="D26" i="8" s="1"/>
  <c r="D196" i="8" l="1"/>
  <c r="D100" i="8"/>
  <c r="D101" i="8" s="1"/>
  <c r="D109" i="8" s="1"/>
  <c r="D201" i="8" l="1"/>
  <c r="D205" i="8" s="1"/>
  <c r="D496" i="1"/>
  <c r="D453" i="1" l="1"/>
  <c r="I457" i="1"/>
  <c r="I440" i="1"/>
  <c r="I427" i="1"/>
  <c r="I431" i="1" s="1"/>
  <c r="I433" i="1" s="1"/>
  <c r="I437" i="1" s="1"/>
  <c r="I435" i="1" l="1"/>
  <c r="I436" i="1"/>
  <c r="I438" i="1" l="1"/>
  <c r="I439" i="1" s="1"/>
  <c r="I441" i="1" s="1"/>
  <c r="I458" i="1" l="1"/>
  <c r="I460" i="1" s="1"/>
  <c r="J457" i="1"/>
  <c r="D427" i="1"/>
  <c r="D431" i="1" l="1"/>
  <c r="D434" i="1" l="1"/>
  <c r="D436" i="1" s="1"/>
  <c r="C22" i="6"/>
  <c r="H21" i="5"/>
  <c r="E434" i="1"/>
  <c r="E435" i="1" s="1"/>
  <c r="D435" i="1"/>
  <c r="D22" i="6" s="1"/>
  <c r="D413" i="1"/>
  <c r="D437" i="1" l="1"/>
  <c r="D438" i="1" s="1"/>
  <c r="D439" i="1" s="1"/>
  <c r="D441" i="1" s="1"/>
  <c r="D493" i="1" s="1"/>
  <c r="D498" i="1" s="1"/>
  <c r="K21" i="5"/>
  <c r="R7" i="5"/>
  <c r="O7" i="5" l="1"/>
  <c r="H29" i="6" l="1"/>
  <c r="J19" i="6"/>
  <c r="J29" i="6" s="1"/>
  <c r="I19" i="6"/>
  <c r="I29" i="6" s="1"/>
  <c r="J12" i="6"/>
  <c r="J15" i="6" s="1"/>
  <c r="I12" i="6"/>
  <c r="I15" i="6" s="1"/>
  <c r="I6" i="6"/>
  <c r="I5" i="6"/>
  <c r="I9" i="6" l="1"/>
  <c r="Q5" i="5"/>
  <c r="Q4" i="5"/>
  <c r="Q14" i="5" l="1"/>
  <c r="D378" i="1"/>
  <c r="D384" i="1" s="1"/>
  <c r="K20" i="5" l="1"/>
  <c r="D382" i="1"/>
  <c r="H20" i="5" l="1"/>
  <c r="D385" i="1"/>
  <c r="D386" i="1"/>
  <c r="D21" i="6"/>
  <c r="D340" i="1"/>
  <c r="D346" i="1" s="1"/>
  <c r="D387" i="1" l="1"/>
  <c r="D388" i="1" s="1"/>
  <c r="D390" i="1" s="1"/>
  <c r="D414" i="1" s="1"/>
  <c r="J7" i="6"/>
  <c r="R6" i="5"/>
  <c r="D20" i="6"/>
  <c r="K19" i="5"/>
  <c r="D344" i="1"/>
  <c r="C21" i="6" l="1"/>
  <c r="O6" i="5"/>
  <c r="H7" i="6"/>
  <c r="B20" i="6"/>
  <c r="H19" i="5"/>
  <c r="D345" i="1"/>
  <c r="D348" i="1"/>
  <c r="D347" i="1"/>
  <c r="I283" i="1"/>
  <c r="E20" i="6" l="1"/>
  <c r="J19" i="5"/>
  <c r="D349" i="1"/>
  <c r="D350" i="1" s="1"/>
  <c r="H283" i="1"/>
  <c r="D365" i="1" l="1"/>
  <c r="C20" i="6"/>
  <c r="D297" i="1"/>
  <c r="D301" i="1" l="1"/>
  <c r="D305" i="1" s="1"/>
  <c r="D303" i="1"/>
  <c r="H18" i="5"/>
  <c r="B19" i="6" l="1"/>
  <c r="D304" i="1"/>
  <c r="D302" i="1"/>
  <c r="E19" i="6" s="1"/>
  <c r="D19" i="6"/>
  <c r="K18" i="5"/>
  <c r="D306" i="1"/>
  <c r="D307" i="1" s="1"/>
  <c r="C19" i="6" s="1"/>
  <c r="J18" i="5" l="1"/>
  <c r="D312" i="1"/>
  <c r="D327" i="1" s="1"/>
  <c r="I290" i="1" l="1"/>
  <c r="H293" i="1" l="1"/>
  <c r="H6" i="6" l="1"/>
  <c r="O5" i="5"/>
  <c r="J6" i="6" l="1"/>
  <c r="R5" i="5"/>
  <c r="D259" i="1" l="1"/>
  <c r="D263" i="1" s="1"/>
  <c r="D265" i="1" s="1"/>
  <c r="B18" i="6" l="1"/>
  <c r="H17" i="5"/>
  <c r="D264" i="1"/>
  <c r="D267" i="1"/>
  <c r="D266" i="1"/>
  <c r="H12" i="6" l="1"/>
  <c r="H15" i="6" s="1"/>
  <c r="D18" i="6"/>
  <c r="K17" i="5"/>
  <c r="E18" i="6"/>
  <c r="J17" i="5"/>
  <c r="D268" i="1"/>
  <c r="D269" i="1" s="1"/>
  <c r="D237" i="1"/>
  <c r="D241" i="1" s="1"/>
  <c r="D271" i="1" l="1"/>
  <c r="B17" i="6"/>
  <c r="H16" i="5"/>
  <c r="D243" i="1"/>
  <c r="D245" i="1"/>
  <c r="D244" i="1"/>
  <c r="D242" i="1"/>
  <c r="D284" i="1" l="1"/>
  <c r="C18" i="6"/>
  <c r="E17" i="6"/>
  <c r="J16" i="5"/>
  <c r="H5" i="6"/>
  <c r="H9" i="6" s="1"/>
  <c r="O4" i="5"/>
  <c r="O14" i="5" s="1"/>
  <c r="D17" i="6"/>
  <c r="K16" i="5"/>
  <c r="D246" i="1"/>
  <c r="D247" i="1" s="1"/>
  <c r="C17" i="6" s="1"/>
  <c r="D215" i="1"/>
  <c r="D219" i="1" s="1"/>
  <c r="D193" i="1"/>
  <c r="D197" i="1" s="1"/>
  <c r="D198" i="1" l="1"/>
  <c r="D199" i="1" s="1"/>
  <c r="B15" i="6"/>
  <c r="H14" i="5"/>
  <c r="B16" i="6"/>
  <c r="H15" i="5"/>
  <c r="D220" i="1"/>
  <c r="D221" i="1" s="1"/>
  <c r="D223" i="1" s="1"/>
  <c r="D175" i="1"/>
  <c r="D202" i="1" l="1"/>
  <c r="D201" i="1"/>
  <c r="D200" i="1"/>
  <c r="E15" i="6" s="1"/>
  <c r="B14" i="6"/>
  <c r="H13" i="5"/>
  <c r="J5" i="6"/>
  <c r="J9" i="6" s="1"/>
  <c r="R4" i="5"/>
  <c r="R14" i="5" s="1"/>
  <c r="X6" i="13" s="1"/>
  <c r="D222" i="1"/>
  <c r="D224" i="1"/>
  <c r="D147" i="1"/>
  <c r="X8" i="13" l="1"/>
  <c r="D203" i="1"/>
  <c r="D204" i="1" s="1"/>
  <c r="C15" i="6" s="1"/>
  <c r="J14" i="5"/>
  <c r="E16" i="6"/>
  <c r="J15" i="5"/>
  <c r="D15" i="6"/>
  <c r="K14" i="5"/>
  <c r="D16" i="6"/>
  <c r="K15" i="5"/>
  <c r="D225" i="1"/>
  <c r="D226" i="1" s="1"/>
  <c r="C16" i="6" s="1"/>
  <c r="D126" i="1"/>
  <c r="D130" i="1" s="1"/>
  <c r="D133" i="1" s="1"/>
  <c r="B12" i="6" l="1"/>
  <c r="H11" i="5"/>
  <c r="D134" i="1"/>
  <c r="D132" i="1"/>
  <c r="D131" i="1"/>
  <c r="D151" i="1"/>
  <c r="D153" i="1" l="1"/>
  <c r="B13" i="6"/>
  <c r="H12" i="5"/>
  <c r="D12" i="6"/>
  <c r="K11" i="5"/>
  <c r="E12" i="6"/>
  <c r="J11" i="5"/>
  <c r="D135" i="1"/>
  <c r="D136" i="1" s="1"/>
  <c r="C12" i="6" s="1"/>
  <c r="D155" i="1"/>
  <c r="D154" i="1"/>
  <c r="D152" i="1"/>
  <c r="D105" i="1"/>
  <c r="D109" i="1" s="1"/>
  <c r="B11" i="6" l="1"/>
  <c r="H10" i="5"/>
  <c r="D13" i="6"/>
  <c r="K12" i="5"/>
  <c r="E13" i="6"/>
  <c r="J12" i="5"/>
  <c r="D113" i="1"/>
  <c r="D111" i="1"/>
  <c r="D112" i="1"/>
  <c r="D110" i="1"/>
  <c r="D156" i="1"/>
  <c r="D157" i="1" s="1"/>
  <c r="C13" i="6" s="1"/>
  <c r="D88" i="1"/>
  <c r="I9" i="5" s="1"/>
  <c r="I30" i="5" s="1"/>
  <c r="D85" i="1"/>
  <c r="D68" i="1"/>
  <c r="D70" i="1" s="1"/>
  <c r="D71" i="1" s="1"/>
  <c r="D54" i="1"/>
  <c r="D25" i="1"/>
  <c r="D11" i="1"/>
  <c r="D12" i="1" s="1"/>
  <c r="B8" i="6" l="1"/>
  <c r="H7" i="5"/>
  <c r="B9" i="6"/>
  <c r="H8" i="5"/>
  <c r="B6" i="6"/>
  <c r="H5" i="5"/>
  <c r="B7" i="6"/>
  <c r="H6" i="5"/>
  <c r="E11" i="6"/>
  <c r="J10" i="5"/>
  <c r="B5" i="6"/>
  <c r="H4" i="5"/>
  <c r="D11" i="6"/>
  <c r="K10" i="5"/>
  <c r="D114" i="1"/>
  <c r="D115" i="1" s="1"/>
  <c r="C11" i="6" s="1"/>
  <c r="D43" i="1"/>
  <c r="D41" i="1"/>
  <c r="D42" i="1"/>
  <c r="D40" i="1"/>
  <c r="D74" i="1"/>
  <c r="D72" i="1"/>
  <c r="D73" i="1"/>
  <c r="D29" i="1"/>
  <c r="D27" i="1"/>
  <c r="D28" i="1"/>
  <c r="D26" i="1"/>
  <c r="D58" i="1"/>
  <c r="D56" i="1"/>
  <c r="D57" i="1"/>
  <c r="D55" i="1"/>
  <c r="D15" i="1"/>
  <c r="D13" i="1"/>
  <c r="D14" i="1"/>
  <c r="D89" i="1"/>
  <c r="B10" i="6" l="1"/>
  <c r="H9" i="5"/>
  <c r="H30" i="5" s="1"/>
  <c r="D5" i="6"/>
  <c r="K4" i="5"/>
  <c r="D6" i="6"/>
  <c r="K5" i="5"/>
  <c r="D7" i="6"/>
  <c r="K6" i="5"/>
  <c r="B29" i="6"/>
  <c r="D8" i="6"/>
  <c r="K7" i="5"/>
  <c r="D9" i="6"/>
  <c r="K8" i="5"/>
  <c r="E5" i="6"/>
  <c r="J4" i="5"/>
  <c r="E8" i="6"/>
  <c r="J7" i="5"/>
  <c r="E6" i="6"/>
  <c r="J5" i="5"/>
  <c r="E9" i="6"/>
  <c r="J8" i="5"/>
  <c r="E7" i="6"/>
  <c r="J6" i="5"/>
  <c r="D59" i="1"/>
  <c r="D60" i="1" s="1"/>
  <c r="C8" i="6" s="1"/>
  <c r="D30" i="1"/>
  <c r="D31" i="1" s="1"/>
  <c r="C6" i="6" s="1"/>
  <c r="D75" i="1"/>
  <c r="D76" i="1" s="1"/>
  <c r="C9" i="6" s="1"/>
  <c r="D44" i="1"/>
  <c r="D45" i="1" s="1"/>
  <c r="C7" i="6" s="1"/>
  <c r="D93" i="1"/>
  <c r="D91" i="1"/>
  <c r="D92" i="1"/>
  <c r="D90" i="1"/>
  <c r="D16" i="1"/>
  <c r="D17" i="1" s="1"/>
  <c r="U16" i="5" l="1"/>
  <c r="D10" i="6"/>
  <c r="K9" i="5"/>
  <c r="E10" i="6"/>
  <c r="J9" i="5"/>
  <c r="C5" i="6"/>
  <c r="D94" i="1"/>
  <c r="D95" i="1" s="1"/>
  <c r="C10" i="6" l="1"/>
  <c r="D176" i="1"/>
  <c r="D177" i="1" s="1"/>
  <c r="D179" i="1" s="1"/>
  <c r="F21" i="1" s="1"/>
  <c r="D180" i="1" l="1"/>
  <c r="D178" i="1"/>
  <c r="E14" i="6" l="1"/>
  <c r="E29" i="6" s="1"/>
  <c r="J13" i="5"/>
  <c r="J30" i="5" s="1"/>
  <c r="D14" i="6"/>
  <c r="D29" i="6" s="1"/>
  <c r="W6" i="13" s="1"/>
  <c r="W9" i="13" s="1"/>
  <c r="K13" i="5"/>
  <c r="K30" i="5" s="1"/>
  <c r="N6" i="13" s="1"/>
  <c r="N8" i="13" s="1"/>
  <c r="D181" i="1"/>
  <c r="D182" i="1" s="1"/>
  <c r="L4" i="5" s="1"/>
  <c r="G31" i="13" l="1"/>
  <c r="G35" i="13" s="1"/>
  <c r="G29" i="13"/>
  <c r="W8" i="13"/>
  <c r="W12" i="13" s="1"/>
  <c r="E33" i="6"/>
  <c r="C14" i="6"/>
  <c r="C29" i="6" s="1"/>
  <c r="N9" i="13" l="1"/>
  <c r="N22" i="13" s="1"/>
</calcChain>
</file>

<file path=xl/sharedStrings.xml><?xml version="1.0" encoding="utf-8"?>
<sst xmlns="http://schemas.openxmlformats.org/spreadsheetml/2006/main" count="1662" uniqueCount="392">
  <si>
    <t xml:space="preserve"> Patient Aid Foundation (PAF)</t>
  </si>
  <si>
    <t xml:space="preserve"> Construction of New Surgical &amp; OPD Complex at JPMC,Karachi</t>
  </si>
  <si>
    <t>Description</t>
  </si>
  <si>
    <t>TOTAL COST OF PLUMBING WORKS B.O.Q ITEMS</t>
  </si>
  <si>
    <t>TOTAL COST OF PLUMBING WORKS Addtional ITEMS</t>
  </si>
  <si>
    <t>COST OF PLUMBING EXTRA WORKS</t>
  </si>
  <si>
    <t>Summary of Bills</t>
  </si>
  <si>
    <t>Billed Amount</t>
  </si>
  <si>
    <t>Total Amount Received against IPC - 20</t>
  </si>
  <si>
    <t>Total Amount Received against IPC - 26</t>
  </si>
  <si>
    <t>TOTAL COST OF HVAC WORKS B.O.Q ITEMS</t>
  </si>
  <si>
    <t>TOTAL COST OF HVAC WORKS Addtional ITEMS</t>
  </si>
  <si>
    <t>Total Amount Received against IPC - 27</t>
  </si>
  <si>
    <t>Total Amount Received against IPC - 28</t>
  </si>
  <si>
    <t>Total Amount Received against IPC - 29</t>
  </si>
  <si>
    <t>EXTRA WORKS ( REFER ANNEXURE-A)</t>
  </si>
  <si>
    <t>Total Amount Received against IPC - 30</t>
  </si>
  <si>
    <t>IPC - 27</t>
  </si>
  <si>
    <t>IPC - 26</t>
  </si>
  <si>
    <t>IPC - 20</t>
  </si>
  <si>
    <t>IPC - 28</t>
  </si>
  <si>
    <t>IPC - 29</t>
  </si>
  <si>
    <t>IPC - 30</t>
  </si>
  <si>
    <t>RECOVERY OF OFM MATERIAL HVAC</t>
  </si>
  <si>
    <t>RECOVERY OF OFM MATERIAL PLUMBING</t>
  </si>
  <si>
    <t>TOTAL OF OFM MATERIAL AMOUNT</t>
  </si>
  <si>
    <t xml:space="preserve">Total Amount </t>
  </si>
  <si>
    <t>PLUMBING &amp; HVAC WORKS</t>
  </si>
  <si>
    <t>IPC - 31</t>
  </si>
  <si>
    <t>Total Amount Received against IPC - 31</t>
  </si>
  <si>
    <t>HVAC EXTRA WORKS ( REFER ANNEXURE-A)</t>
  </si>
  <si>
    <t>PLUMBING EXTRA WORKS ( REFER ANNEXURE-A)</t>
  </si>
  <si>
    <t>IPC - 34</t>
  </si>
  <si>
    <t>Total Amount Received against IPC - 34</t>
  </si>
  <si>
    <t>IPC - 35</t>
  </si>
  <si>
    <t>Total Amount Received against IPC - 35</t>
  </si>
  <si>
    <t>Retention Money 5%</t>
  </si>
  <si>
    <t>Mobilization Advance 5%</t>
  </si>
  <si>
    <t>GCM 8%</t>
  </si>
  <si>
    <t>Income Tax 7.5%</t>
  </si>
  <si>
    <t>Total Deductions</t>
  </si>
  <si>
    <t>Net Payable Amount</t>
  </si>
  <si>
    <t xml:space="preserve">TOTAL COST OF HVAC WORKS B.O.Q ITEMS </t>
  </si>
  <si>
    <t>IPC - 36</t>
  </si>
  <si>
    <r>
      <t xml:space="preserve">TOTAL COST OF HVAC WORKS B.O.Q ITEMS </t>
    </r>
    <r>
      <rPr>
        <b/>
        <sz val="14"/>
        <color theme="1"/>
        <rFont val="Calibri"/>
        <family val="2"/>
        <scheme val="minor"/>
      </rPr>
      <t>PART 2</t>
    </r>
  </si>
  <si>
    <t>IPC - 37</t>
  </si>
  <si>
    <t>Total Amount Received against IPC - 37</t>
  </si>
  <si>
    <t>Retention money 5%</t>
  </si>
  <si>
    <t xml:space="preserve"> Amount After tax</t>
  </si>
  <si>
    <t>IPC - 39</t>
  </si>
  <si>
    <t>Total Amount Received against IPC - 39</t>
  </si>
  <si>
    <t>IPC - 40</t>
  </si>
  <si>
    <t>IPC - 05 / Food Court Kitchen</t>
  </si>
  <si>
    <t>Total Amount Received against IPC - 5</t>
  </si>
  <si>
    <t>IPC - 06 / Food Court Kitchen</t>
  </si>
  <si>
    <t>IPC - 42</t>
  </si>
  <si>
    <t>Total Amount Received against IPC - 42</t>
  </si>
  <si>
    <t>Total Amount Received against IPC - 40</t>
  </si>
  <si>
    <t>Total Amount Received against IPC - 6</t>
  </si>
  <si>
    <t>Verified 70%</t>
  </si>
  <si>
    <t>Remaining</t>
  </si>
  <si>
    <t>Bharmal-JPMC</t>
  </si>
  <si>
    <t>Saeeed Sons-Falcon</t>
  </si>
  <si>
    <t>Iqbal Sons</t>
  </si>
  <si>
    <t>Islamuddin &amp; Sons</t>
  </si>
  <si>
    <t>EYE WARD BILL</t>
  </si>
  <si>
    <t xml:space="preserve">Total Amount Received </t>
  </si>
  <si>
    <t xml:space="preserve">Total Amount Received against </t>
  </si>
  <si>
    <t>Extra paid</t>
  </si>
  <si>
    <t>KATYS</t>
  </si>
  <si>
    <t>IPC - 43</t>
  </si>
  <si>
    <t>Total Amount Received against IPC - 43</t>
  </si>
  <si>
    <t>Less Adhoc (now complete)</t>
  </si>
  <si>
    <t>Cash cheque (used in oct office salaries)</t>
  </si>
  <si>
    <t>given to islamuddin &amp; Sons</t>
  </si>
  <si>
    <t>Remaining or extra paid</t>
  </si>
  <si>
    <t>IPC - 06 / Food Court Kitchen (remaining 30% bill)</t>
  </si>
  <si>
    <t>given to taheriya sanitry in syedena tradind acc then given to nadeem bhai in his share</t>
  </si>
  <si>
    <t>ok</t>
  </si>
  <si>
    <t>Payment received (this payment given to bilal bhai he used this cash is office for misc click on it for  details</t>
  </si>
  <si>
    <t>IPC - 44</t>
  </si>
  <si>
    <t>Gross Work Done Amount</t>
  </si>
  <si>
    <t>Net Work Done Amount</t>
  </si>
  <si>
    <t>Received in prv bill</t>
  </si>
  <si>
    <t>Payable amount</t>
  </si>
  <si>
    <t>KAYTESS</t>
  </si>
  <si>
    <t>Extra Receeived</t>
  </si>
  <si>
    <t>Fakhri Brothers</t>
  </si>
  <si>
    <t>Food Court</t>
  </si>
  <si>
    <t>Total received</t>
  </si>
  <si>
    <t>Service bank tax charges on above 10 Million payment deducted</t>
  </si>
  <si>
    <t>Extra received in IPC 43 Billing</t>
  </si>
  <si>
    <t>Extra received in IPC 6 Food court  Billing</t>
  </si>
  <si>
    <t>Remaining Amount</t>
  </si>
  <si>
    <t>Receiving Details</t>
  </si>
  <si>
    <t>Fateh Steel</t>
  </si>
  <si>
    <t>Burhani Tradeers</t>
  </si>
  <si>
    <t>Danish International</t>
  </si>
  <si>
    <t>Extra received in IPC 42 payment</t>
  </si>
  <si>
    <t>Bilal bhai name chq then give 320000 to easten and 180,000 to jes</t>
  </si>
  <si>
    <t>Bilal bhai name chq</t>
  </si>
  <si>
    <t>IPC - 45</t>
  </si>
  <si>
    <t>Naseeruddin H Lalani</t>
  </si>
  <si>
    <t>Cash cheque</t>
  </si>
  <si>
    <t>Abika Enterprises</t>
  </si>
  <si>
    <t>Received Open chq</t>
  </si>
  <si>
    <t>Tax amount on abouve 4,600,000</t>
  </si>
  <si>
    <t>cash taken by bilal habib</t>
  </si>
  <si>
    <t>Tax Amount</t>
  </si>
  <si>
    <t>Bill #</t>
  </si>
  <si>
    <t>Retention Money</t>
  </si>
  <si>
    <t>IPC-20</t>
  </si>
  <si>
    <t>IPC-26</t>
  </si>
  <si>
    <t>IPC-27</t>
  </si>
  <si>
    <t>IPC-28</t>
  </si>
  <si>
    <t>IPC-29</t>
  </si>
  <si>
    <t>IPC-30</t>
  </si>
  <si>
    <t>IPC-31</t>
  </si>
  <si>
    <t>IPC-34</t>
  </si>
  <si>
    <t>IPC-35</t>
  </si>
  <si>
    <t>IPC-37</t>
  </si>
  <si>
    <t>IPC-39</t>
  </si>
  <si>
    <t>IPC-40</t>
  </si>
  <si>
    <t>IPC-42</t>
  </si>
  <si>
    <t>IPC-43</t>
  </si>
  <si>
    <t>IPC-44</t>
  </si>
  <si>
    <t>IPC-45</t>
  </si>
  <si>
    <t>Mobilization</t>
  </si>
  <si>
    <t>Extra paid in IPC 44</t>
  </si>
  <si>
    <t>Extra Paid</t>
  </si>
  <si>
    <t>Verified Bills</t>
  </si>
  <si>
    <t>JPMC Billing Summary</t>
  </si>
  <si>
    <t>Mosque</t>
  </si>
  <si>
    <t>Main Building</t>
  </si>
  <si>
    <t>IPC - 46</t>
  </si>
  <si>
    <t>Eye Ward</t>
  </si>
  <si>
    <t>IPC-05</t>
  </si>
  <si>
    <t>IPC-06</t>
  </si>
  <si>
    <t>IPC-07</t>
  </si>
  <si>
    <t>-</t>
  </si>
  <si>
    <t>Total Amount Rs.</t>
  </si>
  <si>
    <t>Total Amount Rs</t>
  </si>
  <si>
    <t>IPC-46</t>
  </si>
  <si>
    <t>Main Building (HVAC &amp; Plumbing)</t>
  </si>
  <si>
    <t>Mobilization deducted</t>
  </si>
  <si>
    <t>Retention Money deduct</t>
  </si>
  <si>
    <t>Mobilization received on  28-09-2016</t>
  </si>
  <si>
    <t>Mobilization received on  31-10-2016</t>
  </si>
  <si>
    <t>Mobilization received on  28-02-2017</t>
  </si>
  <si>
    <t>Extra Mobilization deducted</t>
  </si>
  <si>
    <t>Chq Rs (this chq hod with bilal bhai) 04-06-20</t>
  </si>
  <si>
    <t>Tahiri Sanitry</t>
  </si>
  <si>
    <t>Add Excess Mob advance deducted</t>
  </si>
  <si>
    <t>Net Payable amount</t>
  </si>
  <si>
    <t>Nadeem Baloch</t>
  </si>
  <si>
    <t>Orient water services against chemical and by pas feeder in zmv deal</t>
  </si>
  <si>
    <t>Khan brothers for split valve deal in jpmc</t>
  </si>
  <si>
    <t>Hold with bilal bhai</t>
  </si>
  <si>
    <t>Awaiting for invoice</t>
  </si>
  <si>
    <t>Shabbir Brothers</t>
  </si>
  <si>
    <t>Total receivings Rs</t>
  </si>
  <si>
    <t>Chq in the name of Iqbal Sons</t>
  </si>
  <si>
    <t>Chq in the name of Naseer uddin (Fateh Steel)</t>
  </si>
  <si>
    <r>
      <t xml:space="preserve">TOTAL COST OF HVAC WORKS B.O.Q ITEMS </t>
    </r>
    <r>
      <rPr>
        <b/>
        <sz val="16"/>
        <color theme="1"/>
        <rFont val="Calibri"/>
        <family val="2"/>
        <scheme val="minor"/>
      </rPr>
      <t>PART 2</t>
    </r>
  </si>
  <si>
    <t xml:space="preserve">Remaining amount </t>
  </si>
  <si>
    <t>Tax deduction on 2,000,000 payment given to bilal bhai</t>
  </si>
  <si>
    <t>Add JPMC Mosque Adhoc 60% of 1395,000</t>
  </si>
  <si>
    <t>Tax deduction on 700,000 payment given to bilal bhai</t>
  </si>
  <si>
    <t>JPMC MOSQUE</t>
  </si>
  <si>
    <t>IPC-08</t>
  </si>
  <si>
    <t>Food Court IPC 07</t>
  </si>
  <si>
    <t>Food Court IPC 08</t>
  </si>
  <si>
    <t>TOTAL COST OF HVAC WORKS Addtional ITEMS  Rate Analysis</t>
  </si>
  <si>
    <t>2nd in the name of Iqbal Sons</t>
  </si>
  <si>
    <t>Fateh steel</t>
  </si>
  <si>
    <t>IPC - 47</t>
  </si>
  <si>
    <t>IPC -08</t>
  </si>
  <si>
    <t>Grand Total</t>
  </si>
  <si>
    <t xml:space="preserve">                                                                                                                                       </t>
  </si>
  <si>
    <t>Sultan Trader (Tahiri Sanitry)</t>
  </si>
  <si>
    <t>M. Hussain &amp; Co. (Tahiri Sanitry)</t>
  </si>
  <si>
    <t>Cash Cheque</t>
  </si>
  <si>
    <t>Mosque payment Cash Cheque</t>
  </si>
  <si>
    <t xml:space="preserve">5 -8- 20 Chq Rs (this chq hod with bilal bhai) </t>
  </si>
  <si>
    <t xml:space="preserve">  15-8-20  Fateh Steel</t>
  </si>
  <si>
    <t xml:space="preserve">  15-8-20  Sultan Trader (Tahiri Sanitry)</t>
  </si>
  <si>
    <t xml:space="preserve">   15-8-20  M. Hussain &amp; Co. (Tahiri Sanitry)</t>
  </si>
  <si>
    <t xml:space="preserve">    15-8-20  Iqbal Sons</t>
  </si>
  <si>
    <t xml:space="preserve">  15-8-20  Cash Cheque (Hold with Rehan)</t>
  </si>
  <si>
    <t xml:space="preserve">    15-8-20  Cash Cheque  (Hold with Rehan)</t>
  </si>
  <si>
    <t>Food Court IPC 09</t>
  </si>
  <si>
    <t>IPC-47</t>
  </si>
  <si>
    <t>IPC-48</t>
  </si>
  <si>
    <t>Excess Retention money amount evaluation</t>
  </si>
  <si>
    <t>IPC-09</t>
  </si>
  <si>
    <t>IPC-10</t>
  </si>
  <si>
    <t>Cash cheque (cashed chq) (from which rs 250,00 to tariq insult, 50,000 zakat bynadeem bhai and rs 100,000 given to nadeem bhai in his pett cash</t>
  </si>
  <si>
    <t>Cash cheque (this chq cash and used in office pettty cash on 14-10-20</t>
  </si>
  <si>
    <t>Cash cheque (this chq given to Tube traders)</t>
  </si>
  <si>
    <t>FOOD COURT</t>
  </si>
  <si>
    <t>Adjusted in IPC 47 Billing (main Building)</t>
  </si>
  <si>
    <t>Adjusted in IPC 44 Billing (main Building)</t>
  </si>
  <si>
    <t>Food Court IPC 10</t>
  </si>
  <si>
    <t>Tax 3.75% on cash chq amount</t>
  </si>
  <si>
    <t>Adjusted in IPC 10</t>
  </si>
  <si>
    <t>IPC - 48</t>
  </si>
  <si>
    <r>
      <t xml:space="preserve">received adhoc payment 75% against IPC 48 </t>
    </r>
    <r>
      <rPr>
        <b/>
        <sz val="14"/>
        <color rgb="FFFF0000"/>
        <rFont val="Calibri"/>
        <family val="2"/>
        <scheme val="minor"/>
      </rPr>
      <t>(Given to Fateh Steel)</t>
    </r>
  </si>
  <si>
    <r>
      <t xml:space="preserve">received adhoc payment 75% against IPC 48 </t>
    </r>
    <r>
      <rPr>
        <b/>
        <sz val="14"/>
        <color rgb="FFFF0000"/>
        <rFont val="Calibri"/>
        <family val="2"/>
        <scheme val="minor"/>
      </rPr>
      <t>(Given to Iqbal sons)</t>
    </r>
  </si>
  <si>
    <r>
      <t xml:space="preserve">received adhoc payment 75% against IPC 48 </t>
    </r>
    <r>
      <rPr>
        <b/>
        <sz val="14"/>
        <color rgb="FFFF0000"/>
        <rFont val="Calibri"/>
        <family val="2"/>
        <scheme val="minor"/>
      </rPr>
      <t>(Given to Danish intl)</t>
    </r>
  </si>
  <si>
    <r>
      <t xml:space="preserve">received adhoc payment 75% against IPC 48 </t>
    </r>
    <r>
      <rPr>
        <b/>
        <sz val="14"/>
        <color rgb="FFFF0000"/>
        <rFont val="Calibri"/>
        <family val="2"/>
        <scheme val="minor"/>
      </rPr>
      <t>(Given to Katys)</t>
    </r>
  </si>
  <si>
    <t>Receiving on 15-12-20 (chq sent to shabbir bros then he returned this payment and this payment by bilal bhai in misc purchasing</t>
  </si>
  <si>
    <t>paid to Iqbal sons</t>
  </si>
  <si>
    <t>Add JPMC Mosque Adhoc 60% of 1343,553</t>
  </si>
  <si>
    <t>Net Remaining bal payable</t>
  </si>
  <si>
    <t>(05% of 28376367 ) retention amount released</t>
  </si>
  <si>
    <t>NIL</t>
  </si>
  <si>
    <t>Adjusted in IPC 48</t>
  </si>
  <si>
    <t>GI SHEET Deduction</t>
  </si>
  <si>
    <t xml:space="preserve">Deduct tax charges in IPC 08 cash cheques </t>
  </si>
  <si>
    <t xml:space="preserve">Deduct tax charges in IPC 07 cash cheques </t>
  </si>
  <si>
    <t>Remaining amount</t>
  </si>
  <si>
    <t>Received amount</t>
  </si>
  <si>
    <t>Tax charges on above cash chqs</t>
  </si>
  <si>
    <t>IPC 47</t>
  </si>
  <si>
    <t>IPC 48</t>
  </si>
  <si>
    <t>IPC 8</t>
  </si>
  <si>
    <t>IPC 9</t>
  </si>
  <si>
    <t xml:space="preserve"> IPC 10</t>
  </si>
  <si>
    <t>Net amount</t>
  </si>
  <si>
    <t>Cash chq amount in IPC 08</t>
  </si>
  <si>
    <t>Evaluation of tax on cash cheques</t>
  </si>
  <si>
    <t>Tax on amount</t>
  </si>
  <si>
    <t>Divide by 02</t>
  </si>
  <si>
    <t>Cash chq amount in IPC 47</t>
  </si>
  <si>
    <t>Cash chq amount in IPC 07</t>
  </si>
  <si>
    <t>IPC 47 remaining amount</t>
  </si>
  <si>
    <t>IPC 10 remaining amount</t>
  </si>
  <si>
    <t>IPC 08 remaining amount</t>
  </si>
  <si>
    <t>IPC 09 remaining amount</t>
  </si>
  <si>
    <t>Summary of IPC 08, 09, 10, 47 &amp; 47</t>
  </si>
  <si>
    <t>IPC 48 remaining amount</t>
  </si>
  <si>
    <t>IPC - 49</t>
  </si>
  <si>
    <t>LESS OFM</t>
  </si>
  <si>
    <t>Muhammad Raza Associates</t>
  </si>
  <si>
    <t>Muhammad Asif</t>
  </si>
  <si>
    <t>Fateh Ali Tajani</t>
  </si>
  <si>
    <t>Arsalan Hussain</t>
  </si>
  <si>
    <t>Zafar Ahmed Khan</t>
  </si>
  <si>
    <t>Humayun Saeed</t>
  </si>
  <si>
    <t>Rehana Rehman</t>
  </si>
  <si>
    <t>Bilal habib</t>
  </si>
  <si>
    <t>Mustafa in jpmc copper piping deal</t>
  </si>
  <si>
    <t>PREM ELECTRIC in the forum  deal</t>
  </si>
  <si>
    <t>Haris traders (Noman FCU in the forum deal)</t>
  </si>
  <si>
    <t>Mustafa in js bank shaheen deal)</t>
  </si>
  <si>
    <t>Mehboob Steel Pipe Industry Tube Traders)</t>
  </si>
  <si>
    <t>Saqib Enterprise (Shabbir Borhter)</t>
  </si>
  <si>
    <t>Abdul Fahad Ghanchi (JES INStrumentation)</t>
  </si>
  <si>
    <t>NKR in the forum deal</t>
  </si>
  <si>
    <t>Masood Arif &amp; Faiza Masood (Tech automation)</t>
  </si>
  <si>
    <t>S. Abdullah (in js bank shaheen deal)</t>
  </si>
  <si>
    <t>Syedna Trading (Tahiri sanitry)</t>
  </si>
  <si>
    <t>Muhammad Ahsan (Flow tab in falcon deal)</t>
  </si>
  <si>
    <t>Mohsin Ashraf (Air Flow)</t>
  </si>
  <si>
    <t>Zara Engineers( in al hamd fire equipment deal)</t>
  </si>
  <si>
    <t>Food Court IPC 11</t>
  </si>
  <si>
    <t>received payment against food court IPC 11 (this payment direct transfer to Mohsin Traders accounts c/o bilal habib &amp; bilal bhai will use this cash for future expenses)</t>
  </si>
  <si>
    <t xml:space="preserve">
Initially this payment made via Pay order of meezan bank for Gree payment in Indus but it was cancelled then)
this payment received and direct transfer in mohsin traders account c/o bilal habib on 28-5-21</t>
  </si>
  <si>
    <t>IPC - 50</t>
  </si>
  <si>
    <t>MOSQUE-2</t>
  </si>
  <si>
    <t>MOSQUE-3</t>
  </si>
  <si>
    <t>Adhoc payment received mosque bill # 3 (this payment direct transfer to Mohsin Traders accounts c/o bilal habib &amp; bilal bhai will use this cash for future expenses)</t>
  </si>
  <si>
    <t>ADHOC Payment received</t>
  </si>
  <si>
    <t>Received payment (this payment given to Fakhri brothers)</t>
  </si>
  <si>
    <t>IPC-49</t>
  </si>
  <si>
    <t>IPC-50</t>
  </si>
  <si>
    <t>JPMC Retention Money amount upto 5th Floor (IPC-50)</t>
  </si>
  <si>
    <t>Less already received  amount</t>
  </si>
  <si>
    <t>Released 50% amount</t>
  </si>
  <si>
    <t>Total Amount</t>
  </si>
  <si>
    <t>IPC-11</t>
  </si>
  <si>
    <t>cash Adjustments</t>
  </si>
  <si>
    <t>cash adjustments</t>
  </si>
  <si>
    <t>cash adjustemetn</t>
  </si>
  <si>
    <t>Total remaining</t>
  </si>
  <si>
    <t>Extra paid in IPC 47</t>
  </si>
  <si>
    <t>Extra paid in IPC 48</t>
  </si>
  <si>
    <t>Extra paid in IPC 09</t>
  </si>
  <si>
    <t>Total receiving</t>
  </si>
  <si>
    <t>Adjusted in IPC 47</t>
  </si>
  <si>
    <t>Retention Working</t>
  </si>
  <si>
    <t>Received</t>
  </si>
  <si>
    <t>Total amount with hold</t>
  </si>
  <si>
    <t>Main building</t>
  </si>
  <si>
    <t xml:space="preserve">Total Retention Remaining </t>
  </si>
  <si>
    <t>(05% of 24,097,699 ) retention amount released</t>
  </si>
  <si>
    <t xml:space="preserve">Net amount </t>
  </si>
  <si>
    <t>Gross amount</t>
  </si>
  <si>
    <t>7.5% of gross</t>
  </si>
  <si>
    <t>diveded by 2</t>
  </si>
  <si>
    <t>IPC - 51</t>
  </si>
  <si>
    <t>Total Payable Amount</t>
  </si>
  <si>
    <t>IPC-51</t>
  </si>
  <si>
    <t>Waiting Area</t>
  </si>
  <si>
    <t>Transfer to Yasir siddique account (care off Bilal bhai)</t>
  </si>
  <si>
    <t>Transfer to Ashfaq Ahmed account (care off Bilal bhai)</t>
  </si>
  <si>
    <t>Cheque given to Nadeem Iqbal</t>
  </si>
  <si>
    <t>Cheque given to Shabbir Hussain Diwan</t>
  </si>
  <si>
    <t>IPC-8 (PSYCHIATRY DEPARTMENT)</t>
  </si>
  <si>
    <t>Transfer to Mohsin Traders account (care off Bilal bhai)</t>
  </si>
  <si>
    <t>IPC-10 (PSYCHIATRY DEPARTMENT)</t>
  </si>
  <si>
    <t xml:space="preserve">TOTAL COST OF Plumbing WORKS B.O.Q ITEMS </t>
  </si>
  <si>
    <t>Waiting area</t>
  </si>
  <si>
    <t>To Fakhri Against GST invoice</t>
  </si>
  <si>
    <t>IPC-11 (PSYCHIATRY DEPARTMENT)</t>
  </si>
  <si>
    <t>TOTAL COST OF Plumbing WORKS B.O.Q ITEMS</t>
  </si>
  <si>
    <t>PSHCHITRY</t>
  </si>
  <si>
    <t>Surgical Building IPC-51</t>
  </si>
  <si>
    <t>Transfer to Bilal bhai account</t>
  </si>
  <si>
    <t>Transfer to Madina steel works</t>
  </si>
  <si>
    <t>Open crossed chq</t>
  </si>
  <si>
    <t>IPC-52 (Final Bill)</t>
  </si>
  <si>
    <t>IPC-52</t>
  </si>
  <si>
    <t>Click to listen Kiani Voice</t>
  </si>
  <si>
    <t>Surgical Building IPC-52</t>
  </si>
  <si>
    <t>Transfer to Mohsin traders (care off Bilal bhai)</t>
  </si>
  <si>
    <t>IPC-12 (PSYCHIATRY DEPARTMENT)</t>
  </si>
  <si>
    <t>TOTAL COST OF Plumbing WORKS EXTRA Work</t>
  </si>
  <si>
    <t>To Madina steel Against GST invoice</t>
  </si>
  <si>
    <t>Tax adjustments</t>
  </si>
  <si>
    <t>half/ half</t>
  </si>
  <si>
    <t>Tax 7.5%</t>
  </si>
  <si>
    <t>IPC #</t>
  </si>
  <si>
    <t>WHT on Cash Payment</t>
  </si>
  <si>
    <t>CONSOLIDATED SUMMARY FOR THE PROJECT PSYCHIATRY DEPARTMENT - JPMC</t>
  </si>
  <si>
    <t>Gross Payable</t>
  </si>
  <si>
    <t>Deductions</t>
  </si>
  <si>
    <t>Retention 05%</t>
  </si>
  <si>
    <t>Income Tax</t>
  </si>
  <si>
    <t xml:space="preserve">Net Payable </t>
  </si>
  <si>
    <t>SUMMARY FOR THE MOBILIZATION ADVANCE</t>
  </si>
  <si>
    <t>Total Advance</t>
  </si>
  <si>
    <t>Tax adjustments on 125,000 &amp; 100,000</t>
  </si>
  <si>
    <t>??????????????</t>
  </si>
  <si>
    <t>Mobilization Advance 7%</t>
  </si>
  <si>
    <t>IPC-13 (PSYCHIATRY DEPARTMENT)</t>
  </si>
  <si>
    <t>Verified Bills (total 05 nos IPCs)</t>
  </si>
  <si>
    <t>OFM Deduct</t>
  </si>
  <si>
    <t>Less Mobilization Advance</t>
  </si>
  <si>
    <t>Payable Amount</t>
  </si>
  <si>
    <t>Previous Balance in JHPW in IPC-13 Billing</t>
  </si>
  <si>
    <t xml:space="preserve"> Deduct in IPCs </t>
  </si>
  <si>
    <t>Net Work Done after OFM</t>
  </si>
  <si>
    <t>Received on 13-03-2023</t>
  </si>
  <si>
    <t>Received on 6 April 2023 (given to al madina)</t>
  </si>
  <si>
    <t>Received on 16 Mar 23 (given to Iqbal sons against GST inv)</t>
  </si>
  <si>
    <t xml:space="preserve">Waiting </t>
  </si>
  <si>
    <t>IPC-12</t>
  </si>
  <si>
    <t>IPC-13</t>
  </si>
  <si>
    <t>Received on 03-5-23 against retention amount (Given to Bilal bhai in Mohsin traders acc)</t>
  </si>
  <si>
    <t>Received on 03-5-23 against retention amount (Given to Bilal bhai in sardar acc)</t>
  </si>
  <si>
    <t>Received on 03-5-23 against retention amount (Given to Bilal bhai in ashfaq acc)</t>
  </si>
  <si>
    <t>JPMC Retention Money amount upto (IPC-52)</t>
  </si>
  <si>
    <t>FOOD COURT Retention Money amount upto final Bill</t>
  </si>
  <si>
    <t>HVAC</t>
  </si>
  <si>
    <t>extra</t>
  </si>
  <si>
    <t>PHSYCHTRY DEPT Retention Money amount upto IPC-13</t>
  </si>
  <si>
    <t>05 August 2021  this chq given to Fateh steel  against GSt invoice</t>
  </si>
  <si>
    <t>28 July 2021 this chq given to NKR Engineering against GSt invoice in al Hamd deal)</t>
  </si>
  <si>
    <t>19 July 2021 Cash payment received( This cash use if our office cash)</t>
  </si>
  <si>
    <t>15 July 2021  ADHOC Payment received (transfer in mohsin traders account</t>
  </si>
  <si>
    <t>15 July 2021  this chq given to Shabbir borther against GSt invoice in the name of S A Khan traders)</t>
  </si>
  <si>
    <t>15 July 2021  this chq given to Iqbal sons against GST invoice)</t>
  </si>
  <si>
    <t>Extra paid in IPC 49</t>
  </si>
  <si>
    <t>Remaining amount IPC 50</t>
  </si>
  <si>
    <t>Food COURT -- Remaining amount IPC 08</t>
  </si>
  <si>
    <t>Food Court  -- Remaining amount IPC 10</t>
  </si>
  <si>
    <t>Food Court -- Remaining amount IPC 11</t>
  </si>
  <si>
    <t>PYSCHITRY DEPARTMENT</t>
  </si>
  <si>
    <t xml:space="preserve">Mobilization advance </t>
  </si>
  <si>
    <t>Mob Adv</t>
  </si>
  <si>
    <t>Received on 03-5-23 against retention amount (Given to Bilal bhai in Mohsin traders acc) Total Amount is 500,000 (208,338 in Surgical &amp; 291,662 in Food Court)</t>
  </si>
  <si>
    <t>Received on 25-5-23 against retention amount (Given to Bilal bhai in Mohsin traders acc) Total Amount is 1,000,000 (763,801 in Surgical &amp; 236,199 in Food Court)</t>
  </si>
  <si>
    <t>Remaining amount in Waiting ares</t>
  </si>
  <si>
    <t>Remaining amount in IPC-52</t>
  </si>
  <si>
    <t>Total Remaining amount</t>
  </si>
  <si>
    <t>PHSYCHTRY DEPT</t>
  </si>
  <si>
    <t>Project</t>
  </si>
  <si>
    <t>Retention remaining</t>
  </si>
  <si>
    <t>Total</t>
  </si>
  <si>
    <t>IPC-15 (PSYCHIATRY DEPARTMENT)</t>
  </si>
  <si>
    <t>IPC-16 (PSYCHIATRY DEPARTMENT)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</si>
</sst>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_);_(@_)"/>
  </numFmts>
  <fonts count="5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4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6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6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8"/>
      <color rgb="FFFF0000"/>
      <name val="Calibri"/>
      <family val="2"/>
      <scheme val="minor"/>
    </font>
    <font>
      <b/>
      <i/>
      <sz val="28"/>
      <color theme="8"/>
      <name val="Calibri"/>
      <family val="2"/>
      <scheme val="minor"/>
    </font>
    <font>
      <b/>
      <i/>
      <sz val="16"/>
      <name val="Calibri"/>
      <family val="2"/>
      <scheme val="minor"/>
    </font>
    <font>
      <b/>
      <sz val="18"/>
      <name val="Calibri"/>
      <family val="2"/>
      <scheme val="minor"/>
    </font>
    <font>
      <sz val="18"/>
      <color indexed="60"/>
      <name val="Calibri"/>
      <family val="2"/>
      <scheme val="minor"/>
    </font>
    <font>
      <b/>
      <i/>
      <sz val="12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1" fillId="0" borderId="0"/>
    <xf numFmtId="0" fontId="16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412">
    <xf numFmtId="0" fontId="0" fillId="0" borderId="0" xfId="0"/>
    <xf numFmtId="0" fontId="4" fillId="0" borderId="1" xfId="2" applyFont="1" applyBorder="1" applyAlignment="1">
      <alignment vertical="center"/>
    </xf>
    <xf numFmtId="0" fontId="3" fillId="0" borderId="0" xfId="0" applyFont="1"/>
    <xf numFmtId="0" fontId="5" fillId="0" borderId="0" xfId="2" applyFont="1" applyAlignment="1">
      <alignment vertical="center"/>
    </xf>
    <xf numFmtId="0" fontId="6" fillId="0" borderId="0" xfId="2" applyFont="1" applyAlignment="1">
      <alignment horizontal="center" vertical="center"/>
    </xf>
    <xf numFmtId="0" fontId="3" fillId="0" borderId="2" xfId="0" applyFont="1" applyBorder="1"/>
    <xf numFmtId="0" fontId="3" fillId="3" borderId="0" xfId="0" applyFont="1" applyFill="1"/>
    <xf numFmtId="164" fontId="3" fillId="0" borderId="0" xfId="0" applyNumberFormat="1" applyFont="1"/>
    <xf numFmtId="0" fontId="3" fillId="2" borderId="0" xfId="0" applyFont="1" applyFill="1"/>
    <xf numFmtId="0" fontId="3" fillId="4" borderId="0" xfId="0" applyFont="1" applyFill="1"/>
    <xf numFmtId="165" fontId="3" fillId="0" borderId="0" xfId="1" applyNumberFormat="1" applyFont="1"/>
    <xf numFmtId="165" fontId="8" fillId="0" borderId="2" xfId="1" applyNumberFormat="1" applyFont="1" applyBorder="1" applyAlignment="1">
      <alignment horizontal="center" vertical="center"/>
    </xf>
    <xf numFmtId="165" fontId="8" fillId="3" borderId="2" xfId="1" applyNumberFormat="1" applyFont="1" applyFill="1" applyBorder="1" applyAlignment="1">
      <alignment horizontal="center" vertical="center"/>
    </xf>
    <xf numFmtId="165" fontId="10" fillId="0" borderId="2" xfId="1" applyNumberFormat="1" applyFont="1" applyBorder="1"/>
    <xf numFmtId="165" fontId="10" fillId="2" borderId="2" xfId="1" applyNumberFormat="1" applyFont="1" applyFill="1" applyBorder="1"/>
    <xf numFmtId="165" fontId="10" fillId="3" borderId="2" xfId="1" applyNumberFormat="1" applyFont="1" applyFill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9" fillId="0" borderId="2" xfId="0" applyFont="1" applyBorder="1" applyAlignment="1">
      <alignment horizontal="left"/>
    </xf>
    <xf numFmtId="0" fontId="9" fillId="0" borderId="0" xfId="0" applyFont="1"/>
    <xf numFmtId="165" fontId="9" fillId="0" borderId="0" xfId="1" applyNumberFormat="1" applyFont="1"/>
    <xf numFmtId="165" fontId="9" fillId="0" borderId="2" xfId="1" applyNumberFormat="1" applyFont="1" applyBorder="1"/>
    <xf numFmtId="165" fontId="3" fillId="0" borderId="0" xfId="1" applyNumberFormat="1" applyFont="1" applyBorder="1"/>
    <xf numFmtId="165" fontId="3" fillId="3" borderId="0" xfId="1" applyNumberFormat="1" applyFont="1" applyFill="1" applyBorder="1"/>
    <xf numFmtId="165" fontId="3" fillId="2" borderId="0" xfId="1" applyNumberFormat="1" applyFont="1" applyFill="1"/>
    <xf numFmtId="165" fontId="3" fillId="3" borderId="0" xfId="1" applyNumberFormat="1" applyFont="1" applyFill="1"/>
    <xf numFmtId="165" fontId="11" fillId="0" borderId="0" xfId="1" applyNumberFormat="1" applyFont="1"/>
    <xf numFmtId="165" fontId="12" fillId="0" borderId="0" xfId="1" applyNumberFormat="1" applyFont="1"/>
    <xf numFmtId="165" fontId="3" fillId="0" borderId="0" xfId="0" applyNumberFormat="1" applyFont="1"/>
    <xf numFmtId="165" fontId="3" fillId="2" borderId="0" xfId="0" applyNumberFormat="1" applyFont="1" applyFill="1"/>
    <xf numFmtId="164" fontId="10" fillId="0" borderId="2" xfId="1" applyFont="1" applyBorder="1"/>
    <xf numFmtId="165" fontId="10" fillId="0" borderId="2" xfId="1" applyNumberFormat="1" applyFont="1" applyFill="1" applyBorder="1"/>
    <xf numFmtId="165" fontId="3" fillId="0" borderId="0" xfId="1" applyNumberFormat="1" applyFont="1" applyFill="1"/>
    <xf numFmtId="165" fontId="9" fillId="0" borderId="0" xfId="0" applyNumberFormat="1" applyFont="1"/>
    <xf numFmtId="165" fontId="10" fillId="3" borderId="17" xfId="1" applyNumberFormat="1" applyFont="1" applyFill="1" applyBorder="1"/>
    <xf numFmtId="165" fontId="10" fillId="0" borderId="19" xfId="1" applyNumberFormat="1" applyFont="1" applyBorder="1"/>
    <xf numFmtId="165" fontId="10" fillId="2" borderId="19" xfId="1" applyNumberFormat="1" applyFont="1" applyFill="1" applyBorder="1"/>
    <xf numFmtId="0" fontId="3" fillId="0" borderId="9" xfId="0" applyFont="1" applyBorder="1"/>
    <xf numFmtId="165" fontId="3" fillId="0" borderId="10" xfId="1" applyNumberFormat="1" applyFont="1" applyBorder="1"/>
    <xf numFmtId="165" fontId="11" fillId="0" borderId="10" xfId="1" applyNumberFormat="1" applyFont="1" applyBorder="1"/>
    <xf numFmtId="0" fontId="11" fillId="0" borderId="9" xfId="0" applyFont="1" applyBorder="1"/>
    <xf numFmtId="0" fontId="11" fillId="0" borderId="0" xfId="0" applyFont="1"/>
    <xf numFmtId="0" fontId="11" fillId="0" borderId="11" xfId="0" applyFont="1" applyBorder="1"/>
    <xf numFmtId="0" fontId="11" fillId="0" borderId="12" xfId="0" applyFont="1" applyBorder="1"/>
    <xf numFmtId="165" fontId="11" fillId="0" borderId="13" xfId="1" applyNumberFormat="1" applyFont="1" applyBorder="1"/>
    <xf numFmtId="165" fontId="9" fillId="0" borderId="10" xfId="1" applyNumberFormat="1" applyFont="1" applyBorder="1"/>
    <xf numFmtId="165" fontId="11" fillId="0" borderId="2" xfId="1" applyNumberFormat="1" applyFont="1" applyFill="1" applyBorder="1"/>
    <xf numFmtId="165" fontId="0" fillId="0" borderId="0" xfId="0" applyNumberFormat="1"/>
    <xf numFmtId="165" fontId="0" fillId="0" borderId="0" xfId="1" applyNumberFormat="1" applyFont="1"/>
    <xf numFmtId="165" fontId="19" fillId="0" borderId="2" xfId="1" applyNumberFormat="1" applyFont="1" applyFill="1" applyBorder="1"/>
    <xf numFmtId="165" fontId="20" fillId="0" borderId="2" xfId="1" applyNumberFormat="1" applyFont="1" applyFill="1" applyBorder="1"/>
    <xf numFmtId="165" fontId="21" fillId="0" borderId="2" xfId="1" applyNumberFormat="1" applyFont="1" applyFill="1" applyBorder="1"/>
    <xf numFmtId="165" fontId="3" fillId="0" borderId="0" xfId="1" applyNumberFormat="1" applyFont="1" applyAlignment="1">
      <alignment horizontal="right"/>
    </xf>
    <xf numFmtId="165" fontId="14" fillId="0" borderId="0" xfId="1" applyNumberFormat="1" applyFont="1"/>
    <xf numFmtId="165" fontId="18" fillId="0" borderId="0" xfId="1" applyNumberFormat="1" applyFont="1"/>
    <xf numFmtId="165" fontId="0" fillId="0" borderId="0" xfId="1" applyNumberFormat="1" applyFont="1" applyAlignment="1">
      <alignment horizontal="right"/>
    </xf>
    <xf numFmtId="165" fontId="11" fillId="0" borderId="0" xfId="1" applyNumberFormat="1" applyFont="1" applyAlignment="1">
      <alignment horizontal="right"/>
    </xf>
    <xf numFmtId="165" fontId="9" fillId="0" borderId="2" xfId="1" applyNumberFormat="1" applyFont="1" applyBorder="1" applyAlignment="1">
      <alignment vertical="center"/>
    </xf>
    <xf numFmtId="165" fontId="11" fillId="0" borderId="2" xfId="1" applyNumberFormat="1" applyFont="1" applyBorder="1"/>
    <xf numFmtId="165" fontId="12" fillId="0" borderId="2" xfId="1" applyNumberFormat="1" applyFont="1" applyBorder="1"/>
    <xf numFmtId="165" fontId="14" fillId="0" borderId="2" xfId="1" applyNumberFormat="1" applyFont="1" applyBorder="1"/>
    <xf numFmtId="165" fontId="18" fillId="0" borderId="2" xfId="1" applyNumberFormat="1" applyFont="1" applyBorder="1" applyAlignment="1">
      <alignment horizontal="center" vertical="center"/>
    </xf>
    <xf numFmtId="165" fontId="3" fillId="0" borderId="2" xfId="1" applyNumberFormat="1" applyFont="1" applyBorder="1"/>
    <xf numFmtId="165" fontId="15" fillId="0" borderId="2" xfId="0" applyNumberFormat="1" applyFont="1" applyBorder="1" applyAlignment="1">
      <alignment vertical="center"/>
    </xf>
    <xf numFmtId="165" fontId="15" fillId="0" borderId="2" xfId="1" applyNumberFormat="1" applyFont="1" applyBorder="1" applyAlignment="1">
      <alignment vertical="center"/>
    </xf>
    <xf numFmtId="165" fontId="14" fillId="0" borderId="2" xfId="1" applyNumberFormat="1" applyFont="1" applyBorder="1" applyAlignment="1">
      <alignment vertical="center"/>
    </xf>
    <xf numFmtId="165" fontId="22" fillId="0" borderId="0" xfId="1" applyNumberFormat="1" applyFont="1"/>
    <xf numFmtId="165" fontId="14" fillId="0" borderId="2" xfId="0" applyNumberFormat="1" applyFont="1" applyBorder="1" applyAlignment="1">
      <alignment vertical="center"/>
    </xf>
    <xf numFmtId="0" fontId="12" fillId="0" borderId="2" xfId="0" applyFont="1" applyBorder="1"/>
    <xf numFmtId="165" fontId="14" fillId="0" borderId="2" xfId="0" applyNumberFormat="1" applyFont="1" applyBorder="1"/>
    <xf numFmtId="0" fontId="0" fillId="0" borderId="0" xfId="0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165" fontId="12" fillId="0" borderId="2" xfId="1" applyNumberFormat="1" applyFont="1" applyBorder="1" applyAlignment="1">
      <alignment horizontal="center" vertical="center"/>
    </xf>
    <xf numFmtId="0" fontId="12" fillId="0" borderId="0" xfId="0" applyFont="1"/>
    <xf numFmtId="165" fontId="12" fillId="0" borderId="2" xfId="0" applyNumberFormat="1" applyFont="1" applyBorder="1"/>
    <xf numFmtId="0" fontId="24" fillId="0" borderId="4" xfId="0" applyFont="1" applyBorder="1"/>
    <xf numFmtId="0" fontId="24" fillId="0" borderId="5" xfId="0" applyFont="1" applyBorder="1"/>
    <xf numFmtId="0" fontId="23" fillId="5" borderId="2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 vertical="center" wrapText="1"/>
    </xf>
    <xf numFmtId="165" fontId="12" fillId="5" borderId="2" xfId="1" applyNumberFormat="1" applyFont="1" applyFill="1" applyBorder="1"/>
    <xf numFmtId="0" fontId="12" fillId="5" borderId="2" xfId="0" applyFont="1" applyFill="1" applyBorder="1"/>
    <xf numFmtId="165" fontId="14" fillId="5" borderId="2" xfId="0" applyNumberFormat="1" applyFont="1" applyFill="1" applyBorder="1"/>
    <xf numFmtId="0" fontId="11" fillId="0" borderId="2" xfId="0" applyFont="1" applyBorder="1" applyAlignment="1">
      <alignment vertical="center"/>
    </xf>
    <xf numFmtId="0" fontId="25" fillId="0" borderId="2" xfId="0" applyFont="1" applyBorder="1"/>
    <xf numFmtId="0" fontId="12" fillId="0" borderId="2" xfId="0" applyFont="1" applyBorder="1" applyAlignment="1">
      <alignment horizontal="right"/>
    </xf>
    <xf numFmtId="165" fontId="0" fillId="0" borderId="17" xfId="1" applyNumberFormat="1" applyFont="1" applyBorder="1" applyAlignment="1">
      <alignment horizontal="right"/>
    </xf>
    <xf numFmtId="165" fontId="0" fillId="0" borderId="19" xfId="1" applyNumberFormat="1" applyFont="1" applyBorder="1" applyAlignment="1">
      <alignment horizontal="right"/>
    </xf>
    <xf numFmtId="165" fontId="4" fillId="0" borderId="13" xfId="0" applyNumberFormat="1" applyFont="1" applyBorder="1"/>
    <xf numFmtId="164" fontId="0" fillId="0" borderId="0" xfId="1" applyFont="1"/>
    <xf numFmtId="0" fontId="9" fillId="0" borderId="26" xfId="0" applyFont="1" applyBorder="1" applyAlignment="1">
      <alignment vertical="center" wrapText="1"/>
    </xf>
    <xf numFmtId="165" fontId="14" fillId="0" borderId="26" xfId="0" applyNumberFormat="1" applyFont="1" applyBorder="1" applyAlignment="1">
      <alignment vertical="center"/>
    </xf>
    <xf numFmtId="165" fontId="14" fillId="6" borderId="2" xfId="1" applyNumberFormat="1" applyFont="1" applyFill="1" applyBorder="1" applyAlignment="1">
      <alignment vertical="center"/>
    </xf>
    <xf numFmtId="165" fontId="26" fillId="0" borderId="2" xfId="1" applyNumberFormat="1" applyFont="1" applyFill="1" applyBorder="1"/>
    <xf numFmtId="165" fontId="27" fillId="0" borderId="2" xfId="1" applyNumberFormat="1" applyFont="1" applyFill="1" applyBorder="1"/>
    <xf numFmtId="165" fontId="12" fillId="0" borderId="2" xfId="1" applyNumberFormat="1" applyFont="1" applyBorder="1" applyAlignment="1">
      <alignment horizontal="right"/>
    </xf>
    <xf numFmtId="165" fontId="30" fillId="0" borderId="2" xfId="1" applyNumberFormat="1" applyFont="1" applyBorder="1"/>
    <xf numFmtId="165" fontId="11" fillId="0" borderId="2" xfId="1" applyNumberFormat="1" applyFont="1" applyBorder="1" applyAlignment="1">
      <alignment horizontal="right" vertical="center"/>
    </xf>
    <xf numFmtId="165" fontId="33" fillId="2" borderId="2" xfId="1" applyNumberFormat="1" applyFont="1" applyFill="1" applyBorder="1"/>
    <xf numFmtId="165" fontId="32" fillId="7" borderId="2" xfId="1" applyNumberFormat="1" applyFont="1" applyFill="1" applyBorder="1"/>
    <xf numFmtId="0" fontId="13" fillId="0" borderId="2" xfId="0" applyFont="1" applyBorder="1" applyAlignment="1">
      <alignment horizontal="right" vertical="center"/>
    </xf>
    <xf numFmtId="165" fontId="12" fillId="0" borderId="2" xfId="1" applyNumberFormat="1" applyFont="1" applyBorder="1" applyAlignment="1">
      <alignment horizontal="right" vertical="center"/>
    </xf>
    <xf numFmtId="165" fontId="15" fillId="6" borderId="2" xfId="0" applyNumberFormat="1" applyFont="1" applyFill="1" applyBorder="1" applyAlignment="1">
      <alignment horizontal="right" vertical="center"/>
    </xf>
    <xf numFmtId="0" fontId="4" fillId="0" borderId="2" xfId="0" applyFont="1" applyBorder="1" applyAlignment="1">
      <alignment horizontal="right"/>
    </xf>
    <xf numFmtId="165" fontId="34" fillId="4" borderId="2" xfId="1" applyNumberFormat="1" applyFont="1" applyFill="1" applyBorder="1"/>
    <xf numFmtId="165" fontId="27" fillId="0" borderId="2" xfId="1" applyNumberFormat="1" applyFont="1" applyBorder="1" applyAlignment="1">
      <alignment vertical="center"/>
    </xf>
    <xf numFmtId="165" fontId="9" fillId="0" borderId="2" xfId="1" applyNumberFormat="1" applyFont="1" applyBorder="1" applyAlignment="1">
      <alignment horizontal="right" vertical="center"/>
    </xf>
    <xf numFmtId="165" fontId="4" fillId="6" borderId="2" xfId="1" applyNumberFormat="1" applyFont="1" applyFill="1" applyBorder="1" applyAlignment="1">
      <alignment vertical="center"/>
    </xf>
    <xf numFmtId="165" fontId="9" fillId="0" borderId="2" xfId="1" applyNumberFormat="1" applyFont="1" applyFill="1" applyBorder="1" applyAlignment="1">
      <alignment horizontal="right" vertical="center"/>
    </xf>
    <xf numFmtId="0" fontId="9" fillId="0" borderId="0" xfId="0" applyFont="1" applyAlignment="1">
      <alignment horizontal="right"/>
    </xf>
    <xf numFmtId="0" fontId="4" fillId="0" borderId="3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35" fillId="0" borderId="9" xfId="2" applyFont="1" applyBorder="1" applyAlignment="1">
      <alignment horizontal="left" vertical="center"/>
    </xf>
    <xf numFmtId="0" fontId="35" fillId="0" borderId="0" xfId="2" applyFont="1" applyAlignment="1">
      <alignment horizontal="left" vertical="center"/>
    </xf>
    <xf numFmtId="0" fontId="36" fillId="0" borderId="0" xfId="2" applyFont="1" applyAlignment="1">
      <alignment horizontal="center" vertical="center"/>
    </xf>
    <xf numFmtId="165" fontId="36" fillId="0" borderId="10" xfId="1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165" fontId="4" fillId="6" borderId="2" xfId="0" applyNumberFormat="1" applyFont="1" applyFill="1" applyBorder="1" applyAlignment="1">
      <alignment horizontal="right" vertical="center"/>
    </xf>
    <xf numFmtId="165" fontId="9" fillId="0" borderId="2" xfId="1" applyNumberFormat="1" applyFont="1" applyFill="1" applyBorder="1"/>
    <xf numFmtId="165" fontId="4" fillId="0" borderId="2" xfId="1" applyNumberFormat="1" applyFont="1" applyFill="1" applyBorder="1" applyAlignment="1">
      <alignment vertical="center"/>
    </xf>
    <xf numFmtId="0" fontId="20" fillId="0" borderId="1" xfId="2" applyFont="1" applyBorder="1" applyAlignment="1">
      <alignment vertical="center"/>
    </xf>
    <xf numFmtId="0" fontId="37" fillId="0" borderId="0" xfId="2" applyFont="1" applyAlignment="1">
      <alignment vertical="center"/>
    </xf>
    <xf numFmtId="0" fontId="38" fillId="0" borderId="0" xfId="0" applyFont="1"/>
    <xf numFmtId="0" fontId="10" fillId="0" borderId="0" xfId="0" applyFont="1"/>
    <xf numFmtId="165" fontId="10" fillId="0" borderId="0" xfId="0" applyNumberFormat="1" applyFont="1"/>
    <xf numFmtId="165" fontId="4" fillId="0" borderId="2" xfId="1" applyNumberFormat="1" applyFont="1" applyFill="1" applyBorder="1" applyAlignment="1">
      <alignment horizontal="right" vertical="center"/>
    </xf>
    <xf numFmtId="165" fontId="10" fillId="0" borderId="2" xfId="1" applyNumberFormat="1" applyFont="1" applyFill="1" applyBorder="1" applyAlignment="1">
      <alignment vertical="center"/>
    </xf>
    <xf numFmtId="165" fontId="40" fillId="0" borderId="2" xfId="1" applyNumberFormat="1" applyFont="1" applyFill="1" applyBorder="1" applyAlignment="1">
      <alignment horizontal="right" vertical="center"/>
    </xf>
    <xf numFmtId="165" fontId="14" fillId="0" borderId="2" xfId="1" applyNumberFormat="1" applyFont="1" applyFill="1" applyBorder="1" applyAlignment="1">
      <alignment horizontal="right" vertical="center"/>
    </xf>
    <xf numFmtId="165" fontId="4" fillId="0" borderId="2" xfId="1" applyNumberFormat="1" applyFont="1" applyFill="1" applyBorder="1" applyAlignment="1">
      <alignment horizontal="right"/>
    </xf>
    <xf numFmtId="165" fontId="21" fillId="2" borderId="2" xfId="1" applyNumberFormat="1" applyFont="1" applyFill="1" applyBorder="1"/>
    <xf numFmtId="165" fontId="26" fillId="2" borderId="2" xfId="1" applyNumberFormat="1" applyFont="1" applyFill="1" applyBorder="1"/>
    <xf numFmtId="0" fontId="14" fillId="6" borderId="2" xfId="0" applyFont="1" applyFill="1" applyBorder="1" applyAlignment="1">
      <alignment horizontal="right" vertical="center"/>
    </xf>
    <xf numFmtId="165" fontId="3" fillId="0" borderId="0" xfId="1" applyNumberFormat="1" applyFont="1" applyAlignment="1">
      <alignment vertical="center"/>
    </xf>
    <xf numFmtId="165" fontId="11" fillId="2" borderId="2" xfId="1" applyNumberFormat="1" applyFont="1" applyFill="1" applyBorder="1"/>
    <xf numFmtId="0" fontId="9" fillId="0" borderId="2" xfId="0" applyFont="1" applyBorder="1"/>
    <xf numFmtId="10" fontId="9" fillId="0" borderId="2" xfId="0" applyNumberFormat="1" applyFont="1" applyBorder="1"/>
    <xf numFmtId="165" fontId="40" fillId="6" borderId="22" xfId="0" applyNumberFormat="1" applyFont="1" applyFill="1" applyBorder="1" applyAlignment="1">
      <alignment horizontal="center" vertical="center"/>
    </xf>
    <xf numFmtId="165" fontId="15" fillId="6" borderId="2" xfId="1" applyNumberFormat="1" applyFont="1" applyFill="1" applyBorder="1" applyAlignment="1">
      <alignment vertical="center"/>
    </xf>
    <xf numFmtId="165" fontId="9" fillId="0" borderId="0" xfId="1" applyNumberFormat="1" applyFont="1" applyAlignment="1">
      <alignment vertical="center"/>
    </xf>
    <xf numFmtId="0" fontId="11" fillId="0" borderId="26" xfId="0" applyFont="1" applyBorder="1" applyAlignment="1">
      <alignment horizontal="center"/>
    </xf>
    <xf numFmtId="165" fontId="12" fillId="0" borderId="26" xfId="1" applyNumberFormat="1" applyFont="1" applyBorder="1"/>
    <xf numFmtId="0" fontId="12" fillId="0" borderId="26" xfId="0" applyFont="1" applyBorder="1" applyAlignment="1">
      <alignment horizontal="right"/>
    </xf>
    <xf numFmtId="165" fontId="12" fillId="0" borderId="26" xfId="1" applyNumberFormat="1" applyFont="1" applyBorder="1" applyAlignment="1">
      <alignment horizontal="right"/>
    </xf>
    <xf numFmtId="166" fontId="9" fillId="0" borderId="0" xfId="0" applyNumberFormat="1" applyFont="1"/>
    <xf numFmtId="164" fontId="9" fillId="0" borderId="0" xfId="0" applyNumberFormat="1" applyFont="1"/>
    <xf numFmtId="164" fontId="10" fillId="0" borderId="0" xfId="0" applyNumberFormat="1" applyFont="1"/>
    <xf numFmtId="165" fontId="10" fillId="0" borderId="0" xfId="1" applyNumberFormat="1" applyFont="1"/>
    <xf numFmtId="0" fontId="14" fillId="0" borderId="31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64" fontId="3" fillId="0" borderId="0" xfId="1" applyFont="1"/>
    <xf numFmtId="0" fontId="14" fillId="0" borderId="2" xfId="0" applyFont="1" applyBorder="1" applyAlignment="1">
      <alignment horizontal="right" vertical="center"/>
    </xf>
    <xf numFmtId="165" fontId="43" fillId="0" borderId="2" xfId="1" applyNumberFormat="1" applyFont="1" applyBorder="1"/>
    <xf numFmtId="165" fontId="30" fillId="2" borderId="2" xfId="1" applyNumberFormat="1" applyFont="1" applyFill="1" applyBorder="1"/>
    <xf numFmtId="165" fontId="11" fillId="0" borderId="0" xfId="1" applyNumberFormat="1" applyFont="1" applyAlignment="1"/>
    <xf numFmtId="165" fontId="4" fillId="0" borderId="2" xfId="1" applyNumberFormat="1" applyFont="1" applyBorder="1" applyAlignment="1">
      <alignment horizontal="center" vertical="center"/>
    </xf>
    <xf numFmtId="165" fontId="4" fillId="0" borderId="2" xfId="1" applyNumberFormat="1" applyFont="1" applyBorder="1" applyAlignment="1">
      <alignment vertical="center"/>
    </xf>
    <xf numFmtId="165" fontId="15" fillId="0" borderId="2" xfId="1" applyNumberFormat="1" applyFont="1" applyBorder="1" applyAlignment="1"/>
    <xf numFmtId="164" fontId="39" fillId="2" borderId="2" xfId="1" applyFont="1" applyFill="1" applyBorder="1"/>
    <xf numFmtId="165" fontId="19" fillId="9" borderId="2" xfId="1" applyNumberFormat="1" applyFont="1" applyFill="1" applyBorder="1"/>
    <xf numFmtId="165" fontId="15" fillId="10" borderId="2" xfId="0" applyNumberFormat="1" applyFont="1" applyFill="1" applyBorder="1" applyAlignment="1">
      <alignment horizontal="right" vertical="center"/>
    </xf>
    <xf numFmtId="165" fontId="18" fillId="11" borderId="2" xfId="0" applyNumberFormat="1" applyFont="1" applyFill="1" applyBorder="1" applyAlignment="1">
      <alignment horizontal="right" vertical="center"/>
    </xf>
    <xf numFmtId="165" fontId="19" fillId="8" borderId="2" xfId="1" applyNumberFormat="1" applyFont="1" applyFill="1" applyBorder="1"/>
    <xf numFmtId="165" fontId="26" fillId="3" borderId="2" xfId="1" applyNumberFormat="1" applyFont="1" applyFill="1" applyBorder="1"/>
    <xf numFmtId="164" fontId="26" fillId="0" borderId="2" xfId="1" applyFont="1" applyFill="1" applyBorder="1"/>
    <xf numFmtId="0" fontId="0" fillId="0" borderId="0" xfId="0" applyAlignment="1">
      <alignment vertical="center"/>
    </xf>
    <xf numFmtId="0" fontId="15" fillId="0" borderId="2" xfId="0" applyFont="1" applyBorder="1" applyAlignment="1">
      <alignment horizontal="right"/>
    </xf>
    <xf numFmtId="0" fontId="11" fillId="0" borderId="2" xfId="0" applyFont="1" applyBorder="1" applyAlignment="1">
      <alignment horizontal="left"/>
    </xf>
    <xf numFmtId="0" fontId="9" fillId="0" borderId="0" xfId="0" applyFont="1" applyAlignment="1">
      <alignment vertical="center"/>
    </xf>
    <xf numFmtId="166" fontId="3" fillId="0" borderId="0" xfId="0" applyNumberFormat="1" applyFont="1"/>
    <xf numFmtId="165" fontId="0" fillId="0" borderId="0" xfId="1" applyNumberFormat="1" applyFont="1" applyAlignment="1">
      <alignment horizontal="center"/>
    </xf>
    <xf numFmtId="165" fontId="42" fillId="0" borderId="2" xfId="1" applyNumberFormat="1" applyFont="1" applyBorder="1"/>
    <xf numFmtId="0" fontId="42" fillId="0" borderId="2" xfId="0" applyFont="1" applyBorder="1" applyAlignment="1">
      <alignment horizontal="center"/>
    </xf>
    <xf numFmtId="0" fontId="42" fillId="0" borderId="2" xfId="0" applyFont="1" applyBorder="1" applyAlignment="1">
      <alignment horizontal="center" vertical="center"/>
    </xf>
    <xf numFmtId="165" fontId="44" fillId="0" borderId="2" xfId="1" applyNumberFormat="1" applyFont="1" applyBorder="1" applyAlignment="1">
      <alignment vertical="center"/>
    </xf>
    <xf numFmtId="0" fontId="40" fillId="0" borderId="2" xfId="0" applyFont="1" applyBorder="1" applyAlignment="1">
      <alignment horizontal="center" vertical="center"/>
    </xf>
    <xf numFmtId="0" fontId="44" fillId="0" borderId="2" xfId="0" applyFont="1" applyBorder="1" applyAlignment="1">
      <alignment horizontal="center" vertical="center"/>
    </xf>
    <xf numFmtId="165" fontId="18" fillId="0" borderId="2" xfId="0" applyNumberFormat="1" applyFont="1" applyBorder="1" applyAlignment="1">
      <alignment horizontal="right" vertical="center"/>
    </xf>
    <xf numFmtId="165" fontId="15" fillId="0" borderId="2" xfId="0" applyNumberFormat="1" applyFont="1" applyBorder="1" applyAlignment="1">
      <alignment horizontal="right" vertical="center"/>
    </xf>
    <xf numFmtId="0" fontId="22" fillId="0" borderId="2" xfId="0" applyFont="1" applyBorder="1" applyAlignment="1">
      <alignment horizontal="center" vertical="center" wrapText="1"/>
    </xf>
    <xf numFmtId="165" fontId="42" fillId="0" borderId="0" xfId="1" applyNumberFormat="1" applyFont="1" applyAlignment="1">
      <alignment vertical="center"/>
    </xf>
    <xf numFmtId="165" fontId="4" fillId="0" borderId="1" xfId="1" applyNumberFormat="1" applyFont="1" applyBorder="1" applyAlignment="1">
      <alignment vertical="center"/>
    </xf>
    <xf numFmtId="165" fontId="5" fillId="0" borderId="0" xfId="1" applyNumberFormat="1" applyFont="1" applyAlignment="1">
      <alignment vertical="center"/>
    </xf>
    <xf numFmtId="165" fontId="6" fillId="0" borderId="0" xfId="1" applyNumberFormat="1" applyFont="1" applyAlignment="1">
      <alignment horizontal="center" vertical="center"/>
    </xf>
    <xf numFmtId="165" fontId="13" fillId="0" borderId="0" xfId="1" applyNumberFormat="1" applyFont="1" applyAlignment="1">
      <alignment horizontal="center" vertical="center"/>
    </xf>
    <xf numFmtId="165" fontId="4" fillId="0" borderId="2" xfId="1" applyNumberFormat="1" applyFont="1" applyBorder="1" applyAlignment="1">
      <alignment horizontal="right"/>
    </xf>
    <xf numFmtId="165" fontId="14" fillId="0" borderId="0" xfId="1" applyNumberFormat="1" applyFont="1" applyAlignment="1">
      <alignment horizontal="center" vertical="center"/>
    </xf>
    <xf numFmtId="0" fontId="42" fillId="0" borderId="0" xfId="0" applyFont="1" applyAlignment="1">
      <alignment horizontal="center"/>
    </xf>
    <xf numFmtId="165" fontId="42" fillId="0" borderId="0" xfId="1" applyNumberFormat="1" applyFont="1" applyBorder="1"/>
    <xf numFmtId="0" fontId="15" fillId="0" borderId="6" xfId="0" applyFont="1" applyBorder="1" applyAlignment="1">
      <alignment horizontal="right"/>
    </xf>
    <xf numFmtId="165" fontId="19" fillId="0" borderId="6" xfId="1" applyNumberFormat="1" applyFont="1" applyFill="1" applyBorder="1"/>
    <xf numFmtId="0" fontId="11" fillId="0" borderId="18" xfId="0" applyFont="1" applyBorder="1" applyAlignment="1">
      <alignment horizontal="left"/>
    </xf>
    <xf numFmtId="165" fontId="27" fillId="0" borderId="19" xfId="1" applyNumberFormat="1" applyFont="1" applyFill="1" applyBorder="1"/>
    <xf numFmtId="165" fontId="26" fillId="0" borderId="19" xfId="1" applyNumberFormat="1" applyFont="1" applyFill="1" applyBorder="1"/>
    <xf numFmtId="0" fontId="15" fillId="0" borderId="18" xfId="0" applyFont="1" applyBorder="1" applyAlignment="1">
      <alignment horizontal="right"/>
    </xf>
    <xf numFmtId="165" fontId="19" fillId="0" borderId="19" xfId="1" applyNumberFormat="1" applyFont="1" applyFill="1" applyBorder="1"/>
    <xf numFmtId="0" fontId="18" fillId="0" borderId="18" xfId="0" applyFont="1" applyBorder="1" applyAlignment="1">
      <alignment horizontal="right"/>
    </xf>
    <xf numFmtId="165" fontId="21" fillId="0" borderId="19" xfId="1" applyNumberFormat="1" applyFont="1" applyFill="1" applyBorder="1"/>
    <xf numFmtId="164" fontId="26" fillId="0" borderId="19" xfId="1" applyFont="1" applyFill="1" applyBorder="1"/>
    <xf numFmtId="0" fontId="15" fillId="0" borderId="29" xfId="0" applyFont="1" applyBorder="1" applyAlignment="1">
      <alignment horizontal="right"/>
    </xf>
    <xf numFmtId="165" fontId="19" fillId="0" borderId="36" xfId="1" applyNumberFormat="1" applyFont="1" applyFill="1" applyBorder="1"/>
    <xf numFmtId="165" fontId="11" fillId="0" borderId="2" xfId="1" applyNumberFormat="1" applyFont="1" applyBorder="1" applyAlignment="1">
      <alignment vertical="center"/>
    </xf>
    <xf numFmtId="165" fontId="45" fillId="11" borderId="2" xfId="1" applyNumberFormat="1" applyFont="1" applyFill="1" applyBorder="1" applyAlignment="1">
      <alignment vertical="center"/>
    </xf>
    <xf numFmtId="165" fontId="15" fillId="0" borderId="2" xfId="1" applyNumberFormat="1" applyFont="1" applyBorder="1" applyAlignment="1">
      <alignment horizontal="center" vertical="center"/>
    </xf>
    <xf numFmtId="165" fontId="15" fillId="0" borderId="2" xfId="1" applyNumberFormat="1" applyFont="1" applyBorder="1" applyAlignment="1">
      <alignment horizontal="center" vertical="center" wrapText="1"/>
    </xf>
    <xf numFmtId="165" fontId="15" fillId="0" borderId="2" xfId="1" applyNumberFormat="1" applyFont="1" applyBorder="1" applyAlignment="1">
      <alignment vertical="center" wrapText="1"/>
    </xf>
    <xf numFmtId="0" fontId="13" fillId="0" borderId="0" xfId="0" applyFont="1"/>
    <xf numFmtId="0" fontId="47" fillId="0" borderId="2" xfId="0" applyFont="1" applyBorder="1" applyAlignment="1">
      <alignment horizontal="center"/>
    </xf>
    <xf numFmtId="0" fontId="47" fillId="5" borderId="2" xfId="0" applyFont="1" applyFill="1" applyBorder="1" applyAlignment="1">
      <alignment horizontal="center"/>
    </xf>
    <xf numFmtId="0" fontId="42" fillId="0" borderId="2" xfId="0" applyFont="1" applyBorder="1" applyAlignment="1">
      <alignment horizontal="center" vertical="center" wrapText="1"/>
    </xf>
    <xf numFmtId="0" fontId="42" fillId="5" borderId="2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3" fillId="0" borderId="2" xfId="0" applyFont="1" applyBorder="1" applyAlignment="1">
      <alignment horizontal="center"/>
    </xf>
    <xf numFmtId="165" fontId="13" fillId="0" borderId="2" xfId="1" applyNumberFormat="1" applyFont="1" applyBorder="1"/>
    <xf numFmtId="165" fontId="13" fillId="5" borderId="2" xfId="1" applyNumberFormat="1" applyFont="1" applyFill="1" applyBorder="1"/>
    <xf numFmtId="0" fontId="13" fillId="0" borderId="2" xfId="0" applyFont="1" applyBorder="1" applyAlignment="1">
      <alignment horizontal="center" vertical="center"/>
    </xf>
    <xf numFmtId="165" fontId="13" fillId="0" borderId="2" xfId="1" applyNumberFormat="1" applyFont="1" applyBorder="1" applyAlignment="1">
      <alignment horizontal="center" vertical="center"/>
    </xf>
    <xf numFmtId="0" fontId="13" fillId="0" borderId="2" xfId="0" applyFont="1" applyBorder="1"/>
    <xf numFmtId="0" fontId="13" fillId="0" borderId="2" xfId="0" applyFont="1" applyBorder="1" applyAlignment="1">
      <alignment vertical="center"/>
    </xf>
    <xf numFmtId="165" fontId="13" fillId="0" borderId="2" xfId="0" applyNumberFormat="1" applyFont="1" applyBorder="1"/>
    <xf numFmtId="165" fontId="13" fillId="0" borderId="0" xfId="0" applyNumberFormat="1" applyFont="1"/>
    <xf numFmtId="0" fontId="13" fillId="5" borderId="2" xfId="0" applyFont="1" applyFill="1" applyBorder="1"/>
    <xf numFmtId="165" fontId="42" fillId="5" borderId="2" xfId="0" applyNumberFormat="1" applyFont="1" applyFill="1" applyBorder="1"/>
    <xf numFmtId="165" fontId="13" fillId="0" borderId="0" xfId="1" applyNumberFormat="1" applyFont="1" applyBorder="1"/>
    <xf numFmtId="165" fontId="42" fillId="0" borderId="2" xfId="0" applyNumberFormat="1" applyFont="1" applyBorder="1"/>
    <xf numFmtId="165" fontId="42" fillId="0" borderId="0" xfId="0" applyNumberFormat="1" applyFont="1"/>
    <xf numFmtId="165" fontId="48" fillId="0" borderId="2" xfId="3" applyNumberFormat="1" applyFont="1" applyFill="1" applyBorder="1"/>
    <xf numFmtId="165" fontId="3" fillId="12" borderId="0" xfId="1" applyNumberFormat="1" applyFont="1" applyFill="1"/>
    <xf numFmtId="0" fontId="14" fillId="12" borderId="24" xfId="0" applyFont="1" applyFill="1" applyBorder="1" applyAlignment="1">
      <alignment horizontal="center" vertical="center"/>
    </xf>
    <xf numFmtId="165" fontId="48" fillId="12" borderId="2" xfId="3" applyNumberFormat="1" applyFont="1" applyFill="1" applyBorder="1"/>
    <xf numFmtId="165" fontId="26" fillId="12" borderId="3" xfId="1" applyNumberFormat="1" applyFont="1" applyFill="1" applyBorder="1"/>
    <xf numFmtId="165" fontId="26" fillId="12" borderId="2" xfId="1" applyNumberFormat="1" applyFont="1" applyFill="1" applyBorder="1"/>
    <xf numFmtId="0" fontId="15" fillId="12" borderId="4" xfId="0" applyFont="1" applyFill="1" applyBorder="1" applyAlignment="1">
      <alignment horizontal="center"/>
    </xf>
    <xf numFmtId="165" fontId="27" fillId="12" borderId="2" xfId="1" applyNumberFormat="1" applyFont="1" applyFill="1" applyBorder="1"/>
    <xf numFmtId="0" fontId="18" fillId="12" borderId="2" xfId="0" applyFont="1" applyFill="1" applyBorder="1" applyAlignment="1">
      <alignment horizontal="center" vertical="center"/>
    </xf>
    <xf numFmtId="165" fontId="43" fillId="12" borderId="2" xfId="1" applyNumberFormat="1" applyFont="1" applyFill="1" applyBorder="1"/>
    <xf numFmtId="165" fontId="11" fillId="12" borderId="2" xfId="1" applyNumberFormat="1" applyFont="1" applyFill="1" applyBorder="1"/>
    <xf numFmtId="165" fontId="15" fillId="12" borderId="2" xfId="0" applyNumberFormat="1" applyFont="1" applyFill="1" applyBorder="1" applyAlignment="1">
      <alignment horizontal="right" vertical="center"/>
    </xf>
    <xf numFmtId="0" fontId="0" fillId="12" borderId="0" xfId="0" applyFill="1"/>
    <xf numFmtId="0" fontId="3" fillId="12" borderId="0" xfId="0" applyFont="1" applyFill="1"/>
    <xf numFmtId="165" fontId="15" fillId="12" borderId="3" xfId="1" applyNumberFormat="1" applyFont="1" applyFill="1" applyBorder="1" applyAlignment="1">
      <alignment horizontal="center" vertical="center"/>
    </xf>
    <xf numFmtId="165" fontId="15" fillId="12" borderId="3" xfId="1" applyNumberFormat="1" applyFont="1" applyFill="1" applyBorder="1" applyAlignment="1">
      <alignment vertical="center"/>
    </xf>
    <xf numFmtId="165" fontId="15" fillId="0" borderId="0" xfId="1" applyNumberFormat="1" applyFont="1" applyBorder="1" applyAlignment="1">
      <alignment vertical="center"/>
    </xf>
    <xf numFmtId="165" fontId="15" fillId="0" borderId="0" xfId="1" applyNumberFormat="1" applyFont="1" applyBorder="1" applyAlignment="1">
      <alignment horizontal="center" vertical="center"/>
    </xf>
    <xf numFmtId="165" fontId="15" fillId="0" borderId="0" xfId="1" applyNumberFormat="1" applyFont="1" applyBorder="1" applyAlignment="1">
      <alignment horizontal="center" vertical="center" wrapText="1"/>
    </xf>
    <xf numFmtId="165" fontId="15" fillId="0" borderId="0" xfId="1" applyNumberFormat="1" applyFont="1" applyBorder="1" applyAlignment="1">
      <alignment vertical="center" wrapText="1"/>
    </xf>
    <xf numFmtId="165" fontId="0" fillId="0" borderId="0" xfId="1" applyNumberFormat="1" applyFont="1" applyBorder="1"/>
    <xf numFmtId="165" fontId="4" fillId="0" borderId="0" xfId="1" applyNumberFormat="1" applyFont="1" applyBorder="1" applyAlignment="1">
      <alignment vertical="center"/>
    </xf>
    <xf numFmtId="165" fontId="0" fillId="0" borderId="0" xfId="1" applyNumberFormat="1" applyFont="1" applyAlignment="1">
      <alignment vertical="center"/>
    </xf>
    <xf numFmtId="165" fontId="15" fillId="11" borderId="2" xfId="0" applyNumberFormat="1" applyFont="1" applyFill="1" applyBorder="1" applyAlignment="1">
      <alignment horizontal="right" vertical="center"/>
    </xf>
    <xf numFmtId="0" fontId="47" fillId="12" borderId="2" xfId="0" applyFont="1" applyFill="1" applyBorder="1" applyAlignment="1">
      <alignment horizontal="center"/>
    </xf>
    <xf numFmtId="0" fontId="42" fillId="12" borderId="2" xfId="0" applyFont="1" applyFill="1" applyBorder="1" applyAlignment="1">
      <alignment horizontal="center" vertical="center" wrapText="1"/>
    </xf>
    <xf numFmtId="165" fontId="13" fillId="12" borderId="2" xfId="1" applyNumberFormat="1" applyFont="1" applyFill="1" applyBorder="1"/>
    <xf numFmtId="0" fontId="13" fillId="12" borderId="2" xfId="0" applyFont="1" applyFill="1" applyBorder="1"/>
    <xf numFmtId="165" fontId="42" fillId="12" borderId="2" xfId="0" applyNumberFormat="1" applyFont="1" applyFill="1" applyBorder="1"/>
    <xf numFmtId="0" fontId="47" fillId="0" borderId="4" xfId="0" applyFont="1" applyBorder="1"/>
    <xf numFmtId="165" fontId="9" fillId="0" borderId="0" xfId="0" applyNumberFormat="1" applyFont="1" applyAlignment="1">
      <alignment vertical="center"/>
    </xf>
    <xf numFmtId="0" fontId="47" fillId="0" borderId="4" xfId="0" applyFont="1" applyBorder="1" applyAlignment="1">
      <alignment wrapText="1"/>
    </xf>
    <xf numFmtId="0" fontId="14" fillId="6" borderId="0" xfId="0" applyFont="1" applyFill="1" applyAlignment="1">
      <alignment horizontal="right" vertical="center"/>
    </xf>
    <xf numFmtId="165" fontId="15" fillId="6" borderId="0" xfId="0" applyNumberFormat="1" applyFont="1" applyFill="1" applyAlignment="1">
      <alignment horizontal="right" vertical="center"/>
    </xf>
    <xf numFmtId="0" fontId="42" fillId="0" borderId="2" xfId="0" applyFont="1" applyBorder="1" applyAlignment="1">
      <alignment vertical="center"/>
    </xf>
    <xf numFmtId="165" fontId="42" fillId="0" borderId="2" xfId="0" applyNumberFormat="1" applyFont="1" applyBorder="1" applyAlignment="1">
      <alignment vertical="center"/>
    </xf>
    <xf numFmtId="0" fontId="15" fillId="0" borderId="2" xfId="0" applyFont="1" applyBorder="1" applyAlignment="1">
      <alignment horizontal="center" vertical="center"/>
    </xf>
    <xf numFmtId="0" fontId="42" fillId="0" borderId="2" xfId="0" applyFont="1" applyBorder="1" applyAlignment="1">
      <alignment horizontal="right" vertical="center"/>
    </xf>
    <xf numFmtId="3" fontId="0" fillId="0" borderId="0" xfId="0" applyNumberFormat="1"/>
    <xf numFmtId="43" fontId="0" fillId="0" borderId="0" xfId="0" applyNumberFormat="1"/>
    <xf numFmtId="165" fontId="11" fillId="0" borderId="0" xfId="0" applyNumberFormat="1" applyFont="1" applyAlignment="1">
      <alignment vertical="center"/>
    </xf>
    <xf numFmtId="9" fontId="0" fillId="0" borderId="0" xfId="4" applyFont="1" applyAlignment="1">
      <alignment vertical="center"/>
    </xf>
    <xf numFmtId="0" fontId="14" fillId="0" borderId="2" xfId="0" applyFont="1" applyBorder="1" applyAlignment="1">
      <alignment horizontal="right" vertical="center"/>
    </xf>
    <xf numFmtId="0" fontId="14" fillId="6" borderId="2" xfId="0" applyFont="1" applyFill="1" applyBorder="1" applyAlignment="1">
      <alignment horizontal="right" vertical="center"/>
    </xf>
    <xf numFmtId="0" fontId="15" fillId="0" borderId="2" xfId="0" applyFont="1" applyBorder="1" applyAlignment="1">
      <alignment horizontal="right"/>
    </xf>
    <xf numFmtId="0" fontId="18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28" fillId="2" borderId="2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left"/>
    </xf>
    <xf numFmtId="0" fontId="15" fillId="0" borderId="2" xfId="0" applyFont="1" applyBorder="1" applyAlignment="1">
      <alignment horizontal="center"/>
    </xf>
    <xf numFmtId="0" fontId="11" fillId="0" borderId="2" xfId="0" applyFont="1" applyBorder="1" applyAlignment="1">
      <alignment horizontal="right"/>
    </xf>
    <xf numFmtId="0" fontId="28" fillId="3" borderId="2" xfId="0" applyFont="1" applyFill="1" applyBorder="1" applyAlignment="1">
      <alignment horizontal="center" vertical="center"/>
    </xf>
    <xf numFmtId="0" fontId="14" fillId="6" borderId="3" xfId="0" applyFont="1" applyFill="1" applyBorder="1" applyAlignment="1">
      <alignment horizontal="center" vertical="center"/>
    </xf>
    <xf numFmtId="0" fontId="14" fillId="6" borderId="4" xfId="0" applyFont="1" applyFill="1" applyBorder="1" applyAlignment="1">
      <alignment horizontal="center" vertical="center"/>
    </xf>
    <xf numFmtId="0" fontId="14" fillId="6" borderId="5" xfId="0" applyFont="1" applyFill="1" applyBorder="1" applyAlignment="1">
      <alignment horizontal="center" vertical="center"/>
    </xf>
    <xf numFmtId="0" fontId="41" fillId="0" borderId="3" xfId="0" applyFont="1" applyBorder="1" applyAlignment="1">
      <alignment horizontal="right"/>
    </xf>
    <xf numFmtId="0" fontId="41" fillId="0" borderId="4" xfId="0" applyFont="1" applyBorder="1" applyAlignment="1">
      <alignment horizontal="right"/>
    </xf>
    <xf numFmtId="0" fontId="41" fillId="0" borderId="5" xfId="0" applyFont="1" applyBorder="1" applyAlignment="1">
      <alignment horizontal="right"/>
    </xf>
    <xf numFmtId="0" fontId="28" fillId="0" borderId="2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9" fillId="0" borderId="3" xfId="0" applyFont="1" applyBorder="1" applyAlignment="1">
      <alignment horizontal="right" vertical="center" wrapText="1"/>
    </xf>
    <xf numFmtId="0" fontId="9" fillId="0" borderId="4" xfId="0" applyFont="1" applyBorder="1" applyAlignment="1">
      <alignment horizontal="right" vertical="center" wrapText="1"/>
    </xf>
    <xf numFmtId="0" fontId="9" fillId="0" borderId="5" xfId="0" applyFont="1" applyBorder="1" applyAlignment="1">
      <alignment horizontal="right" vertical="center" wrapText="1"/>
    </xf>
    <xf numFmtId="0" fontId="29" fillId="0" borderId="2" xfId="0" applyFont="1" applyBorder="1" applyAlignment="1">
      <alignment horizontal="right"/>
    </xf>
    <xf numFmtId="0" fontId="4" fillId="0" borderId="2" xfId="0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7" fillId="0" borderId="2" xfId="3" applyFont="1" applyBorder="1" applyAlignment="1">
      <alignment horizontal="right" wrapText="1"/>
    </xf>
    <xf numFmtId="0" fontId="9" fillId="0" borderId="2" xfId="0" applyFont="1" applyBorder="1" applyAlignment="1">
      <alignment horizontal="right" wrapText="1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9" fillId="0" borderId="2" xfId="0" applyFont="1" applyBorder="1" applyAlignment="1">
      <alignment horizontal="left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14" fillId="0" borderId="7" xfId="2" applyFont="1" applyBorder="1" applyAlignment="1">
      <alignment horizontal="center" vertical="center"/>
    </xf>
    <xf numFmtId="0" fontId="14" fillId="0" borderId="1" xfId="2" applyFont="1" applyBorder="1" applyAlignment="1">
      <alignment horizontal="center" vertical="center"/>
    </xf>
    <xf numFmtId="0" fontId="14" fillId="0" borderId="8" xfId="2" applyFont="1" applyBorder="1" applyAlignment="1">
      <alignment horizontal="center" vertical="center"/>
    </xf>
    <xf numFmtId="0" fontId="35" fillId="0" borderId="9" xfId="2" applyFont="1" applyBorder="1" applyAlignment="1">
      <alignment horizontal="center" vertical="center"/>
    </xf>
    <xf numFmtId="0" fontId="35" fillId="0" borderId="0" xfId="2" applyFont="1" applyAlignment="1">
      <alignment horizontal="center" vertical="center"/>
    </xf>
    <xf numFmtId="0" fontId="35" fillId="0" borderId="10" xfId="2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14" fillId="0" borderId="0" xfId="0" applyFont="1" applyAlignment="1">
      <alignment horizontal="right" vertical="center"/>
    </xf>
    <xf numFmtId="0" fontId="9" fillId="0" borderId="2" xfId="0" applyFont="1" applyBorder="1" applyAlignment="1">
      <alignment horizontal="right"/>
    </xf>
    <xf numFmtId="0" fontId="9" fillId="0" borderId="0" xfId="0" applyFont="1" applyAlignment="1">
      <alignment horizontal="right"/>
    </xf>
    <xf numFmtId="0" fontId="31" fillId="7" borderId="2" xfId="0" applyFont="1" applyFill="1" applyBorder="1" applyAlignment="1">
      <alignment horizontal="right"/>
    </xf>
    <xf numFmtId="0" fontId="0" fillId="0" borderId="31" xfId="0" applyBorder="1" applyAlignment="1">
      <alignment horizontal="center"/>
    </xf>
    <xf numFmtId="0" fontId="3" fillId="0" borderId="0" xfId="0" applyFont="1" applyAlignment="1">
      <alignment horizontal="center"/>
    </xf>
    <xf numFmtId="0" fontId="15" fillId="2" borderId="2" xfId="0" applyFont="1" applyFill="1" applyBorder="1" applyAlignment="1">
      <alignment horizontal="right"/>
    </xf>
    <xf numFmtId="0" fontId="29" fillId="4" borderId="2" xfId="0" applyFont="1" applyFill="1" applyBorder="1" applyAlignment="1">
      <alignment horizontal="right"/>
    </xf>
    <xf numFmtId="0" fontId="4" fillId="2" borderId="2" xfId="0" applyFont="1" applyFill="1" applyBorder="1" applyAlignment="1">
      <alignment horizontal="right"/>
    </xf>
    <xf numFmtId="0" fontId="40" fillId="6" borderId="32" xfId="0" applyFont="1" applyFill="1" applyBorder="1" applyAlignment="1">
      <alignment horizontal="center" vertical="center"/>
    </xf>
    <xf numFmtId="0" fontId="40" fillId="6" borderId="33" xfId="0" applyFont="1" applyFill="1" applyBorder="1" applyAlignment="1">
      <alignment horizontal="center" vertical="center"/>
    </xf>
    <xf numFmtId="0" fontId="40" fillId="6" borderId="34" xfId="0" applyFont="1" applyFill="1" applyBorder="1" applyAlignment="1">
      <alignment horizontal="center" vertical="center"/>
    </xf>
    <xf numFmtId="0" fontId="40" fillId="6" borderId="20" xfId="0" applyFont="1" applyFill="1" applyBorder="1" applyAlignment="1">
      <alignment horizontal="center" vertical="center"/>
    </xf>
    <xf numFmtId="0" fontId="40" fillId="6" borderId="21" xfId="0" applyFont="1" applyFill="1" applyBorder="1" applyAlignment="1">
      <alignment horizontal="center" vertical="center"/>
    </xf>
    <xf numFmtId="0" fontId="40" fillId="6" borderId="2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right"/>
    </xf>
    <xf numFmtId="0" fontId="4" fillId="2" borderId="4" xfId="0" applyFont="1" applyFill="1" applyBorder="1" applyAlignment="1">
      <alignment horizontal="right"/>
    </xf>
    <xf numFmtId="0" fontId="4" fillId="2" borderId="5" xfId="0" applyFont="1" applyFill="1" applyBorder="1" applyAlignment="1">
      <alignment horizontal="right"/>
    </xf>
    <xf numFmtId="0" fontId="18" fillId="8" borderId="14" xfId="0" applyFont="1" applyFill="1" applyBorder="1" applyAlignment="1">
      <alignment horizontal="center" vertical="center"/>
    </xf>
    <xf numFmtId="0" fontId="18" fillId="8" borderId="35" xfId="0" applyFont="1" applyFill="1" applyBorder="1" applyAlignment="1">
      <alignment horizontal="center" vertical="center"/>
    </xf>
    <xf numFmtId="0" fontId="18" fillId="6" borderId="3" xfId="0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horizontal="center" vertical="center"/>
    </xf>
    <xf numFmtId="0" fontId="18" fillId="8" borderId="3" xfId="0" applyFont="1" applyFill="1" applyBorder="1" applyAlignment="1">
      <alignment horizontal="center" vertical="center"/>
    </xf>
    <xf numFmtId="0" fontId="18" fillId="8" borderId="5" xfId="0" applyFont="1" applyFill="1" applyBorder="1" applyAlignment="1">
      <alignment horizontal="center" vertical="center"/>
    </xf>
    <xf numFmtId="0" fontId="18" fillId="6" borderId="2" xfId="0" applyFont="1" applyFill="1" applyBorder="1" applyAlignment="1">
      <alignment horizontal="center" vertical="center" wrapText="1"/>
    </xf>
    <xf numFmtId="0" fontId="44" fillId="0" borderId="3" xfId="0" applyFont="1" applyBorder="1" applyAlignment="1">
      <alignment horizontal="center" vertical="center"/>
    </xf>
    <xf numFmtId="0" fontId="44" fillId="0" borderId="5" xfId="0" applyFont="1" applyBorder="1" applyAlignment="1">
      <alignment horizontal="center" vertical="center"/>
    </xf>
    <xf numFmtId="165" fontId="0" fillId="0" borderId="0" xfId="1" applyNumberFormat="1" applyFont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2" fillId="0" borderId="2" xfId="0" applyFont="1" applyBorder="1" applyAlignment="1">
      <alignment horizontal="center"/>
    </xf>
    <xf numFmtId="0" fontId="47" fillId="0" borderId="2" xfId="0" applyFont="1" applyBorder="1" applyAlignment="1">
      <alignment horizontal="center"/>
    </xf>
    <xf numFmtId="0" fontId="47" fillId="0" borderId="3" xfId="0" applyFont="1" applyBorder="1" applyAlignment="1">
      <alignment horizontal="center"/>
    </xf>
    <xf numFmtId="0" fontId="47" fillId="0" borderId="4" xfId="0" applyFont="1" applyBorder="1" applyAlignment="1">
      <alignment horizontal="center"/>
    </xf>
    <xf numFmtId="0" fontId="47" fillId="0" borderId="3" xfId="0" applyFont="1" applyBorder="1" applyAlignment="1">
      <alignment horizontal="center" wrapText="1"/>
    </xf>
    <xf numFmtId="0" fontId="47" fillId="0" borderId="4" xfId="0" applyFont="1" applyBorder="1" applyAlignment="1">
      <alignment horizontal="center" wrapText="1"/>
    </xf>
    <xf numFmtId="0" fontId="14" fillId="11" borderId="2" xfId="0" applyFont="1" applyFill="1" applyBorder="1" applyAlignment="1">
      <alignment horizontal="right" vertical="center"/>
    </xf>
    <xf numFmtId="0" fontId="46" fillId="0" borderId="2" xfId="0" applyFont="1" applyBorder="1" applyAlignment="1">
      <alignment horizontal="right" vertical="center"/>
    </xf>
    <xf numFmtId="0" fontId="4" fillId="0" borderId="2" xfId="0" applyFont="1" applyBorder="1" applyAlignment="1">
      <alignment horizontal="right" vertical="center"/>
    </xf>
    <xf numFmtId="0" fontId="49" fillId="0" borderId="2" xfId="0" applyFont="1" applyBorder="1" applyAlignment="1">
      <alignment horizontal="right" vertical="center" wrapText="1"/>
    </xf>
    <xf numFmtId="0" fontId="14" fillId="0" borderId="23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46" fillId="0" borderId="2" xfId="0" applyFont="1" applyBorder="1" applyAlignment="1">
      <alignment horizontal="right"/>
    </xf>
    <xf numFmtId="0" fontId="9" fillId="0" borderId="2" xfId="0" applyFont="1" applyBorder="1" applyAlignment="1">
      <alignment horizontal="center"/>
    </xf>
    <xf numFmtId="0" fontId="4" fillId="6" borderId="2" xfId="0" applyFont="1" applyFill="1" applyBorder="1" applyAlignment="1">
      <alignment horizontal="right" vertical="center"/>
    </xf>
    <xf numFmtId="0" fontId="35" fillId="2" borderId="9" xfId="2" applyFont="1" applyFill="1" applyBorder="1" applyAlignment="1">
      <alignment horizontal="center" vertical="center"/>
    </xf>
    <xf numFmtId="0" fontId="35" fillId="2" borderId="0" xfId="2" applyFont="1" applyFill="1" applyAlignment="1">
      <alignment horizontal="center" vertical="center"/>
    </xf>
    <xf numFmtId="0" fontId="35" fillId="2" borderId="10" xfId="2" applyFont="1" applyFill="1" applyBorder="1" applyAlignment="1">
      <alignment horizontal="center" vertical="center"/>
    </xf>
    <xf numFmtId="0" fontId="4" fillId="0" borderId="2" xfId="0" applyFont="1" applyBorder="1" applyAlignment="1">
      <alignment horizontal="right" wrapText="1"/>
    </xf>
    <xf numFmtId="0" fontId="4" fillId="0" borderId="2" xfId="0" applyFont="1" applyBorder="1" applyAlignment="1">
      <alignment horizontal="right" vertical="center" wrapText="1"/>
    </xf>
    <xf numFmtId="0" fontId="40" fillId="0" borderId="2" xfId="0" applyFont="1" applyBorder="1" applyAlignment="1">
      <alignment horizontal="right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/>
    </xf>
    <xf numFmtId="0" fontId="31" fillId="2" borderId="3" xfId="0" applyFont="1" applyFill="1" applyBorder="1" applyAlignment="1">
      <alignment horizontal="right"/>
    </xf>
    <xf numFmtId="0" fontId="31" fillId="2" borderId="4" xfId="0" applyFont="1" applyFill="1" applyBorder="1" applyAlignment="1">
      <alignment horizontal="right"/>
    </xf>
    <xf numFmtId="0" fontId="31" fillId="2" borderId="5" xfId="0" applyFont="1" applyFill="1" applyBorder="1" applyAlignment="1">
      <alignment horizontal="right"/>
    </xf>
    <xf numFmtId="0" fontId="15" fillId="2" borderId="2" xfId="0" applyFont="1" applyFill="1" applyBorder="1" applyAlignment="1">
      <alignment horizontal="right" vertical="center"/>
    </xf>
    <xf numFmtId="0" fontId="14" fillId="0" borderId="0" xfId="0" applyFont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9" fillId="0" borderId="18" xfId="0" applyFont="1" applyBorder="1" applyAlignment="1">
      <alignment horizontal="left"/>
    </xf>
    <xf numFmtId="0" fontId="4" fillId="0" borderId="18" xfId="0" applyFont="1" applyBorder="1" applyAlignment="1">
      <alignment horizontal="center"/>
    </xf>
    <xf numFmtId="0" fontId="11" fillId="0" borderId="9" xfId="0" applyFont="1" applyBorder="1" applyAlignment="1">
      <alignment horizontal="right"/>
    </xf>
    <xf numFmtId="0" fontId="11" fillId="0" borderId="0" xfId="0" applyFont="1" applyAlignment="1">
      <alignment horizontal="right"/>
    </xf>
    <xf numFmtId="0" fontId="4" fillId="2" borderId="18" xfId="0" applyFont="1" applyFill="1" applyBorder="1" applyAlignment="1">
      <alignment horizontal="center"/>
    </xf>
    <xf numFmtId="0" fontId="0" fillId="0" borderId="29" xfId="0" applyBorder="1" applyAlignment="1">
      <alignment horizontal="right"/>
    </xf>
    <xf numFmtId="0" fontId="0" fillId="0" borderId="30" xfId="0" applyBorder="1" applyAlignment="1">
      <alignment horizontal="right"/>
    </xf>
    <xf numFmtId="0" fontId="25" fillId="0" borderId="2" xfId="0" applyFont="1" applyBorder="1" applyAlignment="1">
      <alignment horizontal="center"/>
    </xf>
    <xf numFmtId="0" fontId="24" fillId="0" borderId="23" xfId="0" applyFont="1" applyBorder="1" applyAlignment="1">
      <alignment horizontal="center"/>
    </xf>
    <xf numFmtId="0" fontId="24" fillId="0" borderId="24" xfId="0" applyFont="1" applyBorder="1" applyAlignment="1">
      <alignment horizontal="center"/>
    </xf>
    <xf numFmtId="0" fontId="24" fillId="0" borderId="25" xfId="0" applyFont="1" applyBorder="1" applyAlignment="1">
      <alignment horizontal="center"/>
    </xf>
    <xf numFmtId="0" fontId="23" fillId="0" borderId="20" xfId="0" applyFont="1" applyBorder="1" applyAlignment="1">
      <alignment horizontal="center"/>
    </xf>
    <xf numFmtId="0" fontId="23" fillId="0" borderId="21" xfId="0" applyFont="1" applyBorder="1" applyAlignment="1">
      <alignment horizontal="center"/>
    </xf>
    <xf numFmtId="0" fontId="23" fillId="0" borderId="22" xfId="0" applyFont="1" applyBorder="1" applyAlignment="1">
      <alignment horizontal="center"/>
    </xf>
    <xf numFmtId="0" fontId="0" fillId="0" borderId="27" xfId="0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0" fontId="0" fillId="0" borderId="2" xfId="0" applyBorder="1" applyAlignment="1">
      <alignment horizontal="right"/>
    </xf>
  </cellXfs>
  <cellStyles count="5">
    <cellStyle name="Comma" xfId="1" builtinId="3"/>
    <cellStyle name="Hyperlink" xfId="3" builtinId="8"/>
    <cellStyle name="Normal" xfId="0" builtinId="0"/>
    <cellStyle name="Normal 2 2 2" xfId="2" xr:uid="{00000000-0005-0000-0000-000003000000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686873</xdr:colOff>
      <xdr:row>299</xdr:row>
      <xdr:rowOff>139522</xdr:rowOff>
    </xdr:from>
    <xdr:to>
      <xdr:col>9</xdr:col>
      <xdr:colOff>321972</xdr:colOff>
      <xdr:row>305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8757634" y="92706423"/>
          <a:ext cx="4936901" cy="121276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FROM THIS BILL IPC 44 RETENTION MONEY DEDUCTED ON WORK DONE AMOUNT BEFORE THIS BILL</a:t>
          </a:r>
          <a:r>
            <a:rPr lang="en-US" sz="1600" b="1" baseline="0"/>
            <a:t> RETENTION MONEY ALWAY DEDUCTED ON NET WORK DONE AMOUNT</a:t>
          </a:r>
          <a:endParaRPr lang="en-US" sz="1600" b="1"/>
        </a:p>
      </xdr:txBody>
    </xdr:sp>
    <xdr:clientData/>
  </xdr:twoCellAnchor>
  <xdr:twoCellAnchor>
    <xdr:from>
      <xdr:col>4</xdr:col>
      <xdr:colOff>107324</xdr:colOff>
      <xdr:row>296</xdr:row>
      <xdr:rowOff>107324</xdr:rowOff>
    </xdr:from>
    <xdr:to>
      <xdr:col>5</xdr:col>
      <xdr:colOff>21465</xdr:colOff>
      <xdr:row>299</xdr:row>
      <xdr:rowOff>96592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flipH="1" flipV="1">
          <a:off x="8178085" y="91998085"/>
          <a:ext cx="965915" cy="665408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32197</xdr:colOff>
      <xdr:row>299</xdr:row>
      <xdr:rowOff>203916</xdr:rowOff>
    </xdr:from>
    <xdr:to>
      <xdr:col>4</xdr:col>
      <xdr:colOff>622479</xdr:colOff>
      <xdr:row>300</xdr:row>
      <xdr:rowOff>64394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H="1">
          <a:off x="8102958" y="92770817"/>
          <a:ext cx="590282" cy="85859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45076</xdr:colOff>
      <xdr:row>405</xdr:row>
      <xdr:rowOff>130935</xdr:rowOff>
    </xdr:from>
    <xdr:to>
      <xdr:col>3</xdr:col>
      <xdr:colOff>593716</xdr:colOff>
      <xdr:row>405</xdr:row>
      <xdr:rowOff>130935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>
          <a:off x="5947893" y="127621048"/>
          <a:ext cx="548640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55812</xdr:colOff>
      <xdr:row>406</xdr:row>
      <xdr:rowOff>120205</xdr:rowOff>
    </xdr:from>
    <xdr:to>
      <xdr:col>3</xdr:col>
      <xdr:colOff>604452</xdr:colOff>
      <xdr:row>406</xdr:row>
      <xdr:rowOff>120205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/>
      </xdr:nvCxnSpPr>
      <xdr:spPr>
        <a:xfrm>
          <a:off x="5958629" y="127878628"/>
          <a:ext cx="548640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Pioneer\My%20Documents\Downloads\JPMC%20final%20BOQ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1. Civil Works"/>
      <sheetName val="Architecture"/>
      <sheetName val="Finish Basic Rates"/>
      <sheetName val="Structures (2)"/>
      <sheetName val="Structures"/>
      <sheetName val="Format Structures"/>
      <sheetName val="2. Plumbing"/>
      <sheetName val="3. Electrical"/>
      <sheetName val="4. Telecomm"/>
      <sheetName val="Summary HVAC"/>
      <sheetName val="5. HVAC"/>
      <sheetName val="6. Mechanical"/>
      <sheetName val="Equipment"/>
      <sheetName val="Sub contractor Items"/>
    </sheetNames>
    <sheetDataSet>
      <sheetData sheetId="0"/>
      <sheetData sheetId="1"/>
      <sheetData sheetId="2"/>
      <sheetData sheetId="3">
        <row r="8">
          <cell r="F8">
            <v>30</v>
          </cell>
        </row>
        <row r="9">
          <cell r="F9">
            <v>0.3</v>
          </cell>
        </row>
        <row r="10">
          <cell r="F10">
            <v>15</v>
          </cell>
        </row>
        <row r="13">
          <cell r="F13">
            <v>36</v>
          </cell>
        </row>
        <row r="14">
          <cell r="F14">
            <v>550</v>
          </cell>
        </row>
        <row r="15">
          <cell r="F15">
            <v>75</v>
          </cell>
        </row>
        <row r="19">
          <cell r="F19">
            <v>950</v>
          </cell>
        </row>
        <row r="39">
          <cell r="F39">
            <v>25</v>
          </cell>
        </row>
        <row r="41">
          <cell r="F41">
            <v>26.5</v>
          </cell>
        </row>
        <row r="42">
          <cell r="F42">
            <v>31.5</v>
          </cell>
        </row>
        <row r="48">
          <cell r="F48">
            <v>150</v>
          </cell>
        </row>
        <row r="121">
          <cell r="F121">
            <v>150</v>
          </cell>
        </row>
        <row r="149">
          <cell r="F149">
            <v>150</v>
          </cell>
        </row>
        <row r="150">
          <cell r="F150">
            <v>300</v>
          </cell>
        </row>
        <row r="153">
          <cell r="F153">
            <v>150</v>
          </cell>
        </row>
        <row r="154">
          <cell r="F154">
            <v>100</v>
          </cell>
        </row>
        <row r="171">
          <cell r="F171">
            <v>50</v>
          </cell>
        </row>
        <row r="176">
          <cell r="F176">
            <v>10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..\..\..\Xls\JPMC\Kiani%20Voice%20(1).og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691"/>
  <sheetViews>
    <sheetView topLeftCell="A664" zoomScale="90" zoomScaleNormal="90" zoomScaleSheetLayoutView="80" workbookViewId="0">
      <selection activeCell="D690" activeCellId="1" sqref="D648 D690"/>
    </sheetView>
  </sheetViews>
  <sheetFormatPr defaultColWidth="8.85546875" defaultRowHeight="15" x14ac:dyDescent="0.25"/>
  <cols>
    <col min="1" max="1" width="60.28515625" style="2" bestFit="1" customWidth="1"/>
    <col min="2" max="2" width="13" style="2" customWidth="1"/>
    <col min="3" max="3" width="12.85546875" style="2" customWidth="1"/>
    <col min="4" max="4" width="22.85546875" style="10" bestFit="1" customWidth="1"/>
    <col min="5" max="5" width="25" style="2" customWidth="1"/>
    <col min="6" max="6" width="26.42578125" style="10" customWidth="1"/>
    <col min="7" max="7" width="15.140625" style="10" customWidth="1"/>
    <col min="8" max="8" width="31.5703125" style="10" customWidth="1"/>
    <col min="9" max="9" width="25.42578125" style="10" customWidth="1"/>
    <col min="10" max="10" width="20" style="2" customWidth="1"/>
    <col min="11" max="11" width="10" style="2" bestFit="1" customWidth="1"/>
    <col min="12" max="16384" width="8.85546875" style="2"/>
  </cols>
  <sheetData>
    <row r="1" spans="1:15" ht="23.25" x14ac:dyDescent="0.25">
      <c r="A1" s="315" t="s">
        <v>0</v>
      </c>
      <c r="B1" s="316"/>
      <c r="C1" s="316"/>
      <c r="D1" s="317"/>
      <c r="E1" s="1"/>
      <c r="F1" s="186"/>
    </row>
    <row r="2" spans="1:15" ht="23.25" x14ac:dyDescent="0.25">
      <c r="A2" s="318" t="s">
        <v>1</v>
      </c>
      <c r="B2" s="319"/>
      <c r="C2" s="319"/>
      <c r="D2" s="320"/>
      <c r="E2" s="3"/>
      <c r="F2" s="187"/>
    </row>
    <row r="3" spans="1:15" ht="23.25" x14ac:dyDescent="0.25">
      <c r="A3" s="117"/>
      <c r="B3" s="118"/>
      <c r="C3" s="119"/>
      <c r="D3" s="120"/>
      <c r="E3" s="4"/>
      <c r="F3" s="188"/>
    </row>
    <row r="4" spans="1:15" ht="18.75" customHeight="1" x14ac:dyDescent="0.3">
      <c r="A4" s="321" t="s">
        <v>27</v>
      </c>
      <c r="B4" s="321"/>
      <c r="C4" s="321"/>
      <c r="D4" s="321"/>
    </row>
    <row r="5" spans="1:15" ht="18.75" x14ac:dyDescent="0.3">
      <c r="A5" s="322" t="s">
        <v>6</v>
      </c>
      <c r="B5" s="322"/>
      <c r="C5" s="322"/>
      <c r="D5" s="322"/>
      <c r="G5" s="23"/>
      <c r="H5" s="23"/>
      <c r="I5" s="23"/>
    </row>
    <row r="6" spans="1:15" s="5" customFormat="1" ht="18.75" x14ac:dyDescent="0.25">
      <c r="A6" s="323" t="s">
        <v>2</v>
      </c>
      <c r="B6" s="323"/>
      <c r="C6" s="323"/>
      <c r="D6" s="11" t="s">
        <v>7</v>
      </c>
      <c r="E6" s="2"/>
      <c r="F6" s="10"/>
      <c r="G6" s="23"/>
      <c r="H6" s="23"/>
      <c r="I6" s="23"/>
      <c r="J6" s="2"/>
      <c r="K6" s="2"/>
      <c r="L6" s="2"/>
      <c r="M6" s="2"/>
      <c r="N6" s="2"/>
      <c r="O6" s="2"/>
    </row>
    <row r="7" spans="1:15" s="6" customFormat="1" ht="18.75" x14ac:dyDescent="0.25">
      <c r="A7" s="311" t="s">
        <v>19</v>
      </c>
      <c r="B7" s="312"/>
      <c r="C7" s="313"/>
      <c r="D7" s="12"/>
      <c r="F7" s="26"/>
      <c r="G7" s="24"/>
      <c r="H7" s="24"/>
      <c r="I7" s="24"/>
    </row>
    <row r="8" spans="1:15" ht="26.25" x14ac:dyDescent="0.3">
      <c r="A8" s="310" t="s">
        <v>3</v>
      </c>
      <c r="B8" s="310"/>
      <c r="C8" s="310"/>
      <c r="D8" s="13">
        <v>724832</v>
      </c>
      <c r="G8" s="23"/>
      <c r="H8" s="23"/>
      <c r="I8" s="62"/>
      <c r="J8" s="62"/>
    </row>
    <row r="9" spans="1:15" ht="18.75" x14ac:dyDescent="0.3">
      <c r="A9" s="310" t="s">
        <v>4</v>
      </c>
      <c r="B9" s="310" t="s">
        <v>3</v>
      </c>
      <c r="C9" s="310" t="s">
        <v>3</v>
      </c>
      <c r="D9" s="13">
        <v>6107054</v>
      </c>
      <c r="I9" s="63"/>
      <c r="J9" s="5"/>
    </row>
    <row r="10" spans="1:15" ht="23.25" x14ac:dyDescent="0.3">
      <c r="A10" s="310" t="s">
        <v>5</v>
      </c>
      <c r="B10" s="310" t="s">
        <v>5</v>
      </c>
      <c r="C10" s="310" t="s">
        <v>5</v>
      </c>
      <c r="D10" s="13">
        <v>2961315</v>
      </c>
      <c r="F10" s="327"/>
      <c r="G10" s="327"/>
      <c r="H10" s="327"/>
      <c r="I10" s="64"/>
      <c r="J10" s="5"/>
      <c r="K10" s="29"/>
    </row>
    <row r="11" spans="1:15" ht="18.75" x14ac:dyDescent="0.3">
      <c r="A11" s="277" t="s">
        <v>8</v>
      </c>
      <c r="B11" s="277"/>
      <c r="C11" s="277"/>
      <c r="D11" s="13">
        <f>SUM(D8:D10)</f>
        <v>9793201</v>
      </c>
      <c r="F11" s="53"/>
      <c r="G11" s="53"/>
      <c r="H11" s="53"/>
      <c r="I11" s="63"/>
      <c r="J11" s="5"/>
      <c r="K11" s="29"/>
    </row>
    <row r="12" spans="1:15" ht="23.25" x14ac:dyDescent="0.3">
      <c r="A12" s="277" t="s">
        <v>36</v>
      </c>
      <c r="B12" s="277"/>
      <c r="C12" s="277"/>
      <c r="D12" s="13">
        <f>D11*0.05</f>
        <v>489660.05000000005</v>
      </c>
      <c r="F12" s="327"/>
      <c r="G12" s="327"/>
      <c r="H12" s="327"/>
      <c r="I12" s="65"/>
      <c r="J12" s="65"/>
      <c r="K12" s="29"/>
    </row>
    <row r="13" spans="1:15" ht="18.75" x14ac:dyDescent="0.3">
      <c r="A13" s="277" t="s">
        <v>37</v>
      </c>
      <c r="B13" s="277"/>
      <c r="C13" s="277"/>
      <c r="D13" s="13">
        <f>D11*0.05</f>
        <v>489660.05000000005</v>
      </c>
      <c r="I13" s="63"/>
      <c r="J13" s="5"/>
    </row>
    <row r="14" spans="1:15" ht="23.25" x14ac:dyDescent="0.3">
      <c r="A14" s="277" t="s">
        <v>38</v>
      </c>
      <c r="B14" s="277"/>
      <c r="C14" s="277"/>
      <c r="D14" s="13">
        <f>D11*0.08</f>
        <v>783456.08000000007</v>
      </c>
      <c r="F14" s="327"/>
      <c r="G14" s="327"/>
      <c r="H14" s="327"/>
      <c r="I14" s="66"/>
      <c r="J14" s="68"/>
    </row>
    <row r="15" spans="1:15" ht="18.75" x14ac:dyDescent="0.3">
      <c r="A15" s="277" t="s">
        <v>39</v>
      </c>
      <c r="B15" s="277"/>
      <c r="C15" s="277"/>
      <c r="D15" s="13">
        <f>D11*0.075</f>
        <v>734490.07499999995</v>
      </c>
    </row>
    <row r="16" spans="1:15" ht="18.75" x14ac:dyDescent="0.3">
      <c r="A16" s="277" t="s">
        <v>40</v>
      </c>
      <c r="B16" s="277"/>
      <c r="C16" s="277"/>
      <c r="D16" s="13">
        <f>SUM(D12:D15)</f>
        <v>2497266.2549999999</v>
      </c>
    </row>
    <row r="17" spans="1:9" s="8" customFormat="1" ht="18.75" x14ac:dyDescent="0.3">
      <c r="A17" s="301" t="s">
        <v>41</v>
      </c>
      <c r="B17" s="301"/>
      <c r="C17" s="301"/>
      <c r="D17" s="14">
        <f>D11-D16</f>
        <v>7295934.7450000001</v>
      </c>
      <c r="F17" s="25"/>
      <c r="G17" s="25"/>
      <c r="H17" s="25"/>
      <c r="I17" s="25"/>
    </row>
    <row r="18" spans="1:9" ht="18.75" x14ac:dyDescent="0.3">
      <c r="A18" s="300"/>
      <c r="B18" s="300"/>
      <c r="C18" s="300"/>
      <c r="D18" s="13"/>
    </row>
    <row r="19" spans="1:9" s="6" customFormat="1" ht="18.75" x14ac:dyDescent="0.3">
      <c r="A19" s="311" t="s">
        <v>18</v>
      </c>
      <c r="B19" s="312"/>
      <c r="C19" s="313"/>
      <c r="D19" s="15"/>
      <c r="F19" s="26"/>
      <c r="G19" s="26"/>
      <c r="H19" s="26"/>
      <c r="I19" s="26"/>
    </row>
    <row r="20" spans="1:9" ht="18.75" x14ac:dyDescent="0.3">
      <c r="A20" s="310" t="s">
        <v>3</v>
      </c>
      <c r="B20" s="310"/>
      <c r="C20" s="310"/>
      <c r="D20" s="13">
        <v>8169122.5499999998</v>
      </c>
    </row>
    <row r="21" spans="1:9" ht="23.25" x14ac:dyDescent="0.35">
      <c r="A21" s="310" t="s">
        <v>4</v>
      </c>
      <c r="B21" s="310" t="s">
        <v>3</v>
      </c>
      <c r="C21" s="310" t="s">
        <v>3</v>
      </c>
      <c r="D21" s="13"/>
      <c r="F21" s="10">
        <f>D12+D26+D40+D55+D71+D90+D110+D131+D152+D179+D201+D223+D243+D265+D303+D346+D384+D435+D470+D518+E571</f>
        <v>7085385.2387500014</v>
      </c>
      <c r="H21" s="57"/>
      <c r="I21" s="54"/>
    </row>
    <row r="22" spans="1:9" ht="26.25" x14ac:dyDescent="0.4">
      <c r="A22" s="310" t="s">
        <v>5</v>
      </c>
      <c r="B22" s="310" t="s">
        <v>5</v>
      </c>
      <c r="C22" s="310" t="s">
        <v>5</v>
      </c>
      <c r="D22" s="13">
        <v>1476445</v>
      </c>
      <c r="H22" s="57"/>
      <c r="I22" s="55"/>
    </row>
    <row r="23" spans="1:9" ht="23.25" x14ac:dyDescent="0.35">
      <c r="A23" s="310" t="s">
        <v>10</v>
      </c>
      <c r="B23" s="310"/>
      <c r="C23" s="310"/>
      <c r="D23" s="13">
        <v>1155005.8600000001</v>
      </c>
      <c r="H23" s="56"/>
      <c r="I23" s="28"/>
    </row>
    <row r="24" spans="1:9" ht="18.75" x14ac:dyDescent="0.3">
      <c r="A24" s="310" t="s">
        <v>11</v>
      </c>
      <c r="B24" s="310" t="s">
        <v>3</v>
      </c>
      <c r="C24" s="310" t="s">
        <v>3</v>
      </c>
      <c r="D24" s="13">
        <v>1562807.66</v>
      </c>
    </row>
    <row r="25" spans="1:9" ht="21" x14ac:dyDescent="0.35">
      <c r="A25" s="277" t="s">
        <v>9</v>
      </c>
      <c r="B25" s="277"/>
      <c r="C25" s="277"/>
      <c r="D25" s="13">
        <f>SUM(D20:D24)</f>
        <v>12363381.07</v>
      </c>
      <c r="I25" s="27"/>
    </row>
    <row r="26" spans="1:9" ht="18.75" x14ac:dyDescent="0.3">
      <c r="A26" s="277" t="s">
        <v>36</v>
      </c>
      <c r="B26" s="277"/>
      <c r="C26" s="277"/>
      <c r="D26" s="13">
        <f>D25*0.05</f>
        <v>618169.05350000004</v>
      </c>
    </row>
    <row r="27" spans="1:9" ht="18.75" x14ac:dyDescent="0.3">
      <c r="A27" s="277" t="s">
        <v>37</v>
      </c>
      <c r="B27" s="277"/>
      <c r="C27" s="277"/>
      <c r="D27" s="13">
        <f>D25*0.05</f>
        <v>618169.05350000004</v>
      </c>
    </row>
    <row r="28" spans="1:9" ht="18.75" x14ac:dyDescent="0.3">
      <c r="A28" s="277" t="s">
        <v>38</v>
      </c>
      <c r="B28" s="277"/>
      <c r="C28" s="277"/>
      <c r="D28" s="13">
        <f>D25*0.08</f>
        <v>989070.48560000001</v>
      </c>
    </row>
    <row r="29" spans="1:9" ht="26.25" x14ac:dyDescent="0.4">
      <c r="A29" s="277" t="s">
        <v>39</v>
      </c>
      <c r="B29" s="277"/>
      <c r="C29" s="277"/>
      <c r="D29" s="13">
        <f>D25*0.075</f>
        <v>927253.58025</v>
      </c>
      <c r="I29" s="67"/>
    </row>
    <row r="30" spans="1:9" ht="26.25" x14ac:dyDescent="0.4">
      <c r="A30" s="277" t="s">
        <v>40</v>
      </c>
      <c r="B30" s="277"/>
      <c r="C30" s="277"/>
      <c r="D30" s="13">
        <f>SUM(D26:D29)</f>
        <v>3152662.1728500002</v>
      </c>
      <c r="I30" s="67"/>
    </row>
    <row r="31" spans="1:9" s="8" customFormat="1" ht="15" customHeight="1" x14ac:dyDescent="0.3">
      <c r="A31" s="301" t="s">
        <v>41</v>
      </c>
      <c r="B31" s="301"/>
      <c r="C31" s="301"/>
      <c r="D31" s="14">
        <f>D25-D30</f>
        <v>9210718.8971500006</v>
      </c>
      <c r="F31" s="25"/>
      <c r="G31" s="25"/>
      <c r="H31" s="25"/>
      <c r="I31" s="25"/>
    </row>
    <row r="32" spans="1:9" ht="15" customHeight="1" x14ac:dyDescent="0.3">
      <c r="A32" s="16"/>
      <c r="B32" s="17"/>
      <c r="C32" s="18"/>
      <c r="D32" s="13"/>
    </row>
    <row r="33" spans="1:10" s="6" customFormat="1" ht="15" customHeight="1" x14ac:dyDescent="0.3">
      <c r="A33" s="311" t="s">
        <v>17</v>
      </c>
      <c r="B33" s="312"/>
      <c r="C33" s="313"/>
      <c r="D33" s="15"/>
      <c r="F33" s="26"/>
      <c r="G33" s="26"/>
      <c r="H33" s="26"/>
      <c r="I33" s="26"/>
    </row>
    <row r="34" spans="1:10" ht="15" customHeight="1" x14ac:dyDescent="0.3">
      <c r="A34" s="324" t="s">
        <v>3</v>
      </c>
      <c r="B34" s="325"/>
      <c r="C34" s="326"/>
      <c r="D34" s="13"/>
    </row>
    <row r="35" spans="1:10" ht="15" customHeight="1" x14ac:dyDescent="0.3">
      <c r="A35" s="19" t="s">
        <v>4</v>
      </c>
      <c r="B35" s="19"/>
      <c r="C35" s="19"/>
      <c r="D35" s="13"/>
    </row>
    <row r="36" spans="1:10" ht="15" customHeight="1" x14ac:dyDescent="0.3">
      <c r="A36" s="19" t="s">
        <v>5</v>
      </c>
      <c r="B36" s="19"/>
      <c r="C36" s="19"/>
      <c r="D36" s="13"/>
    </row>
    <row r="37" spans="1:10" ht="23.25" x14ac:dyDescent="0.35">
      <c r="A37" s="324" t="s">
        <v>10</v>
      </c>
      <c r="B37" s="325"/>
      <c r="C37" s="326"/>
      <c r="D37" s="13">
        <v>192962.6</v>
      </c>
      <c r="I37" s="28"/>
    </row>
    <row r="38" spans="1:10" ht="21" x14ac:dyDescent="0.35">
      <c r="A38" s="310" t="s">
        <v>11</v>
      </c>
      <c r="B38" s="310" t="s">
        <v>3</v>
      </c>
      <c r="C38" s="310" t="s">
        <v>3</v>
      </c>
      <c r="D38" s="13"/>
      <c r="I38" s="27"/>
    </row>
    <row r="39" spans="1:10" ht="18.75" x14ac:dyDescent="0.3">
      <c r="A39" s="300" t="s">
        <v>12</v>
      </c>
      <c r="B39" s="300"/>
      <c r="C39" s="300"/>
      <c r="D39" s="13">
        <f>SUM(D34:D38)</f>
        <v>192962.6</v>
      </c>
    </row>
    <row r="40" spans="1:10" ht="18.75" x14ac:dyDescent="0.3">
      <c r="A40" s="300" t="s">
        <v>36</v>
      </c>
      <c r="B40" s="300"/>
      <c r="C40" s="300"/>
      <c r="D40" s="13">
        <f>D39*0.05</f>
        <v>9648.130000000001</v>
      </c>
    </row>
    <row r="41" spans="1:10" ht="18.75" x14ac:dyDescent="0.3">
      <c r="A41" s="300" t="s">
        <v>37</v>
      </c>
      <c r="B41" s="300"/>
      <c r="C41" s="300"/>
      <c r="D41" s="13">
        <f>D39*0.05</f>
        <v>9648.130000000001</v>
      </c>
      <c r="J41" s="9"/>
    </row>
    <row r="42" spans="1:10" ht="18.75" x14ac:dyDescent="0.3">
      <c r="A42" s="300" t="s">
        <v>38</v>
      </c>
      <c r="B42" s="300"/>
      <c r="C42" s="300"/>
      <c r="D42" s="13">
        <f>D39*0.08</f>
        <v>15437.008000000002</v>
      </c>
    </row>
    <row r="43" spans="1:10" ht="18.75" x14ac:dyDescent="0.3">
      <c r="A43" s="300" t="s">
        <v>39</v>
      </c>
      <c r="B43" s="300"/>
      <c r="C43" s="300"/>
      <c r="D43" s="13">
        <f>D39*0.075</f>
        <v>14472.195</v>
      </c>
    </row>
    <row r="44" spans="1:10" ht="18.75" x14ac:dyDescent="0.3">
      <c r="A44" s="300" t="s">
        <v>40</v>
      </c>
      <c r="B44" s="300"/>
      <c r="C44" s="300"/>
      <c r="D44" s="13">
        <f>SUM(D40:D43)</f>
        <v>49205.463000000003</v>
      </c>
    </row>
    <row r="45" spans="1:10" s="8" customFormat="1" ht="18.75" x14ac:dyDescent="0.3">
      <c r="A45" s="301" t="s">
        <v>41</v>
      </c>
      <c r="B45" s="301"/>
      <c r="C45" s="301"/>
      <c r="D45" s="14">
        <f>D39-D44</f>
        <v>143757.13699999999</v>
      </c>
      <c r="F45" s="25"/>
      <c r="G45" s="25"/>
      <c r="H45" s="25"/>
      <c r="I45" s="25"/>
    </row>
    <row r="46" spans="1:10" ht="18.75" x14ac:dyDescent="0.3">
      <c r="A46" s="300"/>
      <c r="B46" s="300"/>
      <c r="C46" s="300"/>
      <c r="D46" s="13"/>
    </row>
    <row r="47" spans="1:10" s="6" customFormat="1" ht="18.75" x14ac:dyDescent="0.3">
      <c r="A47" s="311" t="s">
        <v>20</v>
      </c>
      <c r="B47" s="312"/>
      <c r="C47" s="313"/>
      <c r="D47" s="15"/>
      <c r="F47" s="26"/>
      <c r="G47" s="26"/>
      <c r="H47" s="26"/>
      <c r="I47" s="26"/>
    </row>
    <row r="48" spans="1:10" ht="18.75" x14ac:dyDescent="0.3">
      <c r="A48" s="310" t="s">
        <v>3</v>
      </c>
      <c r="B48" s="310"/>
      <c r="C48" s="310"/>
      <c r="D48" s="13">
        <v>371475.41</v>
      </c>
    </row>
    <row r="49" spans="1:9" ht="18.75" x14ac:dyDescent="0.3">
      <c r="A49" s="310" t="s">
        <v>4</v>
      </c>
      <c r="B49" s="310" t="s">
        <v>3</v>
      </c>
      <c r="C49" s="310" t="s">
        <v>3</v>
      </c>
      <c r="D49" s="13">
        <v>14824</v>
      </c>
    </row>
    <row r="50" spans="1:9" ht="18.75" x14ac:dyDescent="0.3">
      <c r="A50" s="310" t="s">
        <v>5</v>
      </c>
      <c r="B50" s="310" t="s">
        <v>5</v>
      </c>
      <c r="C50" s="310" t="s">
        <v>5</v>
      </c>
      <c r="D50" s="13">
        <v>45500</v>
      </c>
    </row>
    <row r="51" spans="1:9" ht="18.75" x14ac:dyDescent="0.3">
      <c r="A51" s="310" t="s">
        <v>15</v>
      </c>
      <c r="B51" s="310" t="s">
        <v>5</v>
      </c>
      <c r="C51" s="310" t="s">
        <v>5</v>
      </c>
      <c r="D51" s="13">
        <v>843676</v>
      </c>
    </row>
    <row r="52" spans="1:9" ht="18.75" x14ac:dyDescent="0.3">
      <c r="A52" s="310" t="s">
        <v>10</v>
      </c>
      <c r="B52" s="310"/>
      <c r="C52" s="310"/>
      <c r="D52" s="13"/>
    </row>
    <row r="53" spans="1:9" ht="18.75" x14ac:dyDescent="0.3">
      <c r="A53" s="310" t="s">
        <v>11</v>
      </c>
      <c r="B53" s="310" t="s">
        <v>3</v>
      </c>
      <c r="C53" s="310" t="s">
        <v>3</v>
      </c>
      <c r="D53" s="13"/>
    </row>
    <row r="54" spans="1:9" ht="18.75" x14ac:dyDescent="0.3">
      <c r="A54" s="300" t="s">
        <v>13</v>
      </c>
      <c r="B54" s="300"/>
      <c r="C54" s="300"/>
      <c r="D54" s="13">
        <f>SUM(D48:D53)</f>
        <v>1275475.4099999999</v>
      </c>
    </row>
    <row r="55" spans="1:9" ht="18.75" x14ac:dyDescent="0.3">
      <c r="A55" s="300" t="s">
        <v>36</v>
      </c>
      <c r="B55" s="300"/>
      <c r="C55" s="300"/>
      <c r="D55" s="13">
        <f>D54*0.05</f>
        <v>63773.770499999999</v>
      </c>
    </row>
    <row r="56" spans="1:9" ht="18.75" x14ac:dyDescent="0.3">
      <c r="A56" s="300" t="s">
        <v>37</v>
      </c>
      <c r="B56" s="300"/>
      <c r="C56" s="300"/>
      <c r="D56" s="13">
        <f>D54*0.05</f>
        <v>63773.770499999999</v>
      </c>
    </row>
    <row r="57" spans="1:9" ht="18.75" x14ac:dyDescent="0.3">
      <c r="A57" s="300" t="s">
        <v>38</v>
      </c>
      <c r="B57" s="300"/>
      <c r="C57" s="300"/>
      <c r="D57" s="13">
        <f>D54*0.08</f>
        <v>102038.0328</v>
      </c>
    </row>
    <row r="58" spans="1:9" ht="18.75" x14ac:dyDescent="0.3">
      <c r="A58" s="300" t="s">
        <v>39</v>
      </c>
      <c r="B58" s="300"/>
      <c r="C58" s="300"/>
      <c r="D58" s="13">
        <f>D54*0.075</f>
        <v>95660.655749999991</v>
      </c>
    </row>
    <row r="59" spans="1:9" ht="18.75" x14ac:dyDescent="0.3">
      <c r="A59" s="300" t="s">
        <v>40</v>
      </c>
      <c r="B59" s="300"/>
      <c r="C59" s="300"/>
      <c r="D59" s="13">
        <f>SUM(D55:D58)</f>
        <v>325246.22954999999</v>
      </c>
    </row>
    <row r="60" spans="1:9" s="8" customFormat="1" ht="18.75" x14ac:dyDescent="0.3">
      <c r="A60" s="301" t="s">
        <v>41</v>
      </c>
      <c r="B60" s="301"/>
      <c r="C60" s="301"/>
      <c r="D60" s="14">
        <f>D54-D59</f>
        <v>950229.18044999987</v>
      </c>
      <c r="F60" s="25"/>
      <c r="G60" s="25"/>
      <c r="H60" s="25"/>
      <c r="I60" s="25"/>
    </row>
    <row r="61" spans="1:9" ht="18.75" x14ac:dyDescent="0.3">
      <c r="A61" s="300"/>
      <c r="B61" s="300"/>
      <c r="C61" s="300"/>
      <c r="D61" s="13"/>
    </row>
    <row r="62" spans="1:9" s="6" customFormat="1" ht="18.75" x14ac:dyDescent="0.3">
      <c r="A62" s="311" t="s">
        <v>21</v>
      </c>
      <c r="B62" s="312"/>
      <c r="C62" s="313"/>
      <c r="D62" s="15"/>
      <c r="F62" s="26"/>
      <c r="G62" s="26"/>
      <c r="H62" s="26"/>
      <c r="I62" s="26"/>
    </row>
    <row r="63" spans="1:9" ht="18.75" x14ac:dyDescent="0.3">
      <c r="A63" s="310" t="s">
        <v>3</v>
      </c>
      <c r="B63" s="310"/>
      <c r="C63" s="310"/>
      <c r="D63" s="13"/>
    </row>
    <row r="64" spans="1:9" ht="18.75" x14ac:dyDescent="0.3">
      <c r="A64" s="310" t="s">
        <v>4</v>
      </c>
      <c r="B64" s="310" t="s">
        <v>3</v>
      </c>
      <c r="C64" s="310" t="s">
        <v>3</v>
      </c>
      <c r="D64" s="13"/>
    </row>
    <row r="65" spans="1:9" ht="18.75" x14ac:dyDescent="0.3">
      <c r="A65" s="310" t="s">
        <v>5</v>
      </c>
      <c r="B65" s="310" t="s">
        <v>5</v>
      </c>
      <c r="C65" s="310" t="s">
        <v>5</v>
      </c>
      <c r="D65" s="13"/>
    </row>
    <row r="66" spans="1:9" ht="18.75" x14ac:dyDescent="0.3">
      <c r="A66" s="310" t="s">
        <v>10</v>
      </c>
      <c r="B66" s="310"/>
      <c r="C66" s="310"/>
      <c r="D66" s="13">
        <v>3852994.23</v>
      </c>
    </row>
    <row r="67" spans="1:9" ht="18.75" x14ac:dyDescent="0.3">
      <c r="A67" s="310" t="s">
        <v>11</v>
      </c>
      <c r="B67" s="310" t="s">
        <v>3</v>
      </c>
      <c r="C67" s="310" t="s">
        <v>3</v>
      </c>
      <c r="D67" s="13">
        <v>3023296.54</v>
      </c>
    </row>
    <row r="68" spans="1:9" ht="18.75" x14ac:dyDescent="0.3">
      <c r="A68" s="300" t="s">
        <v>26</v>
      </c>
      <c r="B68" s="300"/>
      <c r="C68" s="300"/>
      <c r="D68" s="13">
        <f>SUM(D66:D67)</f>
        <v>6876290.7699999996</v>
      </c>
    </row>
    <row r="69" spans="1:9" ht="18.75" x14ac:dyDescent="0.3">
      <c r="A69" s="310" t="s">
        <v>23</v>
      </c>
      <c r="B69" s="310"/>
      <c r="C69" s="310"/>
      <c r="D69" s="13">
        <v>733809</v>
      </c>
    </row>
    <row r="70" spans="1:9" ht="18.75" x14ac:dyDescent="0.3">
      <c r="A70" s="300" t="s">
        <v>14</v>
      </c>
      <c r="B70" s="300"/>
      <c r="C70" s="300"/>
      <c r="D70" s="13">
        <f>D68-D69</f>
        <v>6142481.7699999996</v>
      </c>
    </row>
    <row r="71" spans="1:9" ht="18.75" x14ac:dyDescent="0.3">
      <c r="A71" s="300" t="s">
        <v>36</v>
      </c>
      <c r="B71" s="300"/>
      <c r="C71" s="300"/>
      <c r="D71" s="13">
        <f>D70*0.05</f>
        <v>307124.08850000001</v>
      </c>
    </row>
    <row r="72" spans="1:9" ht="18.75" x14ac:dyDescent="0.3">
      <c r="A72" s="300" t="s">
        <v>37</v>
      </c>
      <c r="B72" s="300"/>
      <c r="C72" s="300"/>
      <c r="D72" s="13">
        <f>D70*0.05</f>
        <v>307124.08850000001</v>
      </c>
    </row>
    <row r="73" spans="1:9" ht="18.75" x14ac:dyDescent="0.3">
      <c r="A73" s="300" t="s">
        <v>38</v>
      </c>
      <c r="B73" s="300"/>
      <c r="C73" s="300"/>
      <c r="D73" s="13">
        <f>D70*0.08</f>
        <v>491398.5416</v>
      </c>
    </row>
    <row r="74" spans="1:9" ht="18.75" x14ac:dyDescent="0.3">
      <c r="A74" s="300" t="s">
        <v>39</v>
      </c>
      <c r="B74" s="300"/>
      <c r="C74" s="300"/>
      <c r="D74" s="13">
        <f>D70*0.075</f>
        <v>460686.13274999993</v>
      </c>
    </row>
    <row r="75" spans="1:9" ht="18.75" x14ac:dyDescent="0.3">
      <c r="A75" s="300" t="s">
        <v>40</v>
      </c>
      <c r="B75" s="300"/>
      <c r="C75" s="300"/>
      <c r="D75" s="13">
        <f>SUM(D71:D74)</f>
        <v>1566332.8513499999</v>
      </c>
    </row>
    <row r="76" spans="1:9" s="8" customFormat="1" ht="18.75" x14ac:dyDescent="0.3">
      <c r="A76" s="301" t="s">
        <v>41</v>
      </c>
      <c r="B76" s="301"/>
      <c r="C76" s="301"/>
      <c r="D76" s="14">
        <f>D70-D75</f>
        <v>4576148.9186499994</v>
      </c>
      <c r="F76" s="25"/>
      <c r="G76" s="25"/>
      <c r="H76" s="25"/>
      <c r="I76" s="25"/>
    </row>
    <row r="77" spans="1:9" ht="18.75" x14ac:dyDescent="0.3">
      <c r="A77" s="300"/>
      <c r="B77" s="300"/>
      <c r="C77" s="300"/>
      <c r="D77" s="13"/>
    </row>
    <row r="78" spans="1:9" s="6" customFormat="1" ht="18.75" x14ac:dyDescent="0.3">
      <c r="A78" s="311" t="s">
        <v>22</v>
      </c>
      <c r="B78" s="312"/>
      <c r="C78" s="313"/>
      <c r="D78" s="15"/>
      <c r="F78" s="26"/>
      <c r="G78" s="26"/>
      <c r="H78" s="26"/>
      <c r="I78" s="26"/>
    </row>
    <row r="79" spans="1:9" ht="18.75" x14ac:dyDescent="0.3">
      <c r="A79" s="310" t="s">
        <v>3</v>
      </c>
      <c r="B79" s="310"/>
      <c r="C79" s="310"/>
      <c r="D79" s="13">
        <v>466489</v>
      </c>
    </row>
    <row r="80" spans="1:9" ht="18.75" x14ac:dyDescent="0.3">
      <c r="A80" s="310" t="s">
        <v>4</v>
      </c>
      <c r="B80" s="310" t="s">
        <v>3</v>
      </c>
      <c r="C80" s="310" t="s">
        <v>3</v>
      </c>
      <c r="D80" s="13">
        <v>58839</v>
      </c>
    </row>
    <row r="81" spans="1:9" ht="18.75" x14ac:dyDescent="0.3">
      <c r="A81" s="310" t="s">
        <v>5</v>
      </c>
      <c r="B81" s="310" t="s">
        <v>5</v>
      </c>
      <c r="C81" s="310" t="s">
        <v>5</v>
      </c>
      <c r="D81" s="13"/>
    </row>
    <row r="82" spans="1:9" ht="18.75" x14ac:dyDescent="0.3">
      <c r="A82" s="310" t="s">
        <v>15</v>
      </c>
      <c r="B82" s="310" t="s">
        <v>5</v>
      </c>
      <c r="C82" s="310" t="s">
        <v>5</v>
      </c>
      <c r="D82" s="13"/>
    </row>
    <row r="83" spans="1:9" ht="18.75" x14ac:dyDescent="0.3">
      <c r="A83" s="310" t="s">
        <v>10</v>
      </c>
      <c r="B83" s="310"/>
      <c r="C83" s="310"/>
      <c r="D83" s="13">
        <v>2571293.61</v>
      </c>
    </row>
    <row r="84" spans="1:9" ht="18.75" x14ac:dyDescent="0.3">
      <c r="A84" s="310" t="s">
        <v>11</v>
      </c>
      <c r="B84" s="310" t="s">
        <v>3</v>
      </c>
      <c r="C84" s="310" t="s">
        <v>3</v>
      </c>
      <c r="D84" s="13">
        <v>835199.8</v>
      </c>
    </row>
    <row r="85" spans="1:9" ht="18.75" x14ac:dyDescent="0.3">
      <c r="A85" s="300" t="s">
        <v>16</v>
      </c>
      <c r="B85" s="300"/>
      <c r="C85" s="300"/>
      <c r="D85" s="13">
        <f>SUM(D79:D84)</f>
        <v>3931821.41</v>
      </c>
    </row>
    <row r="86" spans="1:9" ht="18.75" x14ac:dyDescent="0.3">
      <c r="A86" s="310" t="s">
        <v>23</v>
      </c>
      <c r="B86" s="310"/>
      <c r="C86" s="310"/>
      <c r="D86" s="13">
        <v>213078.05</v>
      </c>
    </row>
    <row r="87" spans="1:9" ht="18.75" x14ac:dyDescent="0.3">
      <c r="A87" s="310" t="s">
        <v>24</v>
      </c>
      <c r="B87" s="310"/>
      <c r="C87" s="310"/>
      <c r="D87" s="13">
        <v>561300</v>
      </c>
    </row>
    <row r="88" spans="1:9" ht="18.75" x14ac:dyDescent="0.3">
      <c r="A88" s="310" t="s">
        <v>25</v>
      </c>
      <c r="B88" s="310"/>
      <c r="C88" s="310"/>
      <c r="D88" s="13">
        <f>SUM(D86:D87)</f>
        <v>774378.05</v>
      </c>
    </row>
    <row r="89" spans="1:9" ht="18.75" x14ac:dyDescent="0.3">
      <c r="A89" s="300" t="s">
        <v>16</v>
      </c>
      <c r="B89" s="300"/>
      <c r="C89" s="300"/>
      <c r="D89" s="13">
        <f>D85-D88</f>
        <v>3157443.3600000003</v>
      </c>
    </row>
    <row r="90" spans="1:9" ht="18.75" x14ac:dyDescent="0.3">
      <c r="A90" s="300" t="s">
        <v>36</v>
      </c>
      <c r="B90" s="300"/>
      <c r="C90" s="300"/>
      <c r="D90" s="13">
        <f>D89*0.05</f>
        <v>157872.16800000003</v>
      </c>
    </row>
    <row r="91" spans="1:9" ht="18.75" x14ac:dyDescent="0.3">
      <c r="A91" s="300" t="s">
        <v>37</v>
      </c>
      <c r="B91" s="300"/>
      <c r="C91" s="300"/>
      <c r="D91" s="13">
        <f>D89*0.05</f>
        <v>157872.16800000003</v>
      </c>
    </row>
    <row r="92" spans="1:9" ht="18.75" x14ac:dyDescent="0.3">
      <c r="A92" s="300" t="s">
        <v>38</v>
      </c>
      <c r="B92" s="300"/>
      <c r="C92" s="300"/>
      <c r="D92" s="13">
        <f>D89*0.08</f>
        <v>252595.46880000003</v>
      </c>
    </row>
    <row r="93" spans="1:9" ht="18.75" x14ac:dyDescent="0.3">
      <c r="A93" s="300" t="s">
        <v>39</v>
      </c>
      <c r="B93" s="300"/>
      <c r="C93" s="300"/>
      <c r="D93" s="13">
        <f>D89*0.075</f>
        <v>236808.25200000001</v>
      </c>
    </row>
    <row r="94" spans="1:9" ht="18.75" x14ac:dyDescent="0.3">
      <c r="A94" s="300" t="s">
        <v>40</v>
      </c>
      <c r="B94" s="300"/>
      <c r="C94" s="300"/>
      <c r="D94" s="13">
        <f>SUM(D90:D93)</f>
        <v>805148.05680000002</v>
      </c>
    </row>
    <row r="95" spans="1:9" s="8" customFormat="1" ht="18.75" x14ac:dyDescent="0.3">
      <c r="A95" s="301" t="s">
        <v>41</v>
      </c>
      <c r="B95" s="301"/>
      <c r="C95" s="301"/>
      <c r="D95" s="14">
        <f>D89-D94</f>
        <v>2352295.3032000004</v>
      </c>
      <c r="E95" s="30"/>
      <c r="F95" s="25"/>
      <c r="G95" s="25"/>
      <c r="H95" s="25"/>
      <c r="I95" s="25"/>
    </row>
    <row r="96" spans="1:9" ht="18.75" x14ac:dyDescent="0.3">
      <c r="A96" s="16"/>
      <c r="B96" s="17"/>
      <c r="C96" s="18"/>
      <c r="D96" s="13"/>
    </row>
    <row r="97" spans="1:9" s="6" customFormat="1" ht="18.75" x14ac:dyDescent="0.3">
      <c r="A97" s="311" t="s">
        <v>28</v>
      </c>
      <c r="B97" s="312"/>
      <c r="C97" s="313"/>
      <c r="D97" s="15"/>
      <c r="F97" s="26"/>
      <c r="G97" s="26"/>
      <c r="H97" s="26"/>
      <c r="I97" s="26"/>
    </row>
    <row r="98" spans="1:9" ht="18.75" x14ac:dyDescent="0.3">
      <c r="A98" s="310" t="s">
        <v>3</v>
      </c>
      <c r="B98" s="310"/>
      <c r="C98" s="310"/>
      <c r="D98" s="13">
        <v>1424566.08</v>
      </c>
    </row>
    <row r="99" spans="1:9" ht="18.75" x14ac:dyDescent="0.3">
      <c r="A99" s="310" t="s">
        <v>4</v>
      </c>
      <c r="B99" s="310" t="s">
        <v>3</v>
      </c>
      <c r="C99" s="310" t="s">
        <v>3</v>
      </c>
      <c r="D99" s="13">
        <v>0</v>
      </c>
    </row>
    <row r="100" spans="1:9" ht="18.75" x14ac:dyDescent="0.3">
      <c r="A100" s="310" t="s">
        <v>5</v>
      </c>
      <c r="B100" s="310" t="s">
        <v>5</v>
      </c>
      <c r="C100" s="310" t="s">
        <v>5</v>
      </c>
      <c r="D100" s="13">
        <v>58300</v>
      </c>
    </row>
    <row r="101" spans="1:9" ht="18.75" x14ac:dyDescent="0.3">
      <c r="A101" s="310" t="s">
        <v>31</v>
      </c>
      <c r="B101" s="310" t="s">
        <v>5</v>
      </c>
      <c r="C101" s="310" t="s">
        <v>5</v>
      </c>
      <c r="D101" s="13">
        <v>295400</v>
      </c>
    </row>
    <row r="102" spans="1:9" ht="18.75" x14ac:dyDescent="0.3">
      <c r="A102" s="310" t="s">
        <v>30</v>
      </c>
      <c r="B102" s="310" t="s">
        <v>5</v>
      </c>
      <c r="C102" s="310" t="s">
        <v>5</v>
      </c>
      <c r="D102" s="13">
        <v>1071515</v>
      </c>
    </row>
    <row r="103" spans="1:9" ht="18.75" x14ac:dyDescent="0.3">
      <c r="A103" s="310" t="s">
        <v>10</v>
      </c>
      <c r="B103" s="310"/>
      <c r="C103" s="310"/>
      <c r="D103" s="13">
        <v>0</v>
      </c>
    </row>
    <row r="104" spans="1:9" ht="18.75" x14ac:dyDescent="0.3">
      <c r="A104" s="310" t="s">
        <v>11</v>
      </c>
      <c r="B104" s="310" t="s">
        <v>3</v>
      </c>
      <c r="C104" s="310" t="s">
        <v>3</v>
      </c>
      <c r="D104" s="13">
        <v>3691841.98</v>
      </c>
    </row>
    <row r="105" spans="1:9" ht="18.75" x14ac:dyDescent="0.3">
      <c r="A105" s="300" t="s">
        <v>29</v>
      </c>
      <c r="B105" s="300"/>
      <c r="C105" s="300"/>
      <c r="D105" s="13">
        <f>SUM(D98:D104)</f>
        <v>6541623.0600000005</v>
      </c>
    </row>
    <row r="106" spans="1:9" ht="18.75" x14ac:dyDescent="0.3">
      <c r="A106" s="310" t="s">
        <v>23</v>
      </c>
      <c r="B106" s="310"/>
      <c r="C106" s="310"/>
      <c r="D106" s="13">
        <v>0</v>
      </c>
    </row>
    <row r="107" spans="1:9" ht="18.75" x14ac:dyDescent="0.3">
      <c r="A107" s="310" t="s">
        <v>24</v>
      </c>
      <c r="B107" s="310"/>
      <c r="C107" s="310"/>
      <c r="D107" s="13">
        <v>177500</v>
      </c>
    </row>
    <row r="108" spans="1:9" ht="18.75" x14ac:dyDescent="0.3">
      <c r="A108" s="310" t="s">
        <v>25</v>
      </c>
      <c r="B108" s="310"/>
      <c r="C108" s="310"/>
      <c r="D108" s="13"/>
    </row>
    <row r="109" spans="1:9" ht="18.75" x14ac:dyDescent="0.3">
      <c r="A109" s="300" t="s">
        <v>29</v>
      </c>
      <c r="B109" s="300"/>
      <c r="C109" s="300"/>
      <c r="D109" s="13">
        <f>SUM(D105:D108)</f>
        <v>6719123.0600000005</v>
      </c>
    </row>
    <row r="110" spans="1:9" ht="18.75" x14ac:dyDescent="0.3">
      <c r="A110" s="300" t="s">
        <v>36</v>
      </c>
      <c r="B110" s="300"/>
      <c r="C110" s="300"/>
      <c r="D110" s="13">
        <f>D109*0.05</f>
        <v>335956.15300000005</v>
      </c>
    </row>
    <row r="111" spans="1:9" ht="18.75" x14ac:dyDescent="0.3">
      <c r="A111" s="300" t="s">
        <v>37</v>
      </c>
      <c r="B111" s="300"/>
      <c r="C111" s="300"/>
      <c r="D111" s="13">
        <f>D109*0.05</f>
        <v>335956.15300000005</v>
      </c>
    </row>
    <row r="112" spans="1:9" ht="18.75" x14ac:dyDescent="0.3">
      <c r="A112" s="300" t="s">
        <v>38</v>
      </c>
      <c r="B112" s="300"/>
      <c r="C112" s="300"/>
      <c r="D112" s="13">
        <f>D109*0.08</f>
        <v>537529.84480000008</v>
      </c>
    </row>
    <row r="113" spans="1:9" ht="18.75" x14ac:dyDescent="0.3">
      <c r="A113" s="300" t="s">
        <v>39</v>
      </c>
      <c r="B113" s="300"/>
      <c r="C113" s="300"/>
      <c r="D113" s="13">
        <f>D109*0.075</f>
        <v>503934.22950000002</v>
      </c>
    </row>
    <row r="114" spans="1:9" ht="18.75" x14ac:dyDescent="0.3">
      <c r="A114" s="300" t="s">
        <v>40</v>
      </c>
      <c r="B114" s="300"/>
      <c r="C114" s="300"/>
      <c r="D114" s="13">
        <f>SUM(D110:D113)</f>
        <v>1713376.3803000003</v>
      </c>
    </row>
    <row r="115" spans="1:9" s="8" customFormat="1" ht="18.75" x14ac:dyDescent="0.3">
      <c r="A115" s="301" t="s">
        <v>41</v>
      </c>
      <c r="B115" s="301"/>
      <c r="C115" s="301"/>
      <c r="D115" s="14">
        <f>D109-D114</f>
        <v>5005746.6797000002</v>
      </c>
      <c r="F115" s="25"/>
      <c r="G115" s="25"/>
      <c r="H115" s="25"/>
      <c r="I115" s="25"/>
    </row>
    <row r="116" spans="1:9" ht="18.75" x14ac:dyDescent="0.3">
      <c r="A116" s="20"/>
      <c r="B116" s="20"/>
      <c r="C116" s="20"/>
      <c r="D116" s="21"/>
    </row>
    <row r="117" spans="1:9" ht="18.75" x14ac:dyDescent="0.3">
      <c r="A117" s="20"/>
      <c r="B117" s="20"/>
      <c r="C117" s="20"/>
      <c r="D117" s="21"/>
    </row>
    <row r="118" spans="1:9" s="6" customFormat="1" ht="18.75" x14ac:dyDescent="0.3">
      <c r="A118" s="311" t="s">
        <v>32</v>
      </c>
      <c r="B118" s="312"/>
      <c r="C118" s="313"/>
      <c r="D118" s="15"/>
      <c r="F118" s="26"/>
      <c r="G118" s="26"/>
      <c r="H118" s="26"/>
      <c r="I118" s="26"/>
    </row>
    <row r="119" spans="1:9" ht="18.75" x14ac:dyDescent="0.3">
      <c r="A119" s="310" t="s">
        <v>3</v>
      </c>
      <c r="B119" s="310"/>
      <c r="C119" s="310"/>
      <c r="D119" s="13">
        <v>1352002.85</v>
      </c>
    </row>
    <row r="120" spans="1:9" ht="18.75" x14ac:dyDescent="0.3">
      <c r="A120" s="310" t="s">
        <v>4</v>
      </c>
      <c r="B120" s="310" t="s">
        <v>3</v>
      </c>
      <c r="C120" s="310" t="s">
        <v>3</v>
      </c>
      <c r="D120" s="13">
        <v>24486</v>
      </c>
    </row>
    <row r="121" spans="1:9" ht="18.75" x14ac:dyDescent="0.3">
      <c r="A121" s="310" t="s">
        <v>5</v>
      </c>
      <c r="B121" s="310" t="s">
        <v>5</v>
      </c>
      <c r="C121" s="310" t="s">
        <v>5</v>
      </c>
      <c r="D121" s="13">
        <v>216284</v>
      </c>
    </row>
    <row r="122" spans="1:9" ht="18.75" x14ac:dyDescent="0.3">
      <c r="A122" s="310" t="s">
        <v>31</v>
      </c>
      <c r="B122" s="310" t="s">
        <v>5</v>
      </c>
      <c r="C122" s="310" t="s">
        <v>5</v>
      </c>
      <c r="D122" s="13">
        <v>325250</v>
      </c>
    </row>
    <row r="123" spans="1:9" ht="18.75" x14ac:dyDescent="0.3">
      <c r="A123" s="310" t="s">
        <v>30</v>
      </c>
      <c r="B123" s="310" t="s">
        <v>5</v>
      </c>
      <c r="C123" s="310" t="s">
        <v>5</v>
      </c>
      <c r="D123" s="13">
        <v>0</v>
      </c>
    </row>
    <row r="124" spans="1:9" ht="18.75" x14ac:dyDescent="0.3">
      <c r="A124" s="310" t="s">
        <v>10</v>
      </c>
      <c r="B124" s="310"/>
      <c r="C124" s="310"/>
      <c r="D124" s="13">
        <v>2956878.68</v>
      </c>
    </row>
    <row r="125" spans="1:9" ht="18.75" x14ac:dyDescent="0.3">
      <c r="A125" s="310" t="s">
        <v>11</v>
      </c>
      <c r="B125" s="310" t="s">
        <v>3</v>
      </c>
      <c r="C125" s="310" t="s">
        <v>3</v>
      </c>
      <c r="D125" s="13">
        <v>419818.32</v>
      </c>
    </row>
    <row r="126" spans="1:9" ht="18.75" x14ac:dyDescent="0.3">
      <c r="A126" s="300" t="s">
        <v>33</v>
      </c>
      <c r="B126" s="300"/>
      <c r="C126" s="300"/>
      <c r="D126" s="13">
        <f>SUM(D119:D125)</f>
        <v>5294719.8500000006</v>
      </c>
    </row>
    <row r="127" spans="1:9" ht="18.75" x14ac:dyDescent="0.3">
      <c r="A127" s="310" t="s">
        <v>23</v>
      </c>
      <c r="B127" s="310"/>
      <c r="C127" s="310"/>
      <c r="D127" s="13">
        <v>602592</v>
      </c>
    </row>
    <row r="128" spans="1:9" ht="18.75" x14ac:dyDescent="0.3">
      <c r="A128" s="310" t="s">
        <v>24</v>
      </c>
      <c r="B128" s="310"/>
      <c r="C128" s="310"/>
      <c r="D128" s="13"/>
    </row>
    <row r="129" spans="1:9" ht="18.75" x14ac:dyDescent="0.3">
      <c r="A129" s="310" t="s">
        <v>25</v>
      </c>
      <c r="B129" s="310"/>
      <c r="C129" s="310"/>
      <c r="D129" s="13"/>
    </row>
    <row r="130" spans="1:9" ht="18.75" x14ac:dyDescent="0.3">
      <c r="A130" s="300" t="s">
        <v>33</v>
      </c>
      <c r="B130" s="300"/>
      <c r="C130" s="300"/>
      <c r="D130" s="13">
        <f>D126-D127</f>
        <v>4692127.8500000006</v>
      </c>
    </row>
    <row r="131" spans="1:9" ht="18.75" x14ac:dyDescent="0.3">
      <c r="A131" s="300" t="s">
        <v>36</v>
      </c>
      <c r="B131" s="300"/>
      <c r="C131" s="300"/>
      <c r="D131" s="13">
        <f>D130*0.05</f>
        <v>234606.39250000005</v>
      </c>
    </row>
    <row r="132" spans="1:9" ht="18.75" x14ac:dyDescent="0.3">
      <c r="A132" s="300" t="s">
        <v>37</v>
      </c>
      <c r="B132" s="300"/>
      <c r="C132" s="300"/>
      <c r="D132" s="13">
        <f>D130*0.05</f>
        <v>234606.39250000005</v>
      </c>
    </row>
    <row r="133" spans="1:9" ht="18.75" x14ac:dyDescent="0.3">
      <c r="A133" s="300" t="s">
        <v>38</v>
      </c>
      <c r="B133" s="300"/>
      <c r="C133" s="300"/>
      <c r="D133" s="13">
        <f>D130*0.08</f>
        <v>375370.22800000006</v>
      </c>
      <c r="E133" s="7"/>
    </row>
    <row r="134" spans="1:9" ht="18.75" x14ac:dyDescent="0.3">
      <c r="A134" s="300" t="s">
        <v>39</v>
      </c>
      <c r="B134" s="300"/>
      <c r="C134" s="300"/>
      <c r="D134" s="13">
        <f>D130*0.075</f>
        <v>351909.58875000005</v>
      </c>
    </row>
    <row r="135" spans="1:9" ht="18.75" x14ac:dyDescent="0.3">
      <c r="A135" s="300" t="s">
        <v>40</v>
      </c>
      <c r="B135" s="300"/>
      <c r="C135" s="300"/>
      <c r="D135" s="13">
        <f>SUM(D131:D134)</f>
        <v>1196492.6017500001</v>
      </c>
    </row>
    <row r="136" spans="1:9" s="8" customFormat="1" ht="18.75" x14ac:dyDescent="0.3">
      <c r="A136" s="301" t="s">
        <v>41</v>
      </c>
      <c r="B136" s="301"/>
      <c r="C136" s="301"/>
      <c r="D136" s="14">
        <f>D130-D135</f>
        <v>3495635.2482500002</v>
      </c>
      <c r="F136" s="25"/>
      <c r="G136" s="25"/>
      <c r="H136" s="25"/>
      <c r="I136" s="25"/>
    </row>
    <row r="137" spans="1:9" ht="18.75" x14ac:dyDescent="0.3">
      <c r="A137" s="20"/>
      <c r="B137" s="20"/>
      <c r="C137" s="20"/>
      <c r="D137" s="21"/>
    </row>
    <row r="138" spans="1:9" s="6" customFormat="1" ht="18.75" x14ac:dyDescent="0.3">
      <c r="A138" s="311" t="s">
        <v>34</v>
      </c>
      <c r="B138" s="312"/>
      <c r="C138" s="313"/>
      <c r="D138" s="15"/>
      <c r="F138" s="26"/>
      <c r="G138" s="26"/>
      <c r="H138" s="26"/>
      <c r="I138" s="26"/>
    </row>
    <row r="139" spans="1:9" ht="18.75" x14ac:dyDescent="0.3">
      <c r="A139" s="310" t="s">
        <v>3</v>
      </c>
      <c r="B139" s="310"/>
      <c r="C139" s="310"/>
      <c r="D139" s="13">
        <v>1724607.72</v>
      </c>
    </row>
    <row r="140" spans="1:9" ht="18.75" x14ac:dyDescent="0.3">
      <c r="A140" s="310" t="s">
        <v>4</v>
      </c>
      <c r="B140" s="310" t="s">
        <v>3</v>
      </c>
      <c r="C140" s="310" t="s">
        <v>3</v>
      </c>
      <c r="D140" s="13">
        <v>3383</v>
      </c>
    </row>
    <row r="141" spans="1:9" ht="18.75" x14ac:dyDescent="0.3">
      <c r="A141" s="310" t="s">
        <v>5</v>
      </c>
      <c r="B141" s="310" t="s">
        <v>5</v>
      </c>
      <c r="C141" s="310" t="s">
        <v>5</v>
      </c>
      <c r="D141" s="13">
        <v>48725.82</v>
      </c>
    </row>
    <row r="142" spans="1:9" ht="18.75" x14ac:dyDescent="0.3">
      <c r="A142" s="310" t="s">
        <v>31</v>
      </c>
      <c r="B142" s="310" t="s">
        <v>5</v>
      </c>
      <c r="C142" s="310" t="s">
        <v>5</v>
      </c>
      <c r="D142" s="13"/>
    </row>
    <row r="143" spans="1:9" ht="18.75" x14ac:dyDescent="0.3">
      <c r="A143" s="310" t="s">
        <v>30</v>
      </c>
      <c r="B143" s="310" t="s">
        <v>5</v>
      </c>
      <c r="C143" s="310" t="s">
        <v>5</v>
      </c>
      <c r="D143" s="13">
        <v>168848</v>
      </c>
    </row>
    <row r="144" spans="1:9" ht="18.75" x14ac:dyDescent="0.3">
      <c r="A144" s="310" t="s">
        <v>42</v>
      </c>
      <c r="B144" s="310"/>
      <c r="C144" s="310"/>
      <c r="D144" s="13">
        <v>1425294.8</v>
      </c>
    </row>
    <row r="145" spans="1:9" ht="18.75" x14ac:dyDescent="0.3">
      <c r="A145" s="310" t="s">
        <v>44</v>
      </c>
      <c r="B145" s="310"/>
      <c r="C145" s="310"/>
      <c r="D145" s="13">
        <v>473508</v>
      </c>
    </row>
    <row r="146" spans="1:9" ht="18.75" x14ac:dyDescent="0.3">
      <c r="A146" s="310" t="s">
        <v>11</v>
      </c>
      <c r="B146" s="310" t="s">
        <v>3</v>
      </c>
      <c r="C146" s="310" t="s">
        <v>3</v>
      </c>
      <c r="D146" s="13">
        <v>12375.96</v>
      </c>
    </row>
    <row r="147" spans="1:9" ht="18.75" x14ac:dyDescent="0.3">
      <c r="A147" s="300" t="s">
        <v>35</v>
      </c>
      <c r="B147" s="300"/>
      <c r="C147" s="300"/>
      <c r="D147" s="13">
        <f>SUM(D139:D146)</f>
        <v>3856743.3</v>
      </c>
    </row>
    <row r="148" spans="1:9" ht="18.75" x14ac:dyDescent="0.3">
      <c r="A148" s="310" t="s">
        <v>23</v>
      </c>
      <c r="B148" s="310"/>
      <c r="C148" s="310"/>
      <c r="D148" s="13">
        <v>80576.800000000003</v>
      </c>
    </row>
    <row r="149" spans="1:9" ht="18.75" x14ac:dyDescent="0.3">
      <c r="A149" s="310" t="s">
        <v>24</v>
      </c>
      <c r="B149" s="310"/>
      <c r="C149" s="310"/>
      <c r="D149" s="13"/>
    </row>
    <row r="150" spans="1:9" ht="18.75" x14ac:dyDescent="0.3">
      <c r="A150" s="310" t="s">
        <v>25</v>
      </c>
      <c r="B150" s="310"/>
      <c r="C150" s="310"/>
      <c r="D150" s="13"/>
    </row>
    <row r="151" spans="1:9" ht="18.75" x14ac:dyDescent="0.3">
      <c r="A151" s="300" t="s">
        <v>35</v>
      </c>
      <c r="B151" s="300"/>
      <c r="C151" s="300"/>
      <c r="D151" s="13">
        <f>D147-D148-D149</f>
        <v>3776166.5</v>
      </c>
    </row>
    <row r="152" spans="1:9" ht="18.75" x14ac:dyDescent="0.3">
      <c r="A152" s="300" t="s">
        <v>36</v>
      </c>
      <c r="B152" s="300"/>
      <c r="C152" s="300"/>
      <c r="D152" s="13">
        <f>D151*0.05</f>
        <v>188808.32500000001</v>
      </c>
    </row>
    <row r="153" spans="1:9" ht="18.75" x14ac:dyDescent="0.3">
      <c r="A153" s="300" t="s">
        <v>37</v>
      </c>
      <c r="B153" s="300"/>
      <c r="C153" s="300"/>
      <c r="D153" s="13">
        <f>D151*0.05</f>
        <v>188808.32500000001</v>
      </c>
    </row>
    <row r="154" spans="1:9" ht="18.75" x14ac:dyDescent="0.3">
      <c r="A154" s="300" t="s">
        <v>38</v>
      </c>
      <c r="B154" s="300"/>
      <c r="C154" s="300"/>
      <c r="D154" s="13">
        <f>D151*0.08</f>
        <v>302093.32</v>
      </c>
    </row>
    <row r="155" spans="1:9" ht="18.75" x14ac:dyDescent="0.3">
      <c r="A155" s="300" t="s">
        <v>39</v>
      </c>
      <c r="B155" s="300"/>
      <c r="C155" s="300"/>
      <c r="D155" s="13">
        <f>D151*0.075</f>
        <v>283212.48749999999</v>
      </c>
    </row>
    <row r="156" spans="1:9" ht="18.75" x14ac:dyDescent="0.3">
      <c r="A156" s="300" t="s">
        <v>40</v>
      </c>
      <c r="B156" s="300"/>
      <c r="C156" s="300"/>
      <c r="D156" s="13">
        <f>SUM(D152:D155)</f>
        <v>962922.45750000002</v>
      </c>
    </row>
    <row r="157" spans="1:9" s="8" customFormat="1" ht="18.75" x14ac:dyDescent="0.3">
      <c r="A157" s="301" t="s">
        <v>41</v>
      </c>
      <c r="B157" s="301"/>
      <c r="C157" s="301"/>
      <c r="D157" s="14">
        <f>D151-D156</f>
        <v>2813244.0425</v>
      </c>
      <c r="F157" s="25"/>
      <c r="G157" s="25"/>
      <c r="H157" s="25"/>
      <c r="I157" s="25"/>
    </row>
    <row r="158" spans="1:9" ht="18.75" x14ac:dyDescent="0.3">
      <c r="A158" s="300"/>
      <c r="B158" s="300"/>
      <c r="C158" s="300"/>
      <c r="D158" s="22"/>
    </row>
    <row r="159" spans="1:9" s="6" customFormat="1" ht="18.75" x14ac:dyDescent="0.3">
      <c r="A159" s="314" t="s">
        <v>43</v>
      </c>
      <c r="B159" s="314"/>
      <c r="C159" s="314"/>
      <c r="D159" s="15">
        <v>0</v>
      </c>
      <c r="F159" s="26"/>
      <c r="G159" s="26"/>
      <c r="H159" s="26"/>
      <c r="I159" s="26"/>
    </row>
    <row r="162" spans="1:4" ht="18.75" x14ac:dyDescent="0.3">
      <c r="A162" s="311" t="s">
        <v>45</v>
      </c>
      <c r="B162" s="312"/>
      <c r="C162" s="313"/>
      <c r="D162" s="15"/>
    </row>
    <row r="163" spans="1:4" ht="18.75" x14ac:dyDescent="0.3">
      <c r="A163" s="310" t="s">
        <v>3</v>
      </c>
      <c r="B163" s="310"/>
      <c r="C163" s="310"/>
      <c r="D163" s="13"/>
    </row>
    <row r="164" spans="1:4" ht="18.75" x14ac:dyDescent="0.3">
      <c r="A164" s="310" t="s">
        <v>4</v>
      </c>
      <c r="B164" s="310" t="s">
        <v>3</v>
      </c>
      <c r="C164" s="310" t="s">
        <v>3</v>
      </c>
      <c r="D164" s="13"/>
    </row>
    <row r="165" spans="1:4" ht="18.75" x14ac:dyDescent="0.3">
      <c r="A165" s="310" t="s">
        <v>5</v>
      </c>
      <c r="B165" s="310" t="s">
        <v>5</v>
      </c>
      <c r="C165" s="310" t="s">
        <v>5</v>
      </c>
      <c r="D165" s="13"/>
    </row>
    <row r="166" spans="1:4" ht="18.75" x14ac:dyDescent="0.3">
      <c r="A166" s="310" t="s">
        <v>31</v>
      </c>
      <c r="B166" s="310" t="s">
        <v>5</v>
      </c>
      <c r="C166" s="310" t="s">
        <v>5</v>
      </c>
      <c r="D166" s="13"/>
    </row>
    <row r="167" spans="1:4" ht="18.75" x14ac:dyDescent="0.3">
      <c r="A167" s="310" t="s">
        <v>30</v>
      </c>
      <c r="B167" s="310" t="s">
        <v>5</v>
      </c>
      <c r="C167" s="310" t="s">
        <v>5</v>
      </c>
      <c r="D167" s="13"/>
    </row>
    <row r="168" spans="1:4" ht="18.75" x14ac:dyDescent="0.3">
      <c r="A168" s="310" t="s">
        <v>42</v>
      </c>
      <c r="B168" s="310"/>
      <c r="C168" s="310"/>
      <c r="D168" s="13"/>
    </row>
    <row r="169" spans="1:4" ht="18.75" x14ac:dyDescent="0.3">
      <c r="A169" s="310" t="s">
        <v>44</v>
      </c>
      <c r="B169" s="310"/>
      <c r="C169" s="310"/>
      <c r="D169" s="13"/>
    </row>
    <row r="170" spans="1:4" ht="18.75" x14ac:dyDescent="0.3">
      <c r="A170" s="310" t="s">
        <v>11</v>
      </c>
      <c r="B170" s="310" t="s">
        <v>3</v>
      </c>
      <c r="C170" s="310" t="s">
        <v>3</v>
      </c>
      <c r="D170" s="13"/>
    </row>
    <row r="171" spans="1:4" ht="18.75" x14ac:dyDescent="0.3">
      <c r="A171" s="300" t="s">
        <v>46</v>
      </c>
      <c r="B171" s="300"/>
      <c r="C171" s="300"/>
      <c r="D171" s="13">
        <v>6418852</v>
      </c>
    </row>
    <row r="172" spans="1:4" ht="18.75" x14ac:dyDescent="0.3">
      <c r="A172" s="310" t="s">
        <v>23</v>
      </c>
      <c r="B172" s="310"/>
      <c r="C172" s="310"/>
      <c r="D172" s="13">
        <v>169983</v>
      </c>
    </row>
    <row r="173" spans="1:4" ht="18.75" x14ac:dyDescent="0.3">
      <c r="A173" s="310" t="s">
        <v>24</v>
      </c>
      <c r="B173" s="310"/>
      <c r="C173" s="310"/>
      <c r="D173" s="13"/>
    </row>
    <row r="174" spans="1:4" ht="18.75" x14ac:dyDescent="0.3">
      <c r="A174" s="310" t="s">
        <v>25</v>
      </c>
      <c r="B174" s="310"/>
      <c r="C174" s="310"/>
      <c r="D174" s="13"/>
    </row>
    <row r="175" spans="1:4" ht="18.75" x14ac:dyDescent="0.3">
      <c r="A175" s="300" t="s">
        <v>46</v>
      </c>
      <c r="B175" s="300"/>
      <c r="C175" s="300"/>
      <c r="D175" s="13">
        <f>D171-D172</f>
        <v>6248869</v>
      </c>
    </row>
    <row r="176" spans="1:4" ht="18.75" x14ac:dyDescent="0.3">
      <c r="A176" s="300" t="s">
        <v>39</v>
      </c>
      <c r="B176" s="300"/>
      <c r="C176" s="300"/>
      <c r="D176" s="13">
        <f>D175*7.5%</f>
        <v>468665.17499999999</v>
      </c>
    </row>
    <row r="177" spans="1:4" ht="18.75" x14ac:dyDescent="0.3">
      <c r="A177" s="300" t="s">
        <v>48</v>
      </c>
      <c r="B177" s="300"/>
      <c r="C177" s="300"/>
      <c r="D177" s="13">
        <f>D175-D176</f>
        <v>5780203.8250000002</v>
      </c>
    </row>
    <row r="178" spans="1:4" ht="18.75" x14ac:dyDescent="0.3">
      <c r="A178" s="300" t="s">
        <v>37</v>
      </c>
      <c r="B178" s="300"/>
      <c r="C178" s="300"/>
      <c r="D178" s="13">
        <f>D177*5%</f>
        <v>289010.19125000003</v>
      </c>
    </row>
    <row r="179" spans="1:4" ht="18.75" x14ac:dyDescent="0.3">
      <c r="A179" s="300" t="s">
        <v>47</v>
      </c>
      <c r="B179" s="300"/>
      <c r="C179" s="300"/>
      <c r="D179" s="13">
        <f>D177*5%</f>
        <v>289010.19125000003</v>
      </c>
    </row>
    <row r="180" spans="1:4" ht="18.75" x14ac:dyDescent="0.3">
      <c r="A180" s="300" t="s">
        <v>38</v>
      </c>
      <c r="B180" s="300"/>
      <c r="C180" s="300"/>
      <c r="D180" s="13">
        <f>D177*8%</f>
        <v>462416.30600000004</v>
      </c>
    </row>
    <row r="181" spans="1:4" ht="18.75" x14ac:dyDescent="0.3">
      <c r="A181" s="300" t="s">
        <v>40</v>
      </c>
      <c r="B181" s="300"/>
      <c r="C181" s="300"/>
      <c r="D181" s="13">
        <f>SUM(D178:D180)</f>
        <v>1040436.6885000002</v>
      </c>
    </row>
    <row r="182" spans="1:4" ht="18.75" x14ac:dyDescent="0.3">
      <c r="A182" s="301" t="s">
        <v>41</v>
      </c>
      <c r="B182" s="301"/>
      <c r="C182" s="301"/>
      <c r="D182" s="14">
        <f>D177-D181</f>
        <v>4739767.1365</v>
      </c>
    </row>
    <row r="184" spans="1:4" ht="18.75" x14ac:dyDescent="0.3">
      <c r="A184" s="311" t="s">
        <v>49</v>
      </c>
      <c r="B184" s="312"/>
      <c r="C184" s="313"/>
      <c r="D184" s="15"/>
    </row>
    <row r="185" spans="1:4" ht="18.75" x14ac:dyDescent="0.3">
      <c r="A185" s="310" t="s">
        <v>3</v>
      </c>
      <c r="B185" s="310"/>
      <c r="C185" s="310"/>
      <c r="D185" s="13">
        <v>70250</v>
      </c>
    </row>
    <row r="186" spans="1:4" ht="18.75" x14ac:dyDescent="0.3">
      <c r="A186" s="310" t="s">
        <v>4</v>
      </c>
      <c r="B186" s="310" t="s">
        <v>3</v>
      </c>
      <c r="C186" s="310" t="s">
        <v>3</v>
      </c>
      <c r="D186" s="13">
        <v>208330</v>
      </c>
    </row>
    <row r="187" spans="1:4" ht="18.75" x14ac:dyDescent="0.3">
      <c r="A187" s="310" t="s">
        <v>5</v>
      </c>
      <c r="B187" s="310" t="s">
        <v>5</v>
      </c>
      <c r="C187" s="310" t="s">
        <v>5</v>
      </c>
      <c r="D187" s="13"/>
    </row>
    <row r="188" spans="1:4" ht="18.75" x14ac:dyDescent="0.3">
      <c r="A188" s="310" t="s">
        <v>31</v>
      </c>
      <c r="B188" s="310" t="s">
        <v>5</v>
      </c>
      <c r="C188" s="310" t="s">
        <v>5</v>
      </c>
      <c r="D188" s="13"/>
    </row>
    <row r="189" spans="1:4" ht="18.75" x14ac:dyDescent="0.3">
      <c r="A189" s="310" t="s">
        <v>30</v>
      </c>
      <c r="B189" s="310" t="s">
        <v>5</v>
      </c>
      <c r="C189" s="310" t="s">
        <v>5</v>
      </c>
      <c r="D189" s="13"/>
    </row>
    <row r="190" spans="1:4" ht="18.75" x14ac:dyDescent="0.3">
      <c r="A190" s="310" t="s">
        <v>42</v>
      </c>
      <c r="B190" s="310"/>
      <c r="C190" s="310"/>
      <c r="D190" s="13"/>
    </row>
    <row r="191" spans="1:4" ht="18.75" x14ac:dyDescent="0.3">
      <c r="A191" s="310" t="s">
        <v>44</v>
      </c>
      <c r="B191" s="310"/>
      <c r="C191" s="310"/>
      <c r="D191" s="13"/>
    </row>
    <row r="192" spans="1:4" ht="18.75" x14ac:dyDescent="0.3">
      <c r="A192" s="310" t="s">
        <v>11</v>
      </c>
      <c r="B192" s="310" t="s">
        <v>3</v>
      </c>
      <c r="C192" s="310" t="s">
        <v>3</v>
      </c>
      <c r="D192" s="13">
        <v>98752</v>
      </c>
    </row>
    <row r="193" spans="1:5" ht="18.75" x14ac:dyDescent="0.3">
      <c r="A193" s="300" t="s">
        <v>50</v>
      </c>
      <c r="B193" s="300"/>
      <c r="C193" s="300"/>
      <c r="D193" s="13">
        <f>SUM(D185:D192)</f>
        <v>377332</v>
      </c>
    </row>
    <row r="194" spans="1:5" ht="18.75" x14ac:dyDescent="0.3">
      <c r="A194" s="310" t="s">
        <v>23</v>
      </c>
      <c r="B194" s="310"/>
      <c r="C194" s="310"/>
      <c r="D194" s="13"/>
    </row>
    <row r="195" spans="1:5" ht="18.75" x14ac:dyDescent="0.3">
      <c r="A195" s="310" t="s">
        <v>24</v>
      </c>
      <c r="B195" s="310"/>
      <c r="C195" s="310"/>
      <c r="D195" s="13"/>
    </row>
    <row r="196" spans="1:5" ht="18.75" x14ac:dyDescent="0.3">
      <c r="A196" s="310" t="s">
        <v>25</v>
      </c>
      <c r="B196" s="310"/>
      <c r="C196" s="310"/>
      <c r="D196" s="13"/>
    </row>
    <row r="197" spans="1:5" ht="18.75" x14ac:dyDescent="0.3">
      <c r="A197" s="300" t="s">
        <v>50</v>
      </c>
      <c r="B197" s="300"/>
      <c r="C197" s="300"/>
      <c r="D197" s="13">
        <f>D193-D194</f>
        <v>377332</v>
      </c>
    </row>
    <row r="198" spans="1:5" ht="18.75" x14ac:dyDescent="0.3">
      <c r="A198" s="300" t="s">
        <v>39</v>
      </c>
      <c r="B198" s="300"/>
      <c r="C198" s="300"/>
      <c r="D198" s="13">
        <f>D197*7.5%</f>
        <v>28299.899999999998</v>
      </c>
    </row>
    <row r="199" spans="1:5" ht="18.75" x14ac:dyDescent="0.3">
      <c r="A199" s="300" t="s">
        <v>48</v>
      </c>
      <c r="B199" s="300"/>
      <c r="C199" s="300"/>
      <c r="D199" s="13">
        <f>D197-D198</f>
        <v>349032.1</v>
      </c>
    </row>
    <row r="200" spans="1:5" ht="18.75" x14ac:dyDescent="0.3">
      <c r="A200" s="300" t="s">
        <v>37</v>
      </c>
      <c r="B200" s="300"/>
      <c r="C200" s="300"/>
      <c r="D200" s="13">
        <f>D199*5%</f>
        <v>17451.605</v>
      </c>
    </row>
    <row r="201" spans="1:5" ht="18.75" x14ac:dyDescent="0.3">
      <c r="A201" s="300" t="s">
        <v>47</v>
      </c>
      <c r="B201" s="300"/>
      <c r="C201" s="300"/>
      <c r="D201" s="13">
        <f>D199*5%</f>
        <v>17451.605</v>
      </c>
    </row>
    <row r="202" spans="1:5" ht="18.75" x14ac:dyDescent="0.3">
      <c r="A202" s="300" t="s">
        <v>38</v>
      </c>
      <c r="B202" s="300"/>
      <c r="C202" s="300"/>
      <c r="D202" s="13">
        <f>D199*8%</f>
        <v>27922.567999999999</v>
      </c>
    </row>
    <row r="203" spans="1:5" ht="18.75" x14ac:dyDescent="0.3">
      <c r="A203" s="300" t="s">
        <v>40</v>
      </c>
      <c r="B203" s="300"/>
      <c r="C203" s="300"/>
      <c r="D203" s="13">
        <f>SUM(D200:D202)</f>
        <v>62825.777999999998</v>
      </c>
      <c r="E203" s="29"/>
    </row>
    <row r="204" spans="1:5" ht="18.75" x14ac:dyDescent="0.3">
      <c r="A204" s="301" t="s">
        <v>41</v>
      </c>
      <c r="B204" s="301"/>
      <c r="C204" s="301"/>
      <c r="D204" s="14">
        <f>D199-D203</f>
        <v>286206.32199999999</v>
      </c>
    </row>
    <row r="206" spans="1:5" ht="18.75" x14ac:dyDescent="0.3">
      <c r="A206" s="311" t="s">
        <v>51</v>
      </c>
      <c r="B206" s="312"/>
      <c r="C206" s="313"/>
      <c r="D206" s="15"/>
    </row>
    <row r="207" spans="1:5" ht="18.75" x14ac:dyDescent="0.3">
      <c r="A207" s="310" t="s">
        <v>3</v>
      </c>
      <c r="B207" s="310"/>
      <c r="C207" s="310"/>
      <c r="D207" s="13">
        <v>826565</v>
      </c>
    </row>
    <row r="208" spans="1:5" ht="18.75" x14ac:dyDescent="0.3">
      <c r="A208" s="310" t="s">
        <v>4</v>
      </c>
      <c r="B208" s="310" t="s">
        <v>3</v>
      </c>
      <c r="C208" s="310" t="s">
        <v>3</v>
      </c>
      <c r="D208" s="13"/>
    </row>
    <row r="209" spans="1:4" ht="18.75" x14ac:dyDescent="0.3">
      <c r="A209" s="310" t="s">
        <v>5</v>
      </c>
      <c r="B209" s="310" t="s">
        <v>5</v>
      </c>
      <c r="C209" s="310" t="s">
        <v>5</v>
      </c>
      <c r="D209" s="13"/>
    </row>
    <row r="210" spans="1:4" ht="18.75" x14ac:dyDescent="0.3">
      <c r="A210" s="310" t="s">
        <v>31</v>
      </c>
      <c r="B210" s="310" t="s">
        <v>5</v>
      </c>
      <c r="C210" s="310" t="s">
        <v>5</v>
      </c>
      <c r="D210" s="13">
        <v>430816</v>
      </c>
    </row>
    <row r="211" spans="1:4" ht="18.75" x14ac:dyDescent="0.3">
      <c r="A211" s="310" t="s">
        <v>30</v>
      </c>
      <c r="B211" s="310" t="s">
        <v>5</v>
      </c>
      <c r="C211" s="310" t="s">
        <v>5</v>
      </c>
      <c r="D211" s="13"/>
    </row>
    <row r="212" spans="1:4" ht="18.75" x14ac:dyDescent="0.3">
      <c r="A212" s="310" t="s">
        <v>42</v>
      </c>
      <c r="B212" s="310"/>
      <c r="C212" s="310"/>
      <c r="D212" s="13">
        <v>5354320</v>
      </c>
    </row>
    <row r="213" spans="1:4" ht="18.75" x14ac:dyDescent="0.3">
      <c r="A213" s="310" t="s">
        <v>44</v>
      </c>
      <c r="B213" s="310"/>
      <c r="C213" s="310"/>
      <c r="D213" s="13"/>
    </row>
    <row r="214" spans="1:4" ht="18.75" x14ac:dyDescent="0.3">
      <c r="A214" s="310" t="s">
        <v>11</v>
      </c>
      <c r="B214" s="310" t="s">
        <v>3</v>
      </c>
      <c r="C214" s="310" t="s">
        <v>3</v>
      </c>
      <c r="D214" s="13">
        <v>320142</v>
      </c>
    </row>
    <row r="215" spans="1:4" ht="18.75" x14ac:dyDescent="0.3">
      <c r="A215" s="300" t="s">
        <v>57</v>
      </c>
      <c r="B215" s="300"/>
      <c r="C215" s="300"/>
      <c r="D215" s="13">
        <f>SUM(D207:D214)</f>
        <v>6931843</v>
      </c>
    </row>
    <row r="216" spans="1:4" ht="18.75" x14ac:dyDescent="0.3">
      <c r="A216" s="310" t="s">
        <v>23</v>
      </c>
      <c r="B216" s="310"/>
      <c r="C216" s="310"/>
      <c r="D216" s="13">
        <v>124383</v>
      </c>
    </row>
    <row r="217" spans="1:4" ht="18.75" x14ac:dyDescent="0.3">
      <c r="A217" s="310" t="s">
        <v>24</v>
      </c>
      <c r="B217" s="310"/>
      <c r="C217" s="310"/>
      <c r="D217" s="13"/>
    </row>
    <row r="218" spans="1:4" ht="18.75" x14ac:dyDescent="0.3">
      <c r="A218" s="310" t="s">
        <v>25</v>
      </c>
      <c r="B218" s="310"/>
      <c r="C218" s="310"/>
      <c r="D218" s="13"/>
    </row>
    <row r="219" spans="1:4" ht="18.75" x14ac:dyDescent="0.3">
      <c r="A219" s="300" t="s">
        <v>57</v>
      </c>
      <c r="B219" s="300"/>
      <c r="C219" s="300"/>
      <c r="D219" s="13">
        <f>D215-D216</f>
        <v>6807460</v>
      </c>
    </row>
    <row r="220" spans="1:4" ht="18.75" x14ac:dyDescent="0.3">
      <c r="A220" s="300" t="s">
        <v>39</v>
      </c>
      <c r="B220" s="300"/>
      <c r="C220" s="300"/>
      <c r="D220" s="13">
        <f>D219*7.5%</f>
        <v>510559.5</v>
      </c>
    </row>
    <row r="221" spans="1:4" ht="18.75" x14ac:dyDescent="0.3">
      <c r="A221" s="300" t="s">
        <v>48</v>
      </c>
      <c r="B221" s="300"/>
      <c r="C221" s="300"/>
      <c r="D221" s="13">
        <f>D219-D220</f>
        <v>6296900.5</v>
      </c>
    </row>
    <row r="222" spans="1:4" ht="18.75" x14ac:dyDescent="0.3">
      <c r="A222" s="300" t="s">
        <v>37</v>
      </c>
      <c r="B222" s="300"/>
      <c r="C222" s="300"/>
      <c r="D222" s="31">
        <f>D221*5%</f>
        <v>314845.02500000002</v>
      </c>
    </row>
    <row r="223" spans="1:4" ht="18.75" x14ac:dyDescent="0.3">
      <c r="A223" s="300" t="s">
        <v>47</v>
      </c>
      <c r="B223" s="300"/>
      <c r="C223" s="300"/>
      <c r="D223" s="31">
        <f>D221*5%</f>
        <v>314845.02500000002</v>
      </c>
    </row>
    <row r="224" spans="1:4" ht="18.75" x14ac:dyDescent="0.3">
      <c r="A224" s="300" t="s">
        <v>38</v>
      </c>
      <c r="B224" s="300"/>
      <c r="C224" s="300"/>
      <c r="D224" s="13">
        <f>D221*8%</f>
        <v>503752.04000000004</v>
      </c>
    </row>
    <row r="225" spans="1:4" ht="18.75" x14ac:dyDescent="0.3">
      <c r="A225" s="300" t="s">
        <v>40</v>
      </c>
      <c r="B225" s="300"/>
      <c r="C225" s="300"/>
      <c r="D225" s="13">
        <f>SUM(D222:D224)</f>
        <v>1133442.0900000001</v>
      </c>
    </row>
    <row r="226" spans="1:4" ht="18.75" x14ac:dyDescent="0.3">
      <c r="A226" s="301" t="s">
        <v>41</v>
      </c>
      <c r="B226" s="301"/>
      <c r="C226" s="301"/>
      <c r="D226" s="14">
        <f>D221-D225</f>
        <v>5163458.41</v>
      </c>
    </row>
    <row r="228" spans="1:4" ht="18.75" x14ac:dyDescent="0.3">
      <c r="A228" s="311" t="s">
        <v>55</v>
      </c>
      <c r="B228" s="312"/>
      <c r="C228" s="313"/>
      <c r="D228" s="15"/>
    </row>
    <row r="229" spans="1:4" ht="18.75" x14ac:dyDescent="0.3">
      <c r="A229" s="310" t="s">
        <v>3</v>
      </c>
      <c r="B229" s="310"/>
      <c r="C229" s="310"/>
      <c r="D229" s="13"/>
    </row>
    <row r="230" spans="1:4" ht="18.75" x14ac:dyDescent="0.3">
      <c r="A230" s="310" t="s">
        <v>4</v>
      </c>
      <c r="B230" s="310" t="s">
        <v>3</v>
      </c>
      <c r="C230" s="310" t="s">
        <v>3</v>
      </c>
      <c r="D230" s="13"/>
    </row>
    <row r="231" spans="1:4" ht="18.75" x14ac:dyDescent="0.3">
      <c r="A231" s="310" t="s">
        <v>5</v>
      </c>
      <c r="B231" s="310" t="s">
        <v>5</v>
      </c>
      <c r="C231" s="310" t="s">
        <v>5</v>
      </c>
      <c r="D231" s="13"/>
    </row>
    <row r="232" spans="1:4" ht="18.75" x14ac:dyDescent="0.3">
      <c r="A232" s="310" t="s">
        <v>31</v>
      </c>
      <c r="B232" s="310" t="s">
        <v>5</v>
      </c>
      <c r="C232" s="310" t="s">
        <v>5</v>
      </c>
      <c r="D232" s="13"/>
    </row>
    <row r="233" spans="1:4" ht="18.75" x14ac:dyDescent="0.3">
      <c r="A233" s="310" t="s">
        <v>30</v>
      </c>
      <c r="B233" s="310" t="s">
        <v>5</v>
      </c>
      <c r="C233" s="310" t="s">
        <v>5</v>
      </c>
      <c r="D233" s="13"/>
    </row>
    <row r="234" spans="1:4" ht="18.75" x14ac:dyDescent="0.3">
      <c r="A234" s="310" t="s">
        <v>42</v>
      </c>
      <c r="B234" s="310"/>
      <c r="C234" s="310"/>
      <c r="D234" s="13">
        <v>3064107</v>
      </c>
    </row>
    <row r="235" spans="1:4" ht="18.75" x14ac:dyDescent="0.3">
      <c r="A235" s="310" t="s">
        <v>44</v>
      </c>
      <c r="B235" s="310"/>
      <c r="C235" s="310"/>
      <c r="D235" s="13"/>
    </row>
    <row r="236" spans="1:4" ht="18.75" x14ac:dyDescent="0.3">
      <c r="A236" s="310" t="s">
        <v>11</v>
      </c>
      <c r="B236" s="310" t="s">
        <v>3</v>
      </c>
      <c r="C236" s="310" t="s">
        <v>3</v>
      </c>
      <c r="D236" s="13">
        <v>427500</v>
      </c>
    </row>
    <row r="237" spans="1:4" ht="18.75" x14ac:dyDescent="0.3">
      <c r="A237" s="300" t="s">
        <v>56</v>
      </c>
      <c r="B237" s="300"/>
      <c r="C237" s="300"/>
      <c r="D237" s="13">
        <f>SUM(D229:D236)</f>
        <v>3491607</v>
      </c>
    </row>
    <row r="238" spans="1:4" ht="18.75" x14ac:dyDescent="0.3">
      <c r="A238" s="310" t="s">
        <v>23</v>
      </c>
      <c r="B238" s="310"/>
      <c r="C238" s="310"/>
      <c r="D238" s="13"/>
    </row>
    <row r="239" spans="1:4" ht="18.75" x14ac:dyDescent="0.3">
      <c r="A239" s="310" t="s">
        <v>24</v>
      </c>
      <c r="B239" s="310"/>
      <c r="C239" s="310"/>
      <c r="D239" s="13"/>
    </row>
    <row r="240" spans="1:4" ht="18.75" x14ac:dyDescent="0.3">
      <c r="A240" s="310" t="s">
        <v>25</v>
      </c>
      <c r="B240" s="310"/>
      <c r="C240" s="310"/>
      <c r="D240" s="13"/>
    </row>
    <row r="241" spans="1:9" ht="18.75" x14ac:dyDescent="0.3">
      <c r="A241" s="300" t="s">
        <v>56</v>
      </c>
      <c r="B241" s="300"/>
      <c r="C241" s="300"/>
      <c r="D241" s="13">
        <f>D237-D238</f>
        <v>3491607</v>
      </c>
    </row>
    <row r="242" spans="1:9" ht="18.75" x14ac:dyDescent="0.3">
      <c r="A242" s="300" t="s">
        <v>37</v>
      </c>
      <c r="B242" s="300"/>
      <c r="C242" s="300"/>
      <c r="D242" s="31">
        <f>D241*5%</f>
        <v>174580.35</v>
      </c>
    </row>
    <row r="243" spans="1:9" ht="18.75" x14ac:dyDescent="0.3">
      <c r="A243" s="300" t="s">
        <v>47</v>
      </c>
      <c r="B243" s="300"/>
      <c r="C243" s="300"/>
      <c r="D243" s="31">
        <f>D241*5%</f>
        <v>174580.35</v>
      </c>
    </row>
    <row r="244" spans="1:9" ht="18.75" x14ac:dyDescent="0.3">
      <c r="A244" s="300" t="s">
        <v>38</v>
      </c>
      <c r="B244" s="300"/>
      <c r="C244" s="300"/>
      <c r="D244" s="31">
        <f>D241*8%</f>
        <v>279328.56</v>
      </c>
    </row>
    <row r="245" spans="1:9" ht="18.75" x14ac:dyDescent="0.3">
      <c r="A245" s="300" t="s">
        <v>39</v>
      </c>
      <c r="B245" s="300"/>
      <c r="C245" s="300"/>
      <c r="D245" s="13">
        <f>D241*7.5%</f>
        <v>261870.52499999999</v>
      </c>
    </row>
    <row r="246" spans="1:9" ht="18.75" x14ac:dyDescent="0.3">
      <c r="A246" s="300" t="s">
        <v>40</v>
      </c>
      <c r="B246" s="300"/>
      <c r="C246" s="300"/>
      <c r="D246" s="13">
        <f>SUM(D242:D245)</f>
        <v>890359.78500000003</v>
      </c>
    </row>
    <row r="247" spans="1:9" ht="18.75" x14ac:dyDescent="0.3">
      <c r="A247" s="301" t="s">
        <v>41</v>
      </c>
      <c r="B247" s="301"/>
      <c r="C247" s="301"/>
      <c r="D247" s="14">
        <f>D241-D246</f>
        <v>2601247.2149999999</v>
      </c>
    </row>
    <row r="248" spans="1:9" ht="18.75" x14ac:dyDescent="0.3">
      <c r="A248" s="16"/>
      <c r="B248" s="17"/>
      <c r="C248" s="18"/>
      <c r="D248" s="32"/>
      <c r="G248" s="33"/>
      <c r="H248" s="33"/>
      <c r="I248" s="33"/>
    </row>
    <row r="250" spans="1:9" ht="18.75" x14ac:dyDescent="0.3">
      <c r="A250" s="307" t="s">
        <v>70</v>
      </c>
      <c r="B250" s="308"/>
      <c r="C250" s="309"/>
      <c r="D250" s="32"/>
    </row>
    <row r="251" spans="1:9" ht="18.75" x14ac:dyDescent="0.3">
      <c r="A251" s="310" t="s">
        <v>3</v>
      </c>
      <c r="B251" s="310"/>
      <c r="C251" s="310"/>
      <c r="D251" s="32"/>
    </row>
    <row r="252" spans="1:9" ht="18.75" x14ac:dyDescent="0.3">
      <c r="A252" s="310" t="s">
        <v>4</v>
      </c>
      <c r="B252" s="310" t="s">
        <v>3</v>
      </c>
      <c r="C252" s="310" t="s">
        <v>3</v>
      </c>
      <c r="D252" s="32"/>
    </row>
    <row r="253" spans="1:9" ht="18.75" x14ac:dyDescent="0.3">
      <c r="A253" s="310" t="s">
        <v>5</v>
      </c>
      <c r="B253" s="310" t="s">
        <v>5</v>
      </c>
      <c r="C253" s="310" t="s">
        <v>5</v>
      </c>
      <c r="D253" s="32"/>
    </row>
    <row r="254" spans="1:9" ht="18.75" x14ac:dyDescent="0.3">
      <c r="A254" s="310" t="s">
        <v>31</v>
      </c>
      <c r="B254" s="310" t="s">
        <v>5</v>
      </c>
      <c r="C254" s="310" t="s">
        <v>5</v>
      </c>
      <c r="D254" s="32"/>
    </row>
    <row r="255" spans="1:9" ht="18.75" x14ac:dyDescent="0.3">
      <c r="A255" s="310" t="s">
        <v>30</v>
      </c>
      <c r="B255" s="310" t="s">
        <v>5</v>
      </c>
      <c r="C255" s="310" t="s">
        <v>5</v>
      </c>
      <c r="D255" s="32"/>
    </row>
    <row r="256" spans="1:9" ht="18.75" x14ac:dyDescent="0.3">
      <c r="A256" s="310" t="s">
        <v>42</v>
      </c>
      <c r="B256" s="310"/>
      <c r="C256" s="310"/>
      <c r="D256" s="32">
        <v>24353979</v>
      </c>
    </row>
    <row r="257" spans="1:4" ht="18.75" x14ac:dyDescent="0.3">
      <c r="A257" s="310" t="s">
        <v>44</v>
      </c>
      <c r="B257" s="310"/>
      <c r="C257" s="310"/>
      <c r="D257" s="32"/>
    </row>
    <row r="258" spans="1:4" ht="18.75" x14ac:dyDescent="0.3">
      <c r="A258" s="310" t="s">
        <v>11</v>
      </c>
      <c r="B258" s="310" t="s">
        <v>3</v>
      </c>
      <c r="C258" s="310" t="s">
        <v>3</v>
      </c>
      <c r="D258" s="32"/>
    </row>
    <row r="259" spans="1:4" ht="18.75" x14ac:dyDescent="0.3">
      <c r="A259" s="300" t="s">
        <v>71</v>
      </c>
      <c r="B259" s="300"/>
      <c r="C259" s="300"/>
      <c r="D259" s="32">
        <f>SUM(D251:D258)</f>
        <v>24353979</v>
      </c>
    </row>
    <row r="260" spans="1:4" ht="18.75" x14ac:dyDescent="0.3">
      <c r="A260" s="310" t="s">
        <v>23</v>
      </c>
      <c r="B260" s="310"/>
      <c r="C260" s="310"/>
      <c r="D260" s="32"/>
    </row>
    <row r="261" spans="1:4" ht="18.75" x14ac:dyDescent="0.3">
      <c r="A261" s="310" t="s">
        <v>24</v>
      </c>
      <c r="B261" s="310"/>
      <c r="C261" s="310"/>
      <c r="D261" s="32"/>
    </row>
    <row r="262" spans="1:4" ht="18.75" x14ac:dyDescent="0.3">
      <c r="A262" s="310" t="s">
        <v>25</v>
      </c>
      <c r="B262" s="310"/>
      <c r="C262" s="310"/>
      <c r="D262" s="32"/>
    </row>
    <row r="263" spans="1:4" ht="18.75" x14ac:dyDescent="0.3">
      <c r="A263" s="300" t="s">
        <v>56</v>
      </c>
      <c r="B263" s="300"/>
      <c r="C263" s="300"/>
      <c r="D263" s="32">
        <f>D259-D260</f>
        <v>24353979</v>
      </c>
    </row>
    <row r="264" spans="1:4" ht="18.75" x14ac:dyDescent="0.3">
      <c r="A264" s="300" t="s">
        <v>37</v>
      </c>
      <c r="B264" s="300"/>
      <c r="C264" s="300"/>
      <c r="D264" s="32">
        <f>D263*5%</f>
        <v>1217698.95</v>
      </c>
    </row>
    <row r="265" spans="1:4" ht="18.75" x14ac:dyDescent="0.3">
      <c r="A265" s="300" t="s">
        <v>47</v>
      </c>
      <c r="B265" s="300"/>
      <c r="C265" s="300"/>
      <c r="D265" s="32">
        <f>D263*5%</f>
        <v>1217698.95</v>
      </c>
    </row>
    <row r="266" spans="1:4" ht="18.75" x14ac:dyDescent="0.3">
      <c r="A266" s="300" t="s">
        <v>38</v>
      </c>
      <c r="B266" s="300"/>
      <c r="C266" s="300"/>
      <c r="D266" s="32">
        <f>D263*8%</f>
        <v>1948318.32</v>
      </c>
    </row>
    <row r="267" spans="1:4" ht="18.75" x14ac:dyDescent="0.3">
      <c r="A267" s="300" t="s">
        <v>39</v>
      </c>
      <c r="B267" s="300"/>
      <c r="C267" s="300"/>
      <c r="D267" s="32">
        <f>D263*7.5%</f>
        <v>1826548.425</v>
      </c>
    </row>
    <row r="268" spans="1:4" ht="18.75" x14ac:dyDescent="0.3">
      <c r="A268" s="300" t="s">
        <v>40</v>
      </c>
      <c r="B268" s="300"/>
      <c r="C268" s="300"/>
      <c r="D268" s="32">
        <f>SUM(D264:D267)</f>
        <v>6210264.6449999996</v>
      </c>
    </row>
    <row r="269" spans="1:4" ht="18.75" x14ac:dyDescent="0.3">
      <c r="A269" s="300" t="s">
        <v>41</v>
      </c>
      <c r="B269" s="300"/>
      <c r="C269" s="300"/>
      <c r="D269" s="32">
        <f>D263-D268</f>
        <v>18143714.355</v>
      </c>
    </row>
    <row r="270" spans="1:4" ht="18.75" x14ac:dyDescent="0.3">
      <c r="A270" s="300" t="s">
        <v>72</v>
      </c>
      <c r="B270" s="300"/>
      <c r="C270" s="300"/>
      <c r="D270" s="32">
        <v>2500000</v>
      </c>
    </row>
    <row r="271" spans="1:4" ht="21" x14ac:dyDescent="0.35">
      <c r="A271" s="302"/>
      <c r="B271" s="303"/>
      <c r="C271" s="304"/>
      <c r="D271" s="47">
        <f>D269-D270</f>
        <v>15643714.355</v>
      </c>
    </row>
    <row r="274" spans="1:9" ht="43.15" customHeight="1" x14ac:dyDescent="0.3">
      <c r="A274" s="305" t="s">
        <v>79</v>
      </c>
      <c r="B274" s="305"/>
      <c r="C274" s="305"/>
      <c r="D274" s="22">
        <v>9775000</v>
      </c>
    </row>
    <row r="275" spans="1:9" ht="43.15" customHeight="1" x14ac:dyDescent="0.3">
      <c r="A275" s="306" t="s">
        <v>90</v>
      </c>
      <c r="B275" s="306"/>
      <c r="C275" s="306"/>
      <c r="D275" s="22">
        <v>300000</v>
      </c>
    </row>
    <row r="276" spans="1:9" ht="36.6" customHeight="1" x14ac:dyDescent="0.3">
      <c r="A276" s="306" t="s">
        <v>77</v>
      </c>
      <c r="B276" s="306"/>
      <c r="C276" s="306"/>
      <c r="D276" s="22">
        <v>1047396</v>
      </c>
    </row>
    <row r="277" spans="1:9" ht="36.6" customHeight="1" x14ac:dyDescent="0.3">
      <c r="A277" s="306" t="s">
        <v>77</v>
      </c>
      <c r="B277" s="306"/>
      <c r="C277" s="306"/>
      <c r="D277" s="22">
        <v>1071018</v>
      </c>
    </row>
    <row r="278" spans="1:9" ht="36.6" customHeight="1" x14ac:dyDescent="0.3">
      <c r="A278" s="306" t="s">
        <v>77</v>
      </c>
      <c r="B278" s="306"/>
      <c r="C278" s="306"/>
      <c r="D278" s="22">
        <v>1490814</v>
      </c>
    </row>
    <row r="279" spans="1:9" ht="36.6" customHeight="1" x14ac:dyDescent="0.3">
      <c r="A279" s="306" t="s">
        <v>77</v>
      </c>
      <c r="B279" s="306"/>
      <c r="C279" s="306"/>
      <c r="D279" s="22">
        <v>1958826</v>
      </c>
    </row>
    <row r="280" spans="1:9" ht="36.6" customHeight="1" x14ac:dyDescent="0.3">
      <c r="A280" s="306" t="s">
        <v>77</v>
      </c>
      <c r="B280" s="306"/>
      <c r="C280" s="306"/>
      <c r="D280" s="22">
        <v>431946</v>
      </c>
    </row>
    <row r="281" spans="1:9" ht="18.75" x14ac:dyDescent="0.3">
      <c r="A281" s="328" t="s">
        <v>74</v>
      </c>
      <c r="B281" s="328"/>
      <c r="C281" s="328"/>
      <c r="D281" s="22">
        <v>158880</v>
      </c>
    </row>
    <row r="282" spans="1:9" ht="18.75" x14ac:dyDescent="0.3">
      <c r="A282" s="328"/>
      <c r="B282" s="328"/>
      <c r="C282" s="328"/>
      <c r="D282" s="22"/>
      <c r="H282" s="10">
        <v>8000000</v>
      </c>
      <c r="I282" s="10">
        <v>9700000</v>
      </c>
    </row>
    <row r="283" spans="1:9" ht="18.75" x14ac:dyDescent="0.3">
      <c r="A283" s="328"/>
      <c r="B283" s="328"/>
      <c r="C283" s="328"/>
      <c r="D283" s="22"/>
      <c r="H283" s="10">
        <f>H282*7.5%</f>
        <v>600000</v>
      </c>
      <c r="I283" s="10">
        <f>I282*3%</f>
        <v>291000</v>
      </c>
    </row>
    <row r="284" spans="1:9" ht="18.75" x14ac:dyDescent="0.3">
      <c r="A284" s="328" t="s">
        <v>75</v>
      </c>
      <c r="B284" s="328"/>
      <c r="C284" s="328"/>
      <c r="D284" s="22">
        <f>D271-D274-D276-D277-D278-D279-D280-D281-D275</f>
        <v>-590165.64499999955</v>
      </c>
      <c r="E284" s="20" t="s">
        <v>201</v>
      </c>
      <c r="F284" s="21"/>
      <c r="G284" s="21"/>
      <c r="H284" s="21"/>
      <c r="I284" s="21"/>
    </row>
    <row r="285" spans="1:9" ht="18.75" x14ac:dyDescent="0.3">
      <c r="A285" s="329"/>
      <c r="B285" s="329"/>
      <c r="C285" s="329"/>
      <c r="D285" s="21"/>
    </row>
    <row r="288" spans="1:9" ht="18.75" x14ac:dyDescent="0.3">
      <c r="A288" s="307" t="s">
        <v>80</v>
      </c>
      <c r="B288" s="308"/>
      <c r="C288" s="309"/>
      <c r="D288" s="32"/>
      <c r="I288" s="10">
        <v>2512666</v>
      </c>
    </row>
    <row r="289" spans="1:9" ht="18.75" x14ac:dyDescent="0.3">
      <c r="A289" s="310" t="s">
        <v>3</v>
      </c>
      <c r="B289" s="310"/>
      <c r="C289" s="310"/>
      <c r="D289" s="32"/>
      <c r="I289" s="10">
        <v>1581045</v>
      </c>
    </row>
    <row r="290" spans="1:9" ht="18.75" x14ac:dyDescent="0.3">
      <c r="A290" s="310" t="s">
        <v>4</v>
      </c>
      <c r="B290" s="310" t="s">
        <v>3</v>
      </c>
      <c r="C290" s="310" t="s">
        <v>3</v>
      </c>
      <c r="D290" s="32"/>
      <c r="I290" s="10">
        <f>I288-I289</f>
        <v>931621</v>
      </c>
    </row>
    <row r="291" spans="1:9" ht="18.75" x14ac:dyDescent="0.3">
      <c r="A291" s="310" t="s">
        <v>5</v>
      </c>
      <c r="B291" s="310" t="s">
        <v>5</v>
      </c>
      <c r="C291" s="310" t="s">
        <v>5</v>
      </c>
      <c r="D291" s="32"/>
      <c r="H291" s="10">
        <v>3160586</v>
      </c>
    </row>
    <row r="292" spans="1:9" ht="18.75" x14ac:dyDescent="0.3">
      <c r="A292" s="310" t="s">
        <v>31</v>
      </c>
      <c r="B292" s="310" t="s">
        <v>5</v>
      </c>
      <c r="C292" s="310" t="s">
        <v>5</v>
      </c>
      <c r="D292" s="32"/>
      <c r="H292" s="10">
        <v>1581045</v>
      </c>
    </row>
    <row r="293" spans="1:9" ht="18.75" x14ac:dyDescent="0.3">
      <c r="A293" s="310" t="s">
        <v>30</v>
      </c>
      <c r="B293" s="310" t="s">
        <v>5</v>
      </c>
      <c r="C293" s="310" t="s">
        <v>5</v>
      </c>
      <c r="D293" s="32"/>
      <c r="H293" s="10">
        <f>H291-H292</f>
        <v>1579541</v>
      </c>
    </row>
    <row r="294" spans="1:9" ht="18.75" x14ac:dyDescent="0.3">
      <c r="A294" s="310" t="s">
        <v>42</v>
      </c>
      <c r="B294" s="310"/>
      <c r="C294" s="310"/>
      <c r="D294" s="51">
        <v>13237538</v>
      </c>
    </row>
    <row r="295" spans="1:9" ht="18.75" x14ac:dyDescent="0.3">
      <c r="A295" s="310" t="s">
        <v>44</v>
      </c>
      <c r="B295" s="310"/>
      <c r="C295" s="310"/>
      <c r="D295" s="32"/>
    </row>
    <row r="296" spans="1:9" ht="18.75" x14ac:dyDescent="0.3">
      <c r="A296" s="310" t="s">
        <v>11</v>
      </c>
      <c r="B296" s="310" t="s">
        <v>3</v>
      </c>
      <c r="C296" s="310" t="s">
        <v>3</v>
      </c>
      <c r="D296" s="32"/>
    </row>
    <row r="297" spans="1:9" ht="18.75" x14ac:dyDescent="0.3">
      <c r="A297" s="300" t="s">
        <v>81</v>
      </c>
      <c r="B297" s="300"/>
      <c r="C297" s="300"/>
      <c r="D297" s="51">
        <f>SUM(D289:D296)</f>
        <v>13237538</v>
      </c>
    </row>
    <row r="298" spans="1:9" ht="18.75" x14ac:dyDescent="0.3">
      <c r="A298" s="310" t="s">
        <v>23</v>
      </c>
      <c r="B298" s="310"/>
      <c r="C298" s="310"/>
      <c r="D298" s="32">
        <v>2370257</v>
      </c>
    </row>
    <row r="299" spans="1:9" ht="18.75" x14ac:dyDescent="0.3">
      <c r="A299" s="310" t="s">
        <v>24</v>
      </c>
      <c r="B299" s="310"/>
      <c r="C299" s="310"/>
      <c r="D299" s="32"/>
    </row>
    <row r="300" spans="1:9" ht="18.75" x14ac:dyDescent="0.3">
      <c r="A300" s="310" t="s">
        <v>25</v>
      </c>
      <c r="B300" s="310"/>
      <c r="C300" s="310"/>
      <c r="D300" s="32"/>
    </row>
    <row r="301" spans="1:9" ht="18.75" x14ac:dyDescent="0.3">
      <c r="A301" s="277" t="s">
        <v>82</v>
      </c>
      <c r="B301" s="277"/>
      <c r="C301" s="277"/>
      <c r="D301" s="51">
        <f>D297-D298</f>
        <v>10867281</v>
      </c>
    </row>
    <row r="302" spans="1:9" ht="18.75" x14ac:dyDescent="0.3">
      <c r="A302" s="277" t="s">
        <v>37</v>
      </c>
      <c r="B302" s="277"/>
      <c r="C302" s="277"/>
      <c r="D302" s="32">
        <f>D301*5%</f>
        <v>543364.05000000005</v>
      </c>
    </row>
    <row r="303" spans="1:9" ht="21" x14ac:dyDescent="0.35">
      <c r="A303" s="277" t="s">
        <v>47</v>
      </c>
      <c r="B303" s="277"/>
      <c r="C303" s="277"/>
      <c r="D303" s="52">
        <f>D297*5%</f>
        <v>661876.9</v>
      </c>
    </row>
    <row r="304" spans="1:9" ht="18.75" x14ac:dyDescent="0.3">
      <c r="A304" s="277" t="s">
        <v>38</v>
      </c>
      <c r="B304" s="277"/>
      <c r="C304" s="277"/>
      <c r="D304" s="32">
        <f>D301*8%</f>
        <v>869382.48</v>
      </c>
    </row>
    <row r="305" spans="1:9" ht="18.75" x14ac:dyDescent="0.3">
      <c r="A305" s="277" t="s">
        <v>39</v>
      </c>
      <c r="B305" s="277"/>
      <c r="C305" s="277"/>
      <c r="D305" s="32">
        <f>D301*7.5%</f>
        <v>815046.07499999995</v>
      </c>
    </row>
    <row r="306" spans="1:9" ht="18.75" x14ac:dyDescent="0.3">
      <c r="A306" s="277" t="s">
        <v>40</v>
      </c>
      <c r="B306" s="277"/>
      <c r="C306" s="277"/>
      <c r="D306" s="32">
        <f>SUM(D302:D305)</f>
        <v>2889669.5049999999</v>
      </c>
      <c r="E306" s="7"/>
    </row>
    <row r="307" spans="1:9" ht="23.25" x14ac:dyDescent="0.35">
      <c r="A307" s="277" t="s">
        <v>41</v>
      </c>
      <c r="B307" s="277"/>
      <c r="C307" s="277"/>
      <c r="D307" s="50">
        <f>D301-D306</f>
        <v>7977611.4950000001</v>
      </c>
    </row>
    <row r="309" spans="1:9" ht="18.75" x14ac:dyDescent="0.3">
      <c r="A309" s="277" t="s">
        <v>91</v>
      </c>
      <c r="B309" s="277"/>
      <c r="C309" s="277"/>
      <c r="D309" s="58">
        <v>593485</v>
      </c>
    </row>
    <row r="310" spans="1:9" ht="18.75" x14ac:dyDescent="0.3">
      <c r="A310" s="277" t="s">
        <v>92</v>
      </c>
      <c r="B310" s="277"/>
      <c r="C310" s="277"/>
      <c r="D310" s="58">
        <v>668548</v>
      </c>
    </row>
    <row r="311" spans="1:9" ht="18.75" x14ac:dyDescent="0.3">
      <c r="A311" s="277" t="s">
        <v>98</v>
      </c>
      <c r="B311" s="277"/>
      <c r="C311" s="277"/>
      <c r="D311" s="58"/>
    </row>
    <row r="312" spans="1:9" ht="21" x14ac:dyDescent="0.35">
      <c r="A312" s="277" t="s">
        <v>93</v>
      </c>
      <c r="B312" s="277"/>
      <c r="C312" s="277"/>
      <c r="D312" s="59">
        <f>D307-D309-D310-D311</f>
        <v>6715578.4950000001</v>
      </c>
    </row>
    <row r="314" spans="1:9" ht="23.45" customHeight="1" x14ac:dyDescent="0.25">
      <c r="A314" s="276" t="s">
        <v>94</v>
      </c>
      <c r="B314" s="276"/>
      <c r="C314" s="276"/>
      <c r="D314" s="276"/>
    </row>
    <row r="315" spans="1:9" ht="21" x14ac:dyDescent="0.35">
      <c r="A315" s="277" t="s">
        <v>95</v>
      </c>
      <c r="B315" s="277"/>
      <c r="C315" s="277"/>
      <c r="D315" s="59">
        <v>128261</v>
      </c>
    </row>
    <row r="316" spans="1:9" ht="21" x14ac:dyDescent="0.35">
      <c r="A316" s="277" t="s">
        <v>95</v>
      </c>
      <c r="B316" s="277"/>
      <c r="C316" s="277"/>
      <c r="D316" s="59">
        <v>137768</v>
      </c>
      <c r="I316" s="59">
        <v>278839</v>
      </c>
    </row>
    <row r="317" spans="1:9" ht="21" x14ac:dyDescent="0.35">
      <c r="A317" s="277" t="s">
        <v>95</v>
      </c>
      <c r="B317" s="277"/>
      <c r="C317" s="277"/>
      <c r="D317" s="59">
        <v>139084</v>
      </c>
      <c r="E317" s="29"/>
      <c r="I317" s="59">
        <v>326562</v>
      </c>
    </row>
    <row r="318" spans="1:9" ht="21" x14ac:dyDescent="0.35">
      <c r="A318" s="277" t="s">
        <v>96</v>
      </c>
      <c r="B318" s="277"/>
      <c r="C318" s="277"/>
      <c r="D318" s="59">
        <v>210000</v>
      </c>
    </row>
    <row r="319" spans="1:9" ht="21" x14ac:dyDescent="0.35">
      <c r="A319" s="277" t="s">
        <v>63</v>
      </c>
      <c r="B319" s="277"/>
      <c r="C319" s="277"/>
      <c r="D319" s="59">
        <v>300000</v>
      </c>
    </row>
    <row r="320" spans="1:9" ht="21" x14ac:dyDescent="0.35">
      <c r="A320" s="277" t="s">
        <v>97</v>
      </c>
      <c r="B320" s="277"/>
      <c r="C320" s="277"/>
      <c r="D320" s="59">
        <v>300000</v>
      </c>
    </row>
    <row r="321" spans="1:4" ht="21" x14ac:dyDescent="0.35">
      <c r="A321" s="277" t="s">
        <v>99</v>
      </c>
      <c r="B321" s="277"/>
      <c r="C321" s="277"/>
      <c r="D321" s="59">
        <v>500000</v>
      </c>
    </row>
    <row r="322" spans="1:4" ht="21" x14ac:dyDescent="0.35">
      <c r="A322" s="277" t="s">
        <v>100</v>
      </c>
      <c r="B322" s="277"/>
      <c r="C322" s="277"/>
      <c r="D322" s="59">
        <v>500000</v>
      </c>
    </row>
    <row r="323" spans="1:4" ht="21" x14ac:dyDescent="0.35">
      <c r="A323" s="277" t="s">
        <v>107</v>
      </c>
      <c r="B323" s="277"/>
      <c r="C323" s="277"/>
      <c r="D323" s="59">
        <v>4600000</v>
      </c>
    </row>
    <row r="324" spans="1:4" ht="21" x14ac:dyDescent="0.35">
      <c r="A324" s="277" t="s">
        <v>106</v>
      </c>
      <c r="B324" s="277"/>
      <c r="C324" s="277"/>
      <c r="D324" s="59">
        <v>227027</v>
      </c>
    </row>
    <row r="325" spans="1:4" ht="21" x14ac:dyDescent="0.35">
      <c r="A325" s="277"/>
      <c r="B325" s="277"/>
      <c r="C325" s="277"/>
      <c r="D325" s="59"/>
    </row>
    <row r="326" spans="1:4" ht="21" x14ac:dyDescent="0.35">
      <c r="A326" s="278"/>
      <c r="B326" s="279"/>
      <c r="C326" s="280"/>
      <c r="D326" s="59"/>
    </row>
    <row r="327" spans="1:4" ht="21" x14ac:dyDescent="0.35">
      <c r="A327" s="277" t="s">
        <v>129</v>
      </c>
      <c r="B327" s="277"/>
      <c r="C327" s="277"/>
      <c r="D327" s="59">
        <f>D312-D315-D316-D317-D318-D319-D320-D321-D322-D326-D323-D324-D325</f>
        <v>-326561.50499999989</v>
      </c>
    </row>
    <row r="331" spans="1:4" ht="18.75" x14ac:dyDescent="0.3">
      <c r="A331" s="307" t="s">
        <v>101</v>
      </c>
      <c r="B331" s="308"/>
      <c r="C331" s="309"/>
      <c r="D331" s="32"/>
    </row>
    <row r="332" spans="1:4" ht="18.75" x14ac:dyDescent="0.3">
      <c r="A332" s="310" t="s">
        <v>3</v>
      </c>
      <c r="B332" s="310"/>
      <c r="C332" s="310"/>
      <c r="D332" s="32">
        <v>755720.81</v>
      </c>
    </row>
    <row r="333" spans="1:4" ht="18.75" x14ac:dyDescent="0.3">
      <c r="A333" s="310" t="s">
        <v>4</v>
      </c>
      <c r="B333" s="310" t="s">
        <v>3</v>
      </c>
      <c r="C333" s="310" t="s">
        <v>3</v>
      </c>
      <c r="D333" s="32"/>
    </row>
    <row r="334" spans="1:4" ht="18.75" x14ac:dyDescent="0.3">
      <c r="A334" s="310" t="s">
        <v>5</v>
      </c>
      <c r="B334" s="310" t="s">
        <v>5</v>
      </c>
      <c r="C334" s="310" t="s">
        <v>5</v>
      </c>
      <c r="D334" s="32"/>
    </row>
    <row r="335" spans="1:4" ht="18.75" x14ac:dyDescent="0.3">
      <c r="A335" s="310" t="s">
        <v>31</v>
      </c>
      <c r="B335" s="310" t="s">
        <v>5</v>
      </c>
      <c r="C335" s="310" t="s">
        <v>5</v>
      </c>
      <c r="D335" s="32"/>
    </row>
    <row r="336" spans="1:4" ht="18.75" x14ac:dyDescent="0.3">
      <c r="A336" s="310" t="s">
        <v>30</v>
      </c>
      <c r="B336" s="310" t="s">
        <v>5</v>
      </c>
      <c r="C336" s="310" t="s">
        <v>5</v>
      </c>
      <c r="D336" s="32"/>
    </row>
    <row r="337" spans="1:4" ht="18.75" x14ac:dyDescent="0.3">
      <c r="A337" s="310" t="s">
        <v>42</v>
      </c>
      <c r="B337" s="310"/>
      <c r="C337" s="310"/>
      <c r="D337" s="51">
        <v>5829907.9199999999</v>
      </c>
    </row>
    <row r="338" spans="1:4" ht="18.75" x14ac:dyDescent="0.3">
      <c r="A338" s="310" t="s">
        <v>44</v>
      </c>
      <c r="B338" s="310"/>
      <c r="C338" s="310"/>
      <c r="D338" s="32">
        <v>2646623</v>
      </c>
    </row>
    <row r="339" spans="1:4" ht="18.75" x14ac:dyDescent="0.3">
      <c r="A339" s="310" t="s">
        <v>11</v>
      </c>
      <c r="B339" s="310" t="s">
        <v>3</v>
      </c>
      <c r="C339" s="310" t="s">
        <v>3</v>
      </c>
      <c r="D339" s="32"/>
    </row>
    <row r="340" spans="1:4" ht="18.75" x14ac:dyDescent="0.3">
      <c r="A340" s="300" t="s">
        <v>81</v>
      </c>
      <c r="B340" s="300"/>
      <c r="C340" s="300"/>
      <c r="D340" s="51">
        <f>SUM(D332:D339)</f>
        <v>9232251.7300000004</v>
      </c>
    </row>
    <row r="341" spans="1:4" ht="18.75" x14ac:dyDescent="0.3">
      <c r="A341" s="310" t="s">
        <v>23</v>
      </c>
      <c r="B341" s="310"/>
      <c r="C341" s="310"/>
      <c r="D341" s="32"/>
    </row>
    <row r="342" spans="1:4" ht="18.75" x14ac:dyDescent="0.3">
      <c r="A342" s="310" t="s">
        <v>24</v>
      </c>
      <c r="B342" s="310"/>
      <c r="C342" s="310"/>
      <c r="D342" s="32"/>
    </row>
    <row r="343" spans="1:4" ht="18.75" x14ac:dyDescent="0.3">
      <c r="A343" s="310" t="s">
        <v>25</v>
      </c>
      <c r="B343" s="310"/>
      <c r="C343" s="310"/>
      <c r="D343" s="32"/>
    </row>
    <row r="344" spans="1:4" ht="18.75" x14ac:dyDescent="0.3">
      <c r="A344" s="277" t="s">
        <v>82</v>
      </c>
      <c r="B344" s="277"/>
      <c r="C344" s="277"/>
      <c r="D344" s="51">
        <f>D340-D341</f>
        <v>9232251.7300000004</v>
      </c>
    </row>
    <row r="345" spans="1:4" ht="18.75" x14ac:dyDescent="0.3">
      <c r="A345" s="277" t="s">
        <v>37</v>
      </c>
      <c r="B345" s="277"/>
      <c r="C345" s="277"/>
      <c r="D345" s="32">
        <f>D344*5%</f>
        <v>461612.58650000003</v>
      </c>
    </row>
    <row r="346" spans="1:4" ht="21" x14ac:dyDescent="0.35">
      <c r="A346" s="277" t="s">
        <v>47</v>
      </c>
      <c r="B346" s="277"/>
      <c r="C346" s="277"/>
      <c r="D346" s="52">
        <f>D340*5%</f>
        <v>461612.58650000003</v>
      </c>
    </row>
    <row r="347" spans="1:4" ht="18.75" x14ac:dyDescent="0.3">
      <c r="A347" s="277" t="s">
        <v>38</v>
      </c>
      <c r="B347" s="277"/>
      <c r="C347" s="277"/>
      <c r="D347" s="32">
        <f>D344*8%</f>
        <v>738580.13840000005</v>
      </c>
    </row>
    <row r="348" spans="1:4" ht="18.75" x14ac:dyDescent="0.3">
      <c r="A348" s="277" t="s">
        <v>39</v>
      </c>
      <c r="B348" s="277"/>
      <c r="C348" s="277"/>
      <c r="D348" s="32">
        <f>D344*7.5%</f>
        <v>692418.87974999996</v>
      </c>
    </row>
    <row r="349" spans="1:4" ht="18.75" x14ac:dyDescent="0.3">
      <c r="A349" s="277" t="s">
        <v>40</v>
      </c>
      <c r="B349" s="277"/>
      <c r="C349" s="277"/>
      <c r="D349" s="32">
        <f>SUM(D345:D348)</f>
        <v>2354224.1911499999</v>
      </c>
    </row>
    <row r="350" spans="1:4" ht="23.25" x14ac:dyDescent="0.35">
      <c r="A350" s="277" t="s">
        <v>41</v>
      </c>
      <c r="B350" s="277"/>
      <c r="C350" s="277"/>
      <c r="D350" s="50">
        <f>D344-D349</f>
        <v>6878027.5388500001</v>
      </c>
    </row>
    <row r="352" spans="1:4" ht="23.45" customHeight="1" x14ac:dyDescent="0.25">
      <c r="A352" s="276" t="s">
        <v>94</v>
      </c>
      <c r="B352" s="276"/>
      <c r="C352" s="276"/>
      <c r="D352" s="276"/>
    </row>
    <row r="353" spans="1:5" ht="21" x14ac:dyDescent="0.35">
      <c r="A353" s="277" t="s">
        <v>105</v>
      </c>
      <c r="B353" s="277"/>
      <c r="C353" s="277"/>
      <c r="D353" s="59">
        <v>850000</v>
      </c>
    </row>
    <row r="354" spans="1:5" ht="21" x14ac:dyDescent="0.35">
      <c r="A354" s="277" t="s">
        <v>105</v>
      </c>
      <c r="B354" s="277"/>
      <c r="C354" s="277"/>
      <c r="D354" s="59">
        <v>650000</v>
      </c>
    </row>
    <row r="355" spans="1:5" ht="21" x14ac:dyDescent="0.35">
      <c r="A355" s="277" t="s">
        <v>105</v>
      </c>
      <c r="B355" s="277"/>
      <c r="C355" s="277"/>
      <c r="D355" s="59">
        <v>750000</v>
      </c>
      <c r="E355" s="29"/>
    </row>
    <row r="356" spans="1:5" ht="21" x14ac:dyDescent="0.35">
      <c r="A356" s="277" t="s">
        <v>105</v>
      </c>
      <c r="B356" s="277"/>
      <c r="C356" s="277"/>
      <c r="D356" s="59">
        <v>700000</v>
      </c>
    </row>
    <row r="357" spans="1:5" ht="21" x14ac:dyDescent="0.35">
      <c r="A357" s="277" t="s">
        <v>105</v>
      </c>
      <c r="B357" s="277"/>
      <c r="C357" s="277"/>
      <c r="D357" s="59">
        <v>800000</v>
      </c>
    </row>
    <row r="358" spans="1:5" ht="21" x14ac:dyDescent="0.35">
      <c r="A358" s="277" t="s">
        <v>105</v>
      </c>
      <c r="B358" s="277"/>
      <c r="C358" s="277"/>
      <c r="D358" s="59">
        <v>750000</v>
      </c>
    </row>
    <row r="359" spans="1:5" ht="21" x14ac:dyDescent="0.35">
      <c r="A359" s="277" t="s">
        <v>105</v>
      </c>
      <c r="B359" s="277"/>
      <c r="C359" s="277"/>
      <c r="D359" s="59">
        <v>600000</v>
      </c>
    </row>
    <row r="360" spans="1:5" ht="21" x14ac:dyDescent="0.35">
      <c r="A360" s="277" t="s">
        <v>105</v>
      </c>
      <c r="B360" s="277"/>
      <c r="C360" s="277"/>
      <c r="D360" s="59">
        <v>900000</v>
      </c>
    </row>
    <row r="361" spans="1:5" ht="21" x14ac:dyDescent="0.35">
      <c r="A361" s="277" t="s">
        <v>108</v>
      </c>
      <c r="B361" s="277"/>
      <c r="C361" s="277"/>
      <c r="D361" s="59">
        <v>278839</v>
      </c>
    </row>
    <row r="362" spans="1:5" ht="21" x14ac:dyDescent="0.35">
      <c r="A362" s="277" t="s">
        <v>128</v>
      </c>
      <c r="B362" s="277"/>
      <c r="C362" s="277"/>
      <c r="D362" s="59">
        <v>326562</v>
      </c>
      <c r="E362" s="29"/>
    </row>
    <row r="363" spans="1:5" ht="21" x14ac:dyDescent="0.35">
      <c r="A363" s="277"/>
      <c r="B363" s="277"/>
      <c r="C363" s="277"/>
      <c r="D363" s="59"/>
    </row>
    <row r="364" spans="1:5" ht="21" x14ac:dyDescent="0.35">
      <c r="A364" s="277"/>
      <c r="B364" s="277"/>
      <c r="C364" s="277"/>
      <c r="D364" s="59"/>
    </row>
    <row r="365" spans="1:5" ht="23.25" x14ac:dyDescent="0.35">
      <c r="A365" s="277" t="s">
        <v>60</v>
      </c>
      <c r="B365" s="277"/>
      <c r="C365" s="277"/>
      <c r="D365" s="61">
        <f>D350-D353-D354-D355-D356-D357-D358-D359-D360-D361-D362-D363-D364</f>
        <v>272626.53885000013</v>
      </c>
    </row>
    <row r="369" spans="1:4" ht="26.25" x14ac:dyDescent="0.35">
      <c r="A369" s="292" t="s">
        <v>134</v>
      </c>
      <c r="B369" s="292"/>
      <c r="C369" s="292"/>
      <c r="D369" s="97"/>
    </row>
    <row r="370" spans="1:4" ht="21" x14ac:dyDescent="0.35">
      <c r="A370" s="282" t="s">
        <v>3</v>
      </c>
      <c r="B370" s="282"/>
      <c r="C370" s="282"/>
      <c r="D370" s="97"/>
    </row>
    <row r="371" spans="1:4" ht="21" x14ac:dyDescent="0.35">
      <c r="A371" s="282" t="s">
        <v>4</v>
      </c>
      <c r="B371" s="282" t="s">
        <v>3</v>
      </c>
      <c r="C371" s="282" t="s">
        <v>3</v>
      </c>
      <c r="D371" s="97"/>
    </row>
    <row r="372" spans="1:4" ht="21" x14ac:dyDescent="0.35">
      <c r="A372" s="282" t="s">
        <v>5</v>
      </c>
      <c r="B372" s="282" t="s">
        <v>5</v>
      </c>
      <c r="C372" s="282" t="s">
        <v>5</v>
      </c>
      <c r="D372" s="97"/>
    </row>
    <row r="373" spans="1:4" ht="21" x14ac:dyDescent="0.35">
      <c r="A373" s="282" t="s">
        <v>31</v>
      </c>
      <c r="B373" s="282" t="s">
        <v>5</v>
      </c>
      <c r="C373" s="282" t="s">
        <v>5</v>
      </c>
      <c r="D373" s="97"/>
    </row>
    <row r="374" spans="1:4" ht="21" x14ac:dyDescent="0.35">
      <c r="A374" s="282" t="s">
        <v>30</v>
      </c>
      <c r="B374" s="282" t="s">
        <v>5</v>
      </c>
      <c r="C374" s="282" t="s">
        <v>5</v>
      </c>
      <c r="D374" s="97"/>
    </row>
    <row r="375" spans="1:4" ht="21" x14ac:dyDescent="0.35">
      <c r="A375" s="282" t="s">
        <v>42</v>
      </c>
      <c r="B375" s="282"/>
      <c r="C375" s="282"/>
      <c r="D375" s="98">
        <v>6644406</v>
      </c>
    </row>
    <row r="376" spans="1:4" ht="21" x14ac:dyDescent="0.35">
      <c r="A376" s="282" t="s">
        <v>163</v>
      </c>
      <c r="B376" s="282"/>
      <c r="C376" s="282"/>
      <c r="D376" s="97"/>
    </row>
    <row r="377" spans="1:4" ht="21" x14ac:dyDescent="0.35">
      <c r="A377" s="282" t="s">
        <v>11</v>
      </c>
      <c r="B377" s="282" t="s">
        <v>3</v>
      </c>
      <c r="C377" s="282" t="s">
        <v>3</v>
      </c>
      <c r="D377" s="97"/>
    </row>
    <row r="378" spans="1:4" ht="21" x14ac:dyDescent="0.35">
      <c r="A378" s="283" t="s">
        <v>81</v>
      </c>
      <c r="B378" s="283"/>
      <c r="C378" s="283"/>
      <c r="D378" s="98">
        <f>SUM(D370:D377)</f>
        <v>6644406</v>
      </c>
    </row>
    <row r="379" spans="1:4" ht="21" x14ac:dyDescent="0.35">
      <c r="A379" s="282" t="s">
        <v>23</v>
      </c>
      <c r="B379" s="282"/>
      <c r="C379" s="282"/>
      <c r="D379" s="97">
        <v>536112</v>
      </c>
    </row>
    <row r="380" spans="1:4" ht="21" x14ac:dyDescent="0.35">
      <c r="A380" s="282" t="s">
        <v>24</v>
      </c>
      <c r="B380" s="282"/>
      <c r="C380" s="282"/>
      <c r="D380" s="97"/>
    </row>
    <row r="381" spans="1:4" ht="21" x14ac:dyDescent="0.35">
      <c r="A381" s="282" t="s">
        <v>25</v>
      </c>
      <c r="B381" s="282"/>
      <c r="C381" s="282"/>
      <c r="D381" s="97"/>
    </row>
    <row r="382" spans="1:4" ht="21" x14ac:dyDescent="0.35">
      <c r="A382" s="275" t="s">
        <v>82</v>
      </c>
      <c r="B382" s="275"/>
      <c r="C382" s="275"/>
      <c r="D382" s="98">
        <f>D378-D379</f>
        <v>6108294</v>
      </c>
    </row>
    <row r="383" spans="1:4" ht="21" x14ac:dyDescent="0.35">
      <c r="A383" s="275" t="s">
        <v>37</v>
      </c>
      <c r="B383" s="275"/>
      <c r="C383" s="275"/>
      <c r="D383" s="97">
        <v>0</v>
      </c>
    </row>
    <row r="384" spans="1:4" ht="21" x14ac:dyDescent="0.35">
      <c r="A384" s="275" t="s">
        <v>47</v>
      </c>
      <c r="B384" s="275"/>
      <c r="C384" s="275"/>
      <c r="D384" s="52">
        <f>D378*5%</f>
        <v>332220.30000000005</v>
      </c>
    </row>
    <row r="385" spans="1:6" ht="21" x14ac:dyDescent="0.35">
      <c r="A385" s="275" t="s">
        <v>38</v>
      </c>
      <c r="B385" s="275"/>
      <c r="C385" s="275"/>
      <c r="D385" s="97">
        <f>D382*8%</f>
        <v>488663.52</v>
      </c>
      <c r="E385" s="7"/>
    </row>
    <row r="386" spans="1:6" ht="21" x14ac:dyDescent="0.35">
      <c r="A386" s="275" t="s">
        <v>39</v>
      </c>
      <c r="B386" s="275"/>
      <c r="C386" s="275"/>
      <c r="D386" s="97">
        <f>D382*7.5%</f>
        <v>458122.05</v>
      </c>
    </row>
    <row r="387" spans="1:6" ht="21" x14ac:dyDescent="0.35">
      <c r="A387" s="275" t="s">
        <v>40</v>
      </c>
      <c r="B387" s="275"/>
      <c r="C387" s="275"/>
      <c r="D387" s="97">
        <f>SUM(D383:D386)</f>
        <v>1279005.8700000001</v>
      </c>
    </row>
    <row r="388" spans="1:6" ht="21" x14ac:dyDescent="0.35">
      <c r="A388" s="275" t="s">
        <v>41</v>
      </c>
      <c r="B388" s="275"/>
      <c r="C388" s="275"/>
      <c r="D388" s="98">
        <f>D382-D387</f>
        <v>4829288.13</v>
      </c>
    </row>
    <row r="389" spans="1:6" ht="23.25" x14ac:dyDescent="0.35">
      <c r="A389" s="330" t="s">
        <v>152</v>
      </c>
      <c r="B389" s="330"/>
      <c r="C389" s="330"/>
      <c r="D389" s="103">
        <v>924181</v>
      </c>
    </row>
    <row r="390" spans="1:6" ht="21" x14ac:dyDescent="0.35">
      <c r="A390" s="275" t="s">
        <v>41</v>
      </c>
      <c r="B390" s="275"/>
      <c r="C390" s="275"/>
      <c r="D390" s="98">
        <f>D389+D388</f>
        <v>5753469.1299999999</v>
      </c>
    </row>
    <row r="391" spans="1:6" ht="23.45" customHeight="1" x14ac:dyDescent="0.25">
      <c r="A391" s="276" t="s">
        <v>94</v>
      </c>
      <c r="B391" s="276"/>
      <c r="C391" s="276"/>
      <c r="D391" s="276"/>
    </row>
    <row r="392" spans="1:6" ht="21" x14ac:dyDescent="0.35">
      <c r="A392" s="277"/>
      <c r="B392" s="277"/>
      <c r="C392" s="277"/>
      <c r="D392" s="59"/>
      <c r="E392" s="331"/>
      <c r="F392" s="332"/>
    </row>
    <row r="393" spans="1:6" ht="21" x14ac:dyDescent="0.35">
      <c r="A393" s="277" t="s">
        <v>150</v>
      </c>
      <c r="B393" s="277"/>
      <c r="C393" s="277"/>
      <c r="D393" s="59">
        <v>500000</v>
      </c>
      <c r="F393" s="49"/>
    </row>
    <row r="394" spans="1:6" ht="21" x14ac:dyDescent="0.35">
      <c r="A394" s="277" t="s">
        <v>150</v>
      </c>
      <c r="B394" s="277"/>
      <c r="C394" s="277"/>
      <c r="D394" s="59">
        <v>500000</v>
      </c>
      <c r="E394" s="29"/>
      <c r="F394" s="49"/>
    </row>
    <row r="395" spans="1:6" ht="21" x14ac:dyDescent="0.35">
      <c r="A395" s="277" t="s">
        <v>97</v>
      </c>
      <c r="B395" s="277"/>
      <c r="C395" s="277"/>
      <c r="D395" s="59">
        <v>300000</v>
      </c>
      <c r="F395" s="49"/>
    </row>
    <row r="396" spans="1:6" ht="21" x14ac:dyDescent="0.35">
      <c r="A396" s="277" t="s">
        <v>161</v>
      </c>
      <c r="B396" s="277"/>
      <c r="C396" s="277"/>
      <c r="D396" s="59">
        <v>400000</v>
      </c>
      <c r="F396" s="49"/>
    </row>
    <row r="397" spans="1:6" ht="21" x14ac:dyDescent="0.35">
      <c r="A397" s="277" t="s">
        <v>162</v>
      </c>
      <c r="B397" s="277"/>
      <c r="C397" s="277"/>
      <c r="D397" s="59">
        <v>390730</v>
      </c>
    </row>
    <row r="398" spans="1:6" ht="21" x14ac:dyDescent="0.35">
      <c r="A398" s="277" t="s">
        <v>155</v>
      </c>
      <c r="B398" s="277"/>
      <c r="C398" s="277"/>
      <c r="D398" s="59">
        <v>120528</v>
      </c>
      <c r="F398" s="49"/>
    </row>
    <row r="399" spans="1:6" ht="21" x14ac:dyDescent="0.35">
      <c r="A399" s="277" t="s">
        <v>156</v>
      </c>
      <c r="B399" s="277"/>
      <c r="C399" s="277"/>
      <c r="D399" s="59">
        <v>315900</v>
      </c>
    </row>
    <row r="400" spans="1:6" ht="21" x14ac:dyDescent="0.35">
      <c r="A400" s="277" t="s">
        <v>157</v>
      </c>
      <c r="B400" s="277"/>
      <c r="C400" s="277"/>
      <c r="D400" s="59">
        <v>500000</v>
      </c>
    </row>
    <row r="401" spans="1:6" ht="21" x14ac:dyDescent="0.35">
      <c r="A401" s="277" t="s">
        <v>157</v>
      </c>
      <c r="B401" s="277"/>
      <c r="C401" s="277"/>
      <c r="D401" s="59">
        <v>500000</v>
      </c>
    </row>
    <row r="402" spans="1:6" ht="21" x14ac:dyDescent="0.35">
      <c r="A402" s="277" t="s">
        <v>159</v>
      </c>
      <c r="B402" s="277"/>
      <c r="C402" s="277"/>
      <c r="D402" s="59">
        <v>400000</v>
      </c>
    </row>
    <row r="403" spans="1:6" ht="21" x14ac:dyDescent="0.35">
      <c r="A403" s="299" t="s">
        <v>157</v>
      </c>
      <c r="B403" s="299"/>
      <c r="C403" s="299"/>
      <c r="D403" s="100">
        <v>700000</v>
      </c>
    </row>
    <row r="404" spans="1:6" ht="21" x14ac:dyDescent="0.3">
      <c r="A404" s="277" t="s">
        <v>154</v>
      </c>
      <c r="B404" s="277"/>
      <c r="C404" s="277"/>
      <c r="D404" s="101">
        <v>306000</v>
      </c>
      <c r="F404" s="189"/>
    </row>
    <row r="405" spans="1:6" ht="21" x14ac:dyDescent="0.3">
      <c r="A405" s="277" t="s">
        <v>165</v>
      </c>
      <c r="B405" s="277"/>
      <c r="C405" s="277"/>
      <c r="D405" s="101">
        <v>75000</v>
      </c>
      <c r="F405" s="189"/>
    </row>
    <row r="406" spans="1:6" ht="18.75" hidden="1" x14ac:dyDescent="0.3">
      <c r="A406" s="277" t="s">
        <v>151</v>
      </c>
      <c r="B406" s="277"/>
      <c r="C406" s="277"/>
      <c r="D406" s="104" t="s">
        <v>158</v>
      </c>
      <c r="F406" s="189"/>
    </row>
    <row r="407" spans="1:6" ht="18.75" hidden="1" x14ac:dyDescent="0.3">
      <c r="A407" s="277" t="s">
        <v>64</v>
      </c>
      <c r="B407" s="277"/>
      <c r="C407" s="277"/>
      <c r="D407" s="104" t="s">
        <v>158</v>
      </c>
      <c r="F407" s="189"/>
    </row>
    <row r="408" spans="1:6" ht="23.25" x14ac:dyDescent="0.3">
      <c r="A408" s="277" t="s">
        <v>167</v>
      </c>
      <c r="B408" s="277"/>
      <c r="C408" s="277"/>
      <c r="D408" s="105">
        <v>22400</v>
      </c>
      <c r="F408" s="189"/>
    </row>
    <row r="409" spans="1:6" ht="23.25" x14ac:dyDescent="0.3">
      <c r="A409" s="277" t="s">
        <v>64</v>
      </c>
      <c r="B409" s="277"/>
      <c r="C409" s="277"/>
      <c r="D409" s="105">
        <v>89073</v>
      </c>
      <c r="F409" s="189"/>
    </row>
    <row r="410" spans="1:6" ht="23.25" x14ac:dyDescent="0.3">
      <c r="A410" s="277" t="s">
        <v>173</v>
      </c>
      <c r="B410" s="277"/>
      <c r="C410" s="277"/>
      <c r="D410" s="105">
        <v>200000</v>
      </c>
      <c r="F410" s="189"/>
    </row>
    <row r="411" spans="1:6" ht="23.25" x14ac:dyDescent="0.3">
      <c r="A411" s="277" t="s">
        <v>174</v>
      </c>
      <c r="B411" s="277"/>
      <c r="C411" s="277"/>
      <c r="D411" s="105">
        <v>250080</v>
      </c>
      <c r="F411" s="189"/>
    </row>
    <row r="412" spans="1:6" ht="23.25" x14ac:dyDescent="0.3">
      <c r="A412" s="277" t="s">
        <v>103</v>
      </c>
      <c r="B412" s="277"/>
      <c r="C412" s="277"/>
      <c r="D412" s="105">
        <v>130745</v>
      </c>
      <c r="F412" s="189"/>
    </row>
    <row r="413" spans="1:6" ht="23.25" x14ac:dyDescent="0.25">
      <c r="A413" s="274" t="s">
        <v>160</v>
      </c>
      <c r="B413" s="274"/>
      <c r="C413" s="274"/>
      <c r="D413" s="106">
        <f>SUM(D393:D412)</f>
        <v>5700456</v>
      </c>
    </row>
    <row r="414" spans="1:6" ht="23.25" x14ac:dyDescent="0.25">
      <c r="A414" s="274" t="s">
        <v>164</v>
      </c>
      <c r="B414" s="274"/>
      <c r="C414" s="274"/>
      <c r="D414" s="96">
        <f>D390-D413</f>
        <v>53013.129999999888</v>
      </c>
    </row>
    <row r="418" spans="1:9" ht="26.25" x14ac:dyDescent="0.35">
      <c r="A418" s="292" t="s">
        <v>175</v>
      </c>
      <c r="B418" s="292"/>
      <c r="C418" s="292"/>
      <c r="D418" s="97"/>
      <c r="F418" s="292" t="s">
        <v>175</v>
      </c>
      <c r="G418" s="292"/>
      <c r="H418" s="292"/>
      <c r="I418" s="97"/>
    </row>
    <row r="419" spans="1:9" ht="21" x14ac:dyDescent="0.35">
      <c r="A419" s="282" t="s">
        <v>3</v>
      </c>
      <c r="B419" s="282"/>
      <c r="C419" s="282"/>
      <c r="D419" s="97"/>
      <c r="F419" s="282" t="s">
        <v>3</v>
      </c>
      <c r="G419" s="282"/>
      <c r="H419" s="282"/>
      <c r="I419" s="97"/>
    </row>
    <row r="420" spans="1:9" ht="21" x14ac:dyDescent="0.35">
      <c r="A420" s="282" t="s">
        <v>4</v>
      </c>
      <c r="B420" s="282" t="s">
        <v>3</v>
      </c>
      <c r="C420" s="282" t="s">
        <v>3</v>
      </c>
      <c r="D420" s="97"/>
      <c r="F420" s="282" t="s">
        <v>4</v>
      </c>
      <c r="G420" s="282" t="s">
        <v>3</v>
      </c>
      <c r="H420" s="282" t="s">
        <v>3</v>
      </c>
      <c r="I420" s="97"/>
    </row>
    <row r="421" spans="1:9" ht="21" x14ac:dyDescent="0.35">
      <c r="A421" s="282" t="s">
        <v>5</v>
      </c>
      <c r="B421" s="282" t="s">
        <v>5</v>
      </c>
      <c r="C421" s="282" t="s">
        <v>5</v>
      </c>
      <c r="D421" s="97"/>
      <c r="F421" s="282" t="s">
        <v>5</v>
      </c>
      <c r="G421" s="282" t="s">
        <v>5</v>
      </c>
      <c r="H421" s="282" t="s">
        <v>5</v>
      </c>
      <c r="I421" s="97"/>
    </row>
    <row r="422" spans="1:9" ht="21" x14ac:dyDescent="0.35">
      <c r="A422" s="282" t="s">
        <v>31</v>
      </c>
      <c r="B422" s="282" t="s">
        <v>5</v>
      </c>
      <c r="C422" s="282" t="s">
        <v>5</v>
      </c>
      <c r="D422" s="97"/>
      <c r="F422" s="282" t="s">
        <v>31</v>
      </c>
      <c r="G422" s="282" t="s">
        <v>5</v>
      </c>
      <c r="H422" s="282" t="s">
        <v>5</v>
      </c>
      <c r="I422" s="97"/>
    </row>
    <row r="423" spans="1:9" ht="21" x14ac:dyDescent="0.35">
      <c r="A423" s="282" t="s">
        <v>30</v>
      </c>
      <c r="B423" s="282" t="s">
        <v>5</v>
      </c>
      <c r="C423" s="282" t="s">
        <v>5</v>
      </c>
      <c r="D423" s="97"/>
      <c r="F423" s="282" t="s">
        <v>30</v>
      </c>
      <c r="G423" s="282" t="s">
        <v>5</v>
      </c>
      <c r="H423" s="282" t="s">
        <v>5</v>
      </c>
      <c r="I423" s="97"/>
    </row>
    <row r="424" spans="1:9" ht="21" x14ac:dyDescent="0.35">
      <c r="A424" s="282" t="s">
        <v>42</v>
      </c>
      <c r="B424" s="282"/>
      <c r="C424" s="282"/>
      <c r="D424" s="98">
        <v>7841449</v>
      </c>
      <c r="F424" s="282" t="s">
        <v>42</v>
      </c>
      <c r="G424" s="282"/>
      <c r="H424" s="282"/>
      <c r="I424" s="98">
        <v>9105284</v>
      </c>
    </row>
    <row r="425" spans="1:9" ht="21" x14ac:dyDescent="0.35">
      <c r="A425" s="282" t="s">
        <v>163</v>
      </c>
      <c r="B425" s="282"/>
      <c r="C425" s="282"/>
      <c r="D425" s="97"/>
      <c r="F425" s="282" t="s">
        <v>163</v>
      </c>
      <c r="G425" s="282"/>
      <c r="H425" s="282"/>
      <c r="I425" s="97"/>
    </row>
    <row r="426" spans="1:9" ht="21" x14ac:dyDescent="0.35">
      <c r="A426" s="282" t="s">
        <v>11</v>
      </c>
      <c r="B426" s="282" t="s">
        <v>3</v>
      </c>
      <c r="C426" s="282" t="s">
        <v>3</v>
      </c>
      <c r="D426" s="97"/>
      <c r="F426" s="282" t="s">
        <v>11</v>
      </c>
      <c r="G426" s="282" t="s">
        <v>3</v>
      </c>
      <c r="H426" s="282" t="s">
        <v>3</v>
      </c>
      <c r="I426" s="97"/>
    </row>
    <row r="427" spans="1:9" ht="21" x14ac:dyDescent="0.35">
      <c r="A427" s="283" t="s">
        <v>81</v>
      </c>
      <c r="B427" s="283"/>
      <c r="C427" s="283"/>
      <c r="D427" s="98">
        <f>SUM(D419:D426)</f>
        <v>7841449</v>
      </c>
      <c r="F427" s="283" t="s">
        <v>81</v>
      </c>
      <c r="G427" s="283"/>
      <c r="H427" s="283"/>
      <c r="I427" s="98">
        <f>SUM(I419:I426)</f>
        <v>9105284</v>
      </c>
    </row>
    <row r="428" spans="1:9" ht="21" x14ac:dyDescent="0.35">
      <c r="A428" s="282" t="s">
        <v>23</v>
      </c>
      <c r="B428" s="282"/>
      <c r="C428" s="282"/>
      <c r="D428" s="97"/>
      <c r="E428" s="29"/>
      <c r="F428" s="282" t="s">
        <v>23</v>
      </c>
      <c r="G428" s="282"/>
      <c r="H428" s="282"/>
      <c r="I428" s="97"/>
    </row>
    <row r="429" spans="1:9" ht="21" x14ac:dyDescent="0.35">
      <c r="A429" s="282" t="s">
        <v>24</v>
      </c>
      <c r="B429" s="282"/>
      <c r="C429" s="282"/>
      <c r="D429" s="97"/>
      <c r="F429" s="282" t="s">
        <v>24</v>
      </c>
      <c r="G429" s="282"/>
      <c r="H429" s="282"/>
      <c r="I429" s="97"/>
    </row>
    <row r="430" spans="1:9" ht="21" x14ac:dyDescent="0.35">
      <c r="A430" s="282" t="s">
        <v>25</v>
      </c>
      <c r="B430" s="282"/>
      <c r="C430" s="282"/>
      <c r="D430" s="97"/>
      <c r="F430" s="282" t="s">
        <v>25</v>
      </c>
      <c r="G430" s="282"/>
      <c r="H430" s="282"/>
      <c r="I430" s="97"/>
    </row>
    <row r="431" spans="1:9" ht="21" x14ac:dyDescent="0.35">
      <c r="A431" s="275" t="s">
        <v>82</v>
      </c>
      <c r="B431" s="275"/>
      <c r="C431" s="275"/>
      <c r="D431" s="98">
        <f>D427-D428</f>
        <v>7841449</v>
      </c>
      <c r="F431" s="275" t="s">
        <v>82</v>
      </c>
      <c r="G431" s="275"/>
      <c r="H431" s="275"/>
      <c r="I431" s="98">
        <f>I427-I428</f>
        <v>9105284</v>
      </c>
    </row>
    <row r="432" spans="1:9" ht="21" x14ac:dyDescent="0.35">
      <c r="A432" s="275" t="s">
        <v>37</v>
      </c>
      <c r="B432" s="275"/>
      <c r="C432" s="275"/>
      <c r="D432" s="97">
        <v>0</v>
      </c>
      <c r="F432" s="275" t="s">
        <v>176</v>
      </c>
      <c r="G432" s="275"/>
      <c r="H432" s="275"/>
      <c r="I432" s="98">
        <v>5226462</v>
      </c>
    </row>
    <row r="433" spans="1:9" ht="21" x14ac:dyDescent="0.35">
      <c r="A433" s="289" t="s">
        <v>217</v>
      </c>
      <c r="B433" s="290"/>
      <c r="C433" s="291"/>
      <c r="D433" s="97">
        <v>184922</v>
      </c>
      <c r="F433" s="275" t="s">
        <v>177</v>
      </c>
      <c r="G433" s="275"/>
      <c r="H433" s="275"/>
      <c r="I433" s="98">
        <f>I432+I431</f>
        <v>14331746</v>
      </c>
    </row>
    <row r="434" spans="1:9" ht="21" x14ac:dyDescent="0.35">
      <c r="A434" s="275" t="s">
        <v>220</v>
      </c>
      <c r="B434" s="275"/>
      <c r="C434" s="275"/>
      <c r="D434" s="97">
        <f>D431-D433</f>
        <v>7656527</v>
      </c>
      <c r="E434" s="29">
        <f>D431-D433</f>
        <v>7656527</v>
      </c>
      <c r="F434" s="275" t="s">
        <v>37</v>
      </c>
      <c r="G434" s="275"/>
      <c r="H434" s="275"/>
      <c r="I434" s="97">
        <v>0</v>
      </c>
    </row>
    <row r="435" spans="1:9" ht="21" x14ac:dyDescent="0.35">
      <c r="A435" s="275" t="s">
        <v>47</v>
      </c>
      <c r="B435" s="275"/>
      <c r="C435" s="275"/>
      <c r="D435" s="135">
        <f>D431*5%</f>
        <v>392072.45</v>
      </c>
      <c r="E435" s="7">
        <f>E434*8%</f>
        <v>612522.16</v>
      </c>
      <c r="F435" s="275" t="s">
        <v>47</v>
      </c>
      <c r="G435" s="275"/>
      <c r="H435" s="275"/>
      <c r="I435" s="52">
        <f>I433*5%</f>
        <v>716587.3</v>
      </c>
    </row>
    <row r="436" spans="1:9" ht="21" x14ac:dyDescent="0.35">
      <c r="A436" s="275" t="s">
        <v>38</v>
      </c>
      <c r="B436" s="275"/>
      <c r="C436" s="275"/>
      <c r="D436" s="136">
        <f>D434*8%</f>
        <v>612522.16</v>
      </c>
      <c r="F436" s="275" t="s">
        <v>38</v>
      </c>
      <c r="G436" s="275"/>
      <c r="H436" s="275"/>
      <c r="I436" s="97">
        <f>I433*8%</f>
        <v>1146539.68</v>
      </c>
    </row>
    <row r="437" spans="1:9" ht="21" x14ac:dyDescent="0.35">
      <c r="A437" s="275" t="s">
        <v>39</v>
      </c>
      <c r="B437" s="275"/>
      <c r="C437" s="275"/>
      <c r="D437" s="136">
        <f>D434*7.5%</f>
        <v>574239.52500000002</v>
      </c>
      <c r="F437" s="275" t="s">
        <v>39</v>
      </c>
      <c r="G437" s="275"/>
      <c r="H437" s="275"/>
      <c r="I437" s="97">
        <f>I433*7.5%</f>
        <v>1074880.95</v>
      </c>
    </row>
    <row r="438" spans="1:9" ht="21" x14ac:dyDescent="0.35">
      <c r="A438" s="275" t="s">
        <v>40</v>
      </c>
      <c r="B438" s="275"/>
      <c r="C438" s="275"/>
      <c r="D438" s="97">
        <f>SUM(D435:D437)</f>
        <v>1578834.1350000002</v>
      </c>
      <c r="F438" s="275" t="s">
        <v>40</v>
      </c>
      <c r="G438" s="275"/>
      <c r="H438" s="275"/>
      <c r="I438" s="97">
        <f>SUM(I434:I437)</f>
        <v>2938007.9299999997</v>
      </c>
    </row>
    <row r="439" spans="1:9" ht="21" x14ac:dyDescent="0.35">
      <c r="A439" s="275" t="s">
        <v>41</v>
      </c>
      <c r="B439" s="275"/>
      <c r="C439" s="275"/>
      <c r="D439" s="98">
        <f>D434-D438</f>
        <v>6077692.8650000002</v>
      </c>
      <c r="F439" s="275" t="s">
        <v>41</v>
      </c>
      <c r="G439" s="275"/>
      <c r="H439" s="275"/>
      <c r="I439" s="98">
        <f>I433-I438</f>
        <v>11393738.07</v>
      </c>
    </row>
    <row r="440" spans="1:9" ht="21" x14ac:dyDescent="0.35">
      <c r="A440" s="333" t="s">
        <v>221</v>
      </c>
      <c r="B440" s="333"/>
      <c r="C440" s="333"/>
      <c r="D440" s="98">
        <v>6243243</v>
      </c>
      <c r="E440" s="2">
        <v>304347</v>
      </c>
      <c r="F440" s="334" t="s">
        <v>166</v>
      </c>
      <c r="G440" s="334"/>
      <c r="H440" s="334"/>
      <c r="I440" s="108">
        <f>1395000*60%</f>
        <v>837000</v>
      </c>
    </row>
    <row r="441" spans="1:9" ht="22.9" customHeight="1" x14ac:dyDescent="0.35">
      <c r="A441" s="275" t="s">
        <v>177</v>
      </c>
      <c r="B441" s="275"/>
      <c r="C441" s="275"/>
      <c r="D441" s="98">
        <f>D439-D440</f>
        <v>-165550.13499999978</v>
      </c>
      <c r="F441" s="334" t="s">
        <v>140</v>
      </c>
      <c r="G441" s="334"/>
      <c r="H441" s="334"/>
      <c r="I441" s="109">
        <f>I440+I439</f>
        <v>12230738.07</v>
      </c>
    </row>
    <row r="442" spans="1:9" x14ac:dyDescent="0.25">
      <c r="H442" s="2"/>
    </row>
    <row r="443" spans="1:9" ht="26.25" x14ac:dyDescent="0.25">
      <c r="A443" s="276" t="s">
        <v>94</v>
      </c>
      <c r="B443" s="276"/>
      <c r="C443" s="276"/>
      <c r="D443" s="276"/>
      <c r="H443" s="2"/>
    </row>
    <row r="444" spans="1:9" ht="26.25" x14ac:dyDescent="0.35">
      <c r="A444" s="277"/>
      <c r="B444" s="277"/>
      <c r="C444" s="277"/>
      <c r="D444" s="59"/>
      <c r="F444" s="276" t="s">
        <v>94</v>
      </c>
      <c r="G444" s="276"/>
      <c r="H444" s="276"/>
      <c r="I444" s="276"/>
    </row>
    <row r="445" spans="1:9" ht="21" x14ac:dyDescent="0.35">
      <c r="A445" s="277" t="s">
        <v>157</v>
      </c>
      <c r="B445" s="277"/>
      <c r="C445" s="277"/>
      <c r="D445" s="59">
        <v>900000</v>
      </c>
      <c r="F445" s="277"/>
      <c r="G445" s="277"/>
      <c r="H445" s="277"/>
      <c r="I445" s="59"/>
    </row>
    <row r="446" spans="1:9" ht="21" x14ac:dyDescent="0.35">
      <c r="A446" s="277" t="s">
        <v>157</v>
      </c>
      <c r="B446" s="277"/>
      <c r="C446" s="277"/>
      <c r="D446" s="59">
        <v>900000</v>
      </c>
      <c r="F446" s="277" t="s">
        <v>157</v>
      </c>
      <c r="G446" s="277"/>
      <c r="H446" s="277"/>
      <c r="I446" s="59">
        <v>6900000</v>
      </c>
    </row>
    <row r="447" spans="1:9" ht="21" x14ac:dyDescent="0.35">
      <c r="A447" s="277" t="s">
        <v>157</v>
      </c>
      <c r="B447" s="277"/>
      <c r="C447" s="277"/>
      <c r="D447" s="59">
        <v>900000</v>
      </c>
      <c r="E447" s="29">
        <f>D445+D446+D447+D448+D449+D450+D451</f>
        <v>6000000</v>
      </c>
      <c r="F447" s="277" t="s">
        <v>95</v>
      </c>
      <c r="G447" s="277"/>
      <c r="H447" s="277"/>
      <c r="I447" s="101">
        <v>1000069</v>
      </c>
    </row>
    <row r="448" spans="1:9" ht="21" x14ac:dyDescent="0.35">
      <c r="A448" s="277" t="s">
        <v>157</v>
      </c>
      <c r="B448" s="277"/>
      <c r="C448" s="277"/>
      <c r="D448" s="59">
        <v>900000</v>
      </c>
      <c r="F448" s="277" t="s">
        <v>179</v>
      </c>
      <c r="G448" s="277"/>
      <c r="H448" s="277"/>
      <c r="I448" s="110">
        <v>300000</v>
      </c>
    </row>
    <row r="449" spans="1:10" ht="21" x14ac:dyDescent="0.35">
      <c r="A449" s="277" t="s">
        <v>157</v>
      </c>
      <c r="B449" s="277"/>
      <c r="C449" s="277"/>
      <c r="D449" s="59">
        <v>900000</v>
      </c>
      <c r="F449" s="277" t="s">
        <v>180</v>
      </c>
      <c r="G449" s="277"/>
      <c r="H449" s="277"/>
      <c r="I449" s="110">
        <v>200000</v>
      </c>
    </row>
    <row r="450" spans="1:10" ht="21" x14ac:dyDescent="0.35">
      <c r="A450" s="277" t="s">
        <v>157</v>
      </c>
      <c r="B450" s="277"/>
      <c r="C450" s="277"/>
      <c r="D450" s="59">
        <v>900000</v>
      </c>
      <c r="F450" s="277" t="s">
        <v>63</v>
      </c>
      <c r="G450" s="277"/>
      <c r="H450" s="277"/>
      <c r="I450" s="110">
        <v>200000</v>
      </c>
    </row>
    <row r="451" spans="1:10" ht="23.25" x14ac:dyDescent="0.35">
      <c r="A451" s="277" t="s">
        <v>157</v>
      </c>
      <c r="B451" s="277"/>
      <c r="C451" s="277"/>
      <c r="D451" s="59">
        <v>600000</v>
      </c>
      <c r="F451" s="277" t="s">
        <v>181</v>
      </c>
      <c r="G451" s="277"/>
      <c r="H451" s="277"/>
      <c r="I451" s="105">
        <v>400000</v>
      </c>
    </row>
    <row r="452" spans="1:10" ht="23.25" x14ac:dyDescent="0.35">
      <c r="A452" s="277" t="s">
        <v>222</v>
      </c>
      <c r="B452" s="277"/>
      <c r="C452" s="277"/>
      <c r="D452" s="59">
        <v>243243</v>
      </c>
      <c r="F452" s="277" t="s">
        <v>181</v>
      </c>
      <c r="G452" s="277"/>
      <c r="H452" s="277"/>
      <c r="I452" s="105">
        <v>463000</v>
      </c>
    </row>
    <row r="453" spans="1:10" ht="23.25" x14ac:dyDescent="0.3">
      <c r="A453" s="274" t="s">
        <v>160</v>
      </c>
      <c r="B453" s="274"/>
      <c r="C453" s="274"/>
      <c r="D453" s="106">
        <f>SUM(D445:D452)</f>
        <v>6243243</v>
      </c>
      <c r="F453" s="277" t="s">
        <v>181</v>
      </c>
      <c r="G453" s="277"/>
      <c r="H453" s="277"/>
      <c r="I453" s="105">
        <v>300000</v>
      </c>
    </row>
    <row r="454" spans="1:10" ht="23.25" x14ac:dyDescent="0.3">
      <c r="F454" s="277" t="s">
        <v>182</v>
      </c>
      <c r="G454" s="277"/>
      <c r="H454" s="277"/>
      <c r="I454" s="105">
        <v>400000</v>
      </c>
    </row>
    <row r="455" spans="1:10" ht="26.25" x14ac:dyDescent="0.35">
      <c r="A455" s="292" t="s">
        <v>205</v>
      </c>
      <c r="B455" s="292"/>
      <c r="C455" s="292"/>
      <c r="D455" s="97"/>
      <c r="F455" s="277" t="s">
        <v>182</v>
      </c>
      <c r="G455" s="277"/>
      <c r="H455" s="277"/>
      <c r="I455" s="105">
        <v>437000</v>
      </c>
      <c r="J455" s="29">
        <f>SUM(I446:I455)</f>
        <v>10600069</v>
      </c>
    </row>
    <row r="456" spans="1:10" ht="23.25" x14ac:dyDescent="0.35">
      <c r="A456" s="282" t="s">
        <v>3</v>
      </c>
      <c r="B456" s="282"/>
      <c r="C456" s="282"/>
      <c r="D456" s="97"/>
      <c r="F456" s="190"/>
      <c r="G456" s="134"/>
      <c r="H456" s="107"/>
      <c r="I456" s="105"/>
    </row>
    <row r="457" spans="1:10" ht="23.25" x14ac:dyDescent="0.35">
      <c r="A457" s="282" t="s">
        <v>4</v>
      </c>
      <c r="B457" s="282" t="s">
        <v>3</v>
      </c>
      <c r="C457" s="282" t="s">
        <v>3</v>
      </c>
      <c r="D457" s="97"/>
      <c r="F457" s="274" t="s">
        <v>160</v>
      </c>
      <c r="G457" s="274"/>
      <c r="H457" s="274"/>
      <c r="I457" s="106">
        <f>SUM(I446:I455)</f>
        <v>10600069</v>
      </c>
      <c r="J457" s="29">
        <f>I441-J455</f>
        <v>1630669.0700000003</v>
      </c>
    </row>
    <row r="458" spans="1:10" ht="23.25" x14ac:dyDescent="0.35">
      <c r="A458" s="282" t="s">
        <v>5</v>
      </c>
      <c r="B458" s="282" t="s">
        <v>5</v>
      </c>
      <c r="C458" s="282" t="s">
        <v>5</v>
      </c>
      <c r="D458" s="97"/>
      <c r="F458" s="274" t="s">
        <v>164</v>
      </c>
      <c r="G458" s="274"/>
      <c r="H458" s="274"/>
      <c r="I458" s="96">
        <f>I441-I457</f>
        <v>1630669.0700000003</v>
      </c>
    </row>
    <row r="459" spans="1:10" ht="21" x14ac:dyDescent="0.35">
      <c r="A459" s="282" t="s">
        <v>31</v>
      </c>
      <c r="B459" s="282" t="s">
        <v>5</v>
      </c>
      <c r="C459" s="282" t="s">
        <v>5</v>
      </c>
      <c r="D459" s="97"/>
      <c r="I459" s="27">
        <v>2000000</v>
      </c>
    </row>
    <row r="460" spans="1:10" ht="21" x14ac:dyDescent="0.35">
      <c r="A460" s="282" t="s">
        <v>30</v>
      </c>
      <c r="B460" s="282" t="s">
        <v>5</v>
      </c>
      <c r="C460" s="282" t="s">
        <v>5</v>
      </c>
      <c r="D460" s="97"/>
      <c r="I460" s="27">
        <f>I458-I459</f>
        <v>-369330.9299999997</v>
      </c>
    </row>
    <row r="461" spans="1:10" ht="21" x14ac:dyDescent="0.35">
      <c r="A461" s="282" t="s">
        <v>42</v>
      </c>
      <c r="B461" s="282"/>
      <c r="C461" s="282"/>
      <c r="D461" s="98">
        <v>1662697</v>
      </c>
    </row>
    <row r="462" spans="1:10" ht="21" x14ac:dyDescent="0.35">
      <c r="A462" s="282" t="s">
        <v>163</v>
      </c>
      <c r="B462" s="282"/>
      <c r="C462" s="282"/>
      <c r="D462" s="97"/>
      <c r="F462" s="10">
        <v>15000000</v>
      </c>
    </row>
    <row r="463" spans="1:10" ht="21" x14ac:dyDescent="0.35">
      <c r="A463" s="282" t="s">
        <v>11</v>
      </c>
      <c r="B463" s="282" t="s">
        <v>3</v>
      </c>
      <c r="C463" s="282" t="s">
        <v>3</v>
      </c>
      <c r="D463" s="97"/>
      <c r="F463" s="10">
        <f>F462*10%</f>
        <v>1500000</v>
      </c>
    </row>
    <row r="464" spans="1:10" ht="21" x14ac:dyDescent="0.35">
      <c r="A464" s="283" t="s">
        <v>81</v>
      </c>
      <c r="B464" s="283"/>
      <c r="C464" s="283"/>
      <c r="D464" s="98">
        <f>SUM(D456:D463)</f>
        <v>1662697</v>
      </c>
    </row>
    <row r="465" spans="1:4" ht="21" x14ac:dyDescent="0.35">
      <c r="A465" s="282" t="s">
        <v>23</v>
      </c>
      <c r="B465" s="282"/>
      <c r="C465" s="282"/>
      <c r="D465" s="97"/>
    </row>
    <row r="466" spans="1:4" ht="21" x14ac:dyDescent="0.35">
      <c r="A466" s="282" t="s">
        <v>24</v>
      </c>
      <c r="B466" s="282"/>
      <c r="C466" s="282"/>
      <c r="D466" s="97"/>
    </row>
    <row r="467" spans="1:4" ht="21" x14ac:dyDescent="0.35">
      <c r="A467" s="282" t="s">
        <v>25</v>
      </c>
      <c r="B467" s="282"/>
      <c r="C467" s="282"/>
      <c r="D467" s="97"/>
    </row>
    <row r="468" spans="1:4" ht="21" x14ac:dyDescent="0.35">
      <c r="A468" s="275" t="s">
        <v>82</v>
      </c>
      <c r="B468" s="275"/>
      <c r="C468" s="275"/>
      <c r="D468" s="98">
        <f>D464-D465</f>
        <v>1662697</v>
      </c>
    </row>
    <row r="469" spans="1:4" ht="21" x14ac:dyDescent="0.35">
      <c r="A469" s="275" t="s">
        <v>37</v>
      </c>
      <c r="B469" s="275"/>
      <c r="C469" s="275"/>
      <c r="D469" s="97">
        <v>0</v>
      </c>
    </row>
    <row r="470" spans="1:4" ht="21" x14ac:dyDescent="0.35">
      <c r="A470" s="275" t="s">
        <v>47</v>
      </c>
      <c r="B470" s="275"/>
      <c r="C470" s="275"/>
      <c r="D470" s="52">
        <f>D468*5%</f>
        <v>83134.850000000006</v>
      </c>
    </row>
    <row r="471" spans="1:4" ht="21" x14ac:dyDescent="0.35">
      <c r="A471" s="275" t="s">
        <v>38</v>
      </c>
      <c r="B471" s="275"/>
      <c r="C471" s="275"/>
      <c r="D471" s="97">
        <f>D468*8%</f>
        <v>133015.76</v>
      </c>
    </row>
    <row r="472" spans="1:4" ht="21" x14ac:dyDescent="0.35">
      <c r="A472" s="275" t="s">
        <v>39</v>
      </c>
      <c r="B472" s="275"/>
      <c r="C472" s="275"/>
      <c r="D472" s="97">
        <f>D468*7.5%</f>
        <v>124702.27499999999</v>
      </c>
    </row>
    <row r="473" spans="1:4" ht="21" x14ac:dyDescent="0.35">
      <c r="A473" s="275" t="s">
        <v>40</v>
      </c>
      <c r="B473" s="275"/>
      <c r="C473" s="275"/>
      <c r="D473" s="97">
        <f>SUM(D469:D472)</f>
        <v>340852.88500000001</v>
      </c>
    </row>
    <row r="474" spans="1:4" ht="21" x14ac:dyDescent="0.35">
      <c r="A474" s="275" t="s">
        <v>41</v>
      </c>
      <c r="B474" s="275"/>
      <c r="C474" s="275"/>
      <c r="D474" s="98">
        <f>D468-D473</f>
        <v>1321844.115</v>
      </c>
    </row>
    <row r="476" spans="1:4" ht="31.9" customHeight="1" x14ac:dyDescent="0.25">
      <c r="A476" s="276" t="s">
        <v>94</v>
      </c>
      <c r="B476" s="276"/>
      <c r="C476" s="276"/>
      <c r="D476" s="276"/>
    </row>
    <row r="477" spans="1:4" ht="21" x14ac:dyDescent="0.35">
      <c r="A477" s="296" t="s">
        <v>206</v>
      </c>
      <c r="B477" s="297"/>
      <c r="C477" s="298"/>
      <c r="D477" s="59">
        <v>1000058</v>
      </c>
    </row>
    <row r="478" spans="1:4" ht="31.15" customHeight="1" x14ac:dyDescent="0.35">
      <c r="A478" s="296" t="s">
        <v>206</v>
      </c>
      <c r="B478" s="297"/>
      <c r="C478" s="298"/>
      <c r="D478" s="59">
        <v>1000036</v>
      </c>
    </row>
    <row r="479" spans="1:4" ht="21" x14ac:dyDescent="0.35">
      <c r="A479" s="296" t="s">
        <v>207</v>
      </c>
      <c r="B479" s="297"/>
      <c r="C479" s="298"/>
      <c r="D479" s="59">
        <v>300000</v>
      </c>
    </row>
    <row r="480" spans="1:4" ht="21" x14ac:dyDescent="0.35">
      <c r="A480" s="296" t="s">
        <v>208</v>
      </c>
      <c r="B480" s="297"/>
      <c r="C480" s="298"/>
      <c r="D480" s="59">
        <v>150000</v>
      </c>
    </row>
    <row r="481" spans="1:9" ht="21" x14ac:dyDescent="0.35">
      <c r="A481" s="296" t="s">
        <v>209</v>
      </c>
      <c r="B481" s="297"/>
      <c r="C481" s="298"/>
      <c r="D481" s="59">
        <v>150000</v>
      </c>
    </row>
    <row r="482" spans="1:9" ht="21" x14ac:dyDescent="0.35">
      <c r="A482" s="335"/>
      <c r="B482" s="335"/>
      <c r="C482" s="335"/>
      <c r="D482" s="139">
        <v>10000</v>
      </c>
    </row>
    <row r="483" spans="1:9" ht="21" x14ac:dyDescent="0.35">
      <c r="A483" s="277"/>
      <c r="B483" s="277"/>
      <c r="C483" s="277"/>
      <c r="D483" s="59"/>
    </row>
    <row r="484" spans="1:9" ht="21" x14ac:dyDescent="0.35">
      <c r="A484" s="277"/>
      <c r="B484" s="277"/>
      <c r="C484" s="277"/>
      <c r="D484" s="59"/>
    </row>
    <row r="485" spans="1:9" ht="21" x14ac:dyDescent="0.35">
      <c r="A485" s="277"/>
      <c r="B485" s="277"/>
      <c r="C485" s="277"/>
      <c r="D485" s="59"/>
    </row>
    <row r="486" spans="1:9" ht="23.25" x14ac:dyDescent="0.3">
      <c r="A486" s="293"/>
      <c r="B486" s="294"/>
      <c r="C486" s="294"/>
      <c r="D486" s="295"/>
      <c r="F486" s="274" t="s">
        <v>375</v>
      </c>
      <c r="G486" s="274"/>
      <c r="H486" s="274"/>
      <c r="I486" s="106">
        <v>304346</v>
      </c>
    </row>
    <row r="487" spans="1:9" ht="23.25" x14ac:dyDescent="0.25">
      <c r="A487" s="274" t="s">
        <v>160</v>
      </c>
      <c r="B487" s="274"/>
      <c r="C487" s="274"/>
      <c r="D487" s="106">
        <f>SUM(D477:D485)</f>
        <v>2610094</v>
      </c>
      <c r="F487" s="274" t="s">
        <v>376</v>
      </c>
      <c r="G487" s="274"/>
      <c r="H487" s="274"/>
      <c r="I487" s="96">
        <v>341490</v>
      </c>
    </row>
    <row r="488" spans="1:9" ht="23.25" x14ac:dyDescent="0.25">
      <c r="A488" s="274" t="s">
        <v>164</v>
      </c>
      <c r="B488" s="274"/>
      <c r="C488" s="274"/>
      <c r="D488" s="96">
        <f>D474-D487</f>
        <v>-1288249.885</v>
      </c>
      <c r="F488" s="274" t="s">
        <v>295</v>
      </c>
      <c r="G488" s="274"/>
      <c r="H488" s="274"/>
      <c r="I488" s="96">
        <v>1204885</v>
      </c>
    </row>
    <row r="489" spans="1:9" ht="23.25" x14ac:dyDescent="0.25">
      <c r="A489" s="137"/>
      <c r="B489" s="137"/>
      <c r="C489" s="137"/>
      <c r="D489" s="96"/>
      <c r="F489" s="274" t="s">
        <v>377</v>
      </c>
      <c r="G489" s="274"/>
      <c r="H489" s="274"/>
      <c r="I489" s="96">
        <v>288280</v>
      </c>
    </row>
    <row r="490" spans="1:9" ht="23.25" x14ac:dyDescent="0.25">
      <c r="A490" s="336" t="s">
        <v>239</v>
      </c>
      <c r="B490" s="337"/>
      <c r="C490" s="337"/>
      <c r="D490" s="338"/>
      <c r="F490" s="274" t="s">
        <v>374</v>
      </c>
      <c r="G490" s="274"/>
      <c r="H490" s="274"/>
      <c r="I490" s="96">
        <v>325317</v>
      </c>
    </row>
    <row r="491" spans="1:9" ht="23.25" x14ac:dyDescent="0.25">
      <c r="A491" s="339"/>
      <c r="B491" s="340"/>
      <c r="C491" s="340"/>
      <c r="D491" s="341"/>
      <c r="F491" s="137"/>
      <c r="G491" s="137"/>
      <c r="H491" s="137"/>
      <c r="I491" s="96"/>
    </row>
    <row r="492" spans="1:9" ht="28.5" x14ac:dyDescent="0.25">
      <c r="A492" s="274" t="s">
        <v>240</v>
      </c>
      <c r="B492" s="274"/>
      <c r="C492" s="274"/>
      <c r="D492" s="142">
        <f>D488</f>
        <v>-1288249.885</v>
      </c>
      <c r="E492" s="138">
        <v>1204885</v>
      </c>
      <c r="F492" s="274" t="s">
        <v>284</v>
      </c>
      <c r="G492" s="274"/>
      <c r="H492" s="274"/>
      <c r="I492" s="96">
        <f>SUM(I486:I491)</f>
        <v>2464318</v>
      </c>
    </row>
    <row r="493" spans="1:9" ht="23.25" x14ac:dyDescent="0.25">
      <c r="A493" s="274" t="s">
        <v>235</v>
      </c>
      <c r="B493" s="274"/>
      <c r="C493" s="274"/>
      <c r="D493" s="96">
        <f>D441</f>
        <v>-165550.13499999978</v>
      </c>
      <c r="F493" s="286"/>
      <c r="G493" s="287"/>
      <c r="H493" s="287"/>
      <c r="I493" s="288"/>
    </row>
    <row r="494" spans="1:9" ht="23.25" x14ac:dyDescent="0.25">
      <c r="A494" s="274" t="s">
        <v>237</v>
      </c>
      <c r="B494" s="274"/>
      <c r="C494" s="274"/>
      <c r="D494" s="96">
        <f>'Food Court'!D145</f>
        <v>304346.29000000004</v>
      </c>
      <c r="F494" s="274" t="s">
        <v>285</v>
      </c>
      <c r="G494" s="274"/>
      <c r="H494" s="274"/>
      <c r="I494" s="96">
        <v>165550</v>
      </c>
    </row>
    <row r="495" spans="1:9" ht="23.25" x14ac:dyDescent="0.25">
      <c r="A495" s="274" t="s">
        <v>238</v>
      </c>
      <c r="B495" s="274"/>
      <c r="C495" s="274"/>
      <c r="D495" s="96">
        <f>'Food Court'!D173</f>
        <v>-55868.864999999991</v>
      </c>
      <c r="F495" s="274" t="s">
        <v>286</v>
      </c>
      <c r="G495" s="274"/>
      <c r="H495" s="274"/>
      <c r="I495" s="96">
        <v>1288250</v>
      </c>
    </row>
    <row r="496" spans="1:9" ht="23.25" x14ac:dyDescent="0.25">
      <c r="A496" s="274" t="s">
        <v>236</v>
      </c>
      <c r="B496" s="274"/>
      <c r="C496" s="274"/>
      <c r="D496" s="96">
        <f>'Food Court'!D205</f>
        <v>341490.3060000001</v>
      </c>
      <c r="F496" s="274" t="s">
        <v>373</v>
      </c>
      <c r="G496" s="274"/>
      <c r="H496" s="274"/>
      <c r="I496" s="96">
        <f>D551</f>
        <v>-1000404.7450000001</v>
      </c>
    </row>
    <row r="497" spans="1:9" ht="23.25" x14ac:dyDescent="0.25">
      <c r="A497" s="274" t="s">
        <v>214</v>
      </c>
      <c r="B497" s="274"/>
      <c r="C497" s="274"/>
      <c r="D497" s="143">
        <v>1204885</v>
      </c>
      <c r="F497" s="274" t="s">
        <v>287</v>
      </c>
      <c r="G497" s="274"/>
      <c r="H497" s="274"/>
      <c r="I497" s="96">
        <v>55869</v>
      </c>
    </row>
    <row r="498" spans="1:9" ht="23.25" x14ac:dyDescent="0.25">
      <c r="A498" s="274" t="s">
        <v>213</v>
      </c>
      <c r="B498" s="274"/>
      <c r="C498" s="274"/>
      <c r="D498" s="96">
        <f>D492+D493+D495+D494+D496+D497</f>
        <v>341052.71100000036</v>
      </c>
      <c r="F498" s="274" t="s">
        <v>213</v>
      </c>
      <c r="G498" s="274"/>
      <c r="H498" s="274"/>
      <c r="I498" s="96">
        <f>I492-I494-I495-I497+I496</f>
        <v>-45755.745000000112</v>
      </c>
    </row>
    <row r="501" spans="1:9" ht="26.25" x14ac:dyDescent="0.35">
      <c r="A501" s="292" t="s">
        <v>241</v>
      </c>
      <c r="B501" s="292"/>
      <c r="C501" s="292"/>
      <c r="D501" s="97"/>
    </row>
    <row r="502" spans="1:9" ht="21" x14ac:dyDescent="0.35">
      <c r="A502" s="282" t="s">
        <v>3</v>
      </c>
      <c r="B502" s="282"/>
      <c r="C502" s="282"/>
      <c r="D502" s="97"/>
    </row>
    <row r="503" spans="1:9" ht="21" x14ac:dyDescent="0.35">
      <c r="A503" s="282" t="s">
        <v>4</v>
      </c>
      <c r="B503" s="282" t="s">
        <v>3</v>
      </c>
      <c r="C503" s="282" t="s">
        <v>3</v>
      </c>
      <c r="D503" s="97"/>
      <c r="F503" s="144">
        <f>1288250+568780+55869</f>
        <v>1912899</v>
      </c>
      <c r="G503" s="144">
        <f>304346+341490+1204885</f>
        <v>1850721</v>
      </c>
      <c r="H503" s="144"/>
    </row>
    <row r="504" spans="1:9" ht="21" x14ac:dyDescent="0.35">
      <c r="A504" s="282" t="s">
        <v>5</v>
      </c>
      <c r="B504" s="282" t="s">
        <v>5</v>
      </c>
      <c r="C504" s="282" t="s">
        <v>5</v>
      </c>
      <c r="D504" s="97"/>
    </row>
    <row r="505" spans="1:9" ht="21" x14ac:dyDescent="0.35">
      <c r="A505" s="282" t="s">
        <v>31</v>
      </c>
      <c r="B505" s="282" t="s">
        <v>5</v>
      </c>
      <c r="C505" s="282" t="s">
        <v>5</v>
      </c>
      <c r="D505" s="97"/>
    </row>
    <row r="506" spans="1:9" ht="21" x14ac:dyDescent="0.35">
      <c r="A506" s="282" t="s">
        <v>30</v>
      </c>
      <c r="B506" s="282" t="s">
        <v>5</v>
      </c>
      <c r="C506" s="282" t="s">
        <v>5</v>
      </c>
      <c r="D506" s="97"/>
      <c r="F506" s="10">
        <v>24097699</v>
      </c>
    </row>
    <row r="507" spans="1:9" ht="21" x14ac:dyDescent="0.35">
      <c r="A507" s="282" t="s">
        <v>42</v>
      </c>
      <c r="B507" s="282"/>
      <c r="C507" s="282"/>
      <c r="D507" s="98">
        <v>8517689</v>
      </c>
      <c r="F507" s="10">
        <f>F506*5%</f>
        <v>1204884.95</v>
      </c>
    </row>
    <row r="508" spans="1:9" ht="21" x14ac:dyDescent="0.35">
      <c r="A508" s="282" t="s">
        <v>163</v>
      </c>
      <c r="B508" s="282"/>
      <c r="C508" s="282"/>
      <c r="D508" s="97"/>
    </row>
    <row r="509" spans="1:9" ht="21" x14ac:dyDescent="0.35">
      <c r="A509" s="282" t="s">
        <v>11</v>
      </c>
      <c r="B509" s="282" t="s">
        <v>3</v>
      </c>
      <c r="C509" s="282" t="s">
        <v>3</v>
      </c>
      <c r="D509" s="97"/>
    </row>
    <row r="510" spans="1:9" ht="21" x14ac:dyDescent="0.35">
      <c r="A510" s="283" t="s">
        <v>81</v>
      </c>
      <c r="B510" s="283"/>
      <c r="C510" s="283"/>
      <c r="D510" s="98">
        <f>SUM(D502:D509)</f>
        <v>8517689</v>
      </c>
    </row>
    <row r="511" spans="1:9" ht="21" x14ac:dyDescent="0.35">
      <c r="A511" s="282" t="s">
        <v>23</v>
      </c>
      <c r="B511" s="282"/>
      <c r="C511" s="282"/>
      <c r="D511" s="97"/>
    </row>
    <row r="512" spans="1:9" ht="21" x14ac:dyDescent="0.35">
      <c r="A512" s="282" t="s">
        <v>24</v>
      </c>
      <c r="B512" s="282"/>
      <c r="C512" s="282"/>
      <c r="D512" s="97"/>
    </row>
    <row r="513" spans="1:5" ht="21" x14ac:dyDescent="0.35">
      <c r="A513" s="282" t="s">
        <v>25</v>
      </c>
      <c r="B513" s="282"/>
      <c r="C513" s="282"/>
      <c r="D513" s="97"/>
    </row>
    <row r="514" spans="1:5" ht="21" x14ac:dyDescent="0.35">
      <c r="A514" s="275" t="s">
        <v>82</v>
      </c>
      <c r="B514" s="275"/>
      <c r="C514" s="275"/>
      <c r="D514" s="98">
        <f>D510-D511</f>
        <v>8517689</v>
      </c>
    </row>
    <row r="515" spans="1:5" ht="21" x14ac:dyDescent="0.35">
      <c r="A515" s="275" t="s">
        <v>242</v>
      </c>
      <c r="B515" s="275"/>
      <c r="C515" s="275"/>
      <c r="D515" s="98">
        <v>299100</v>
      </c>
    </row>
    <row r="516" spans="1:5" ht="21" x14ac:dyDescent="0.35">
      <c r="A516" s="275" t="s">
        <v>82</v>
      </c>
      <c r="B516" s="275"/>
      <c r="C516" s="275"/>
      <c r="D516" s="98">
        <f>D514-D515</f>
        <v>8218589</v>
      </c>
    </row>
    <row r="517" spans="1:5" ht="21" x14ac:dyDescent="0.35">
      <c r="A517" s="275" t="s">
        <v>37</v>
      </c>
      <c r="B517" s="275"/>
      <c r="C517" s="275"/>
      <c r="D517" s="97">
        <v>0</v>
      </c>
    </row>
    <row r="518" spans="1:5" ht="21" x14ac:dyDescent="0.35">
      <c r="A518" s="275" t="s">
        <v>47</v>
      </c>
      <c r="B518" s="275"/>
      <c r="C518" s="275"/>
      <c r="D518" s="52">
        <f>D514*5%</f>
        <v>425884.45</v>
      </c>
      <c r="E518" t="s">
        <v>78</v>
      </c>
    </row>
    <row r="519" spans="1:5" ht="21" x14ac:dyDescent="0.35">
      <c r="A519" s="275" t="s">
        <v>38</v>
      </c>
      <c r="B519" s="275"/>
      <c r="C519" s="275"/>
      <c r="D519" s="97">
        <f>D516*8%</f>
        <v>657487.12</v>
      </c>
      <c r="E519" t="s">
        <v>78</v>
      </c>
    </row>
    <row r="520" spans="1:5" ht="21" x14ac:dyDescent="0.35">
      <c r="A520" s="275" t="s">
        <v>39</v>
      </c>
      <c r="B520" s="275"/>
      <c r="C520" s="275"/>
      <c r="D520" s="97">
        <f>D516*7.5%</f>
        <v>616394.17499999993</v>
      </c>
    </row>
    <row r="521" spans="1:5" ht="21" x14ac:dyDescent="0.35">
      <c r="A521" s="275" t="s">
        <v>40</v>
      </c>
      <c r="B521" s="275"/>
      <c r="C521" s="275"/>
      <c r="D521" s="97">
        <f>SUM(D517:D520)</f>
        <v>1699765.7450000001</v>
      </c>
    </row>
    <row r="522" spans="1:5" ht="23.25" x14ac:dyDescent="0.35">
      <c r="A522" s="275" t="s">
        <v>41</v>
      </c>
      <c r="B522" s="275"/>
      <c r="C522" s="275"/>
      <c r="D522" s="50">
        <f>D516-D521</f>
        <v>6518823.2549999999</v>
      </c>
    </row>
    <row r="524" spans="1:5" ht="26.25" x14ac:dyDescent="0.25">
      <c r="A524" s="276" t="s">
        <v>94</v>
      </c>
      <c r="B524" s="276"/>
      <c r="C524" s="276"/>
      <c r="D524" s="276"/>
    </row>
    <row r="525" spans="1:5" ht="21" x14ac:dyDescent="0.35">
      <c r="A525" s="296" t="s">
        <v>243</v>
      </c>
      <c r="B525" s="297"/>
      <c r="C525" s="298"/>
      <c r="D525" s="59">
        <v>250000</v>
      </c>
      <c r="E525" s="29">
        <f>D525+D526+D527+D528+D529+D530+D531+D532+D533+D534</f>
        <v>1430000</v>
      </c>
    </row>
    <row r="526" spans="1:5" ht="21" x14ac:dyDescent="0.35">
      <c r="A526" s="296" t="s">
        <v>251</v>
      </c>
      <c r="B526" s="297"/>
      <c r="C526" s="298"/>
      <c r="D526" s="59">
        <v>200000</v>
      </c>
    </row>
    <row r="527" spans="1:5" ht="21" x14ac:dyDescent="0.35">
      <c r="A527" s="296" t="s">
        <v>252</v>
      </c>
      <c r="B527" s="297"/>
      <c r="C527" s="298"/>
      <c r="D527" s="59">
        <v>150000</v>
      </c>
    </row>
    <row r="528" spans="1:5" ht="21" x14ac:dyDescent="0.35">
      <c r="A528" s="296" t="s">
        <v>244</v>
      </c>
      <c r="B528" s="297"/>
      <c r="C528" s="298"/>
      <c r="D528" s="59">
        <v>150000</v>
      </c>
    </row>
    <row r="529" spans="1:4" ht="21" x14ac:dyDescent="0.35">
      <c r="A529" s="296" t="s">
        <v>245</v>
      </c>
      <c r="B529" s="297"/>
      <c r="C529" s="298"/>
      <c r="D529" s="59">
        <v>100000</v>
      </c>
    </row>
    <row r="530" spans="1:4" ht="21" x14ac:dyDescent="0.35">
      <c r="A530" s="296" t="s">
        <v>246</v>
      </c>
      <c r="B530" s="297"/>
      <c r="C530" s="298"/>
      <c r="D530" s="59">
        <v>50000</v>
      </c>
    </row>
    <row r="531" spans="1:4" ht="21" x14ac:dyDescent="0.35">
      <c r="A531" s="296" t="s">
        <v>253</v>
      </c>
      <c r="B531" s="297"/>
      <c r="C531" s="298"/>
      <c r="D531" s="59">
        <v>180000</v>
      </c>
    </row>
    <row r="532" spans="1:4" ht="21" x14ac:dyDescent="0.35">
      <c r="A532" s="296" t="s">
        <v>254</v>
      </c>
      <c r="B532" s="297"/>
      <c r="C532" s="298"/>
      <c r="D532" s="59">
        <v>200000</v>
      </c>
    </row>
    <row r="533" spans="1:4" ht="21" x14ac:dyDescent="0.35">
      <c r="A533" s="296" t="s">
        <v>247</v>
      </c>
      <c r="B533" s="297"/>
      <c r="C533" s="298"/>
      <c r="D533" s="59">
        <v>50000</v>
      </c>
    </row>
    <row r="534" spans="1:4" ht="21" x14ac:dyDescent="0.35">
      <c r="A534" s="296" t="s">
        <v>255</v>
      </c>
      <c r="B534" s="297"/>
      <c r="C534" s="298"/>
      <c r="D534" s="59">
        <v>100000</v>
      </c>
    </row>
    <row r="535" spans="1:4" ht="21" x14ac:dyDescent="0.35">
      <c r="A535" s="296" t="s">
        <v>248</v>
      </c>
      <c r="B535" s="297"/>
      <c r="C535" s="298"/>
      <c r="D535" s="59">
        <v>150000</v>
      </c>
    </row>
    <row r="536" spans="1:4" ht="21" x14ac:dyDescent="0.35">
      <c r="A536" s="296" t="s">
        <v>256</v>
      </c>
      <c r="B536" s="297"/>
      <c r="C536" s="298"/>
      <c r="D536" s="139">
        <v>207090</v>
      </c>
    </row>
    <row r="537" spans="1:4" ht="21" x14ac:dyDescent="0.35">
      <c r="A537" s="296" t="s">
        <v>257</v>
      </c>
      <c r="B537" s="297"/>
      <c r="C537" s="298"/>
      <c r="D537" s="158">
        <v>300000</v>
      </c>
    </row>
    <row r="538" spans="1:4" ht="21" x14ac:dyDescent="0.35">
      <c r="A538" s="296" t="s">
        <v>258</v>
      </c>
      <c r="B538" s="297"/>
      <c r="C538" s="298"/>
      <c r="D538" s="139">
        <v>390000</v>
      </c>
    </row>
    <row r="539" spans="1:4" ht="21" x14ac:dyDescent="0.35">
      <c r="A539" s="296" t="s">
        <v>259</v>
      </c>
      <c r="B539" s="297"/>
      <c r="C539" s="298"/>
      <c r="D539" s="158">
        <v>400000</v>
      </c>
    </row>
    <row r="540" spans="1:4" ht="21" x14ac:dyDescent="0.35">
      <c r="A540" s="296" t="s">
        <v>260</v>
      </c>
      <c r="B540" s="297"/>
      <c r="C540" s="298"/>
      <c r="D540" s="59">
        <v>381800</v>
      </c>
    </row>
    <row r="541" spans="1:4" ht="21" x14ac:dyDescent="0.35">
      <c r="A541" s="296" t="s">
        <v>249</v>
      </c>
      <c r="B541" s="297"/>
      <c r="C541" s="298"/>
      <c r="D541" s="59">
        <v>150000</v>
      </c>
    </row>
    <row r="542" spans="1:4" ht="21" x14ac:dyDescent="0.35">
      <c r="A542" s="296" t="s">
        <v>261</v>
      </c>
      <c r="B542" s="297"/>
      <c r="C542" s="298"/>
      <c r="D542" s="59">
        <v>500000</v>
      </c>
    </row>
    <row r="543" spans="1:4" ht="21" x14ac:dyDescent="0.35">
      <c r="A543" s="296" t="s">
        <v>250</v>
      </c>
      <c r="B543" s="297"/>
      <c r="C543" s="298"/>
      <c r="D543" s="59">
        <v>550000</v>
      </c>
    </row>
    <row r="544" spans="1:4" ht="21" x14ac:dyDescent="0.35">
      <c r="A544" s="296" t="s">
        <v>262</v>
      </c>
      <c r="B544" s="297"/>
      <c r="C544" s="298"/>
      <c r="D544" s="59">
        <v>125000</v>
      </c>
    </row>
    <row r="545" spans="1:9" ht="21" x14ac:dyDescent="0.35">
      <c r="A545" s="296" t="s">
        <v>264</v>
      </c>
      <c r="B545" s="297"/>
      <c r="C545" s="298"/>
      <c r="D545" s="59">
        <v>300000</v>
      </c>
    </row>
    <row r="546" spans="1:9" ht="21" x14ac:dyDescent="0.35">
      <c r="A546" s="296" t="s">
        <v>263</v>
      </c>
      <c r="B546" s="297"/>
      <c r="C546" s="298"/>
      <c r="D546" s="59">
        <v>100000</v>
      </c>
    </row>
    <row r="547" spans="1:9" ht="74.25" customHeight="1" x14ac:dyDescent="0.35">
      <c r="A547" s="296" t="s">
        <v>267</v>
      </c>
      <c r="B547" s="297"/>
      <c r="C547" s="298"/>
      <c r="D547" s="59">
        <v>2300000</v>
      </c>
      <c r="E547" s="29"/>
    </row>
    <row r="548" spans="1:9" ht="21" x14ac:dyDescent="0.35">
      <c r="A548" s="296" t="s">
        <v>281</v>
      </c>
      <c r="B548" s="297"/>
      <c r="C548" s="298"/>
      <c r="D548" s="59">
        <v>235338</v>
      </c>
      <c r="E548" s="7"/>
    </row>
    <row r="549" spans="1:9" ht="18.75" x14ac:dyDescent="0.3">
      <c r="A549" s="293"/>
      <c r="B549" s="294"/>
      <c r="C549" s="294"/>
      <c r="D549" s="295"/>
      <c r="E549" s="7"/>
    </row>
    <row r="550" spans="1:9" ht="23.25" x14ac:dyDescent="0.25">
      <c r="A550" s="274" t="s">
        <v>160</v>
      </c>
      <c r="B550" s="274"/>
      <c r="C550" s="274"/>
      <c r="D550" s="106">
        <f>SUM(D525:D548)</f>
        <v>7519228</v>
      </c>
    </row>
    <row r="551" spans="1:9" ht="23.25" x14ac:dyDescent="0.25">
      <c r="A551" s="274" t="s">
        <v>164</v>
      </c>
      <c r="B551" s="274"/>
      <c r="C551" s="274"/>
      <c r="D551" s="96">
        <f>D522-D550</f>
        <v>-1000404.7450000001</v>
      </c>
      <c r="E551" s="153"/>
    </row>
    <row r="552" spans="1:9" x14ac:dyDescent="0.25">
      <c r="H552" s="155"/>
    </row>
    <row r="554" spans="1:9" ht="26.25" x14ac:dyDescent="0.35">
      <c r="A554" s="292" t="s">
        <v>268</v>
      </c>
      <c r="B554" s="292"/>
      <c r="C554" s="292"/>
      <c r="D554" s="97"/>
    </row>
    <row r="555" spans="1:9" ht="21" x14ac:dyDescent="0.35">
      <c r="A555" s="282" t="s">
        <v>3</v>
      </c>
      <c r="B555" s="282"/>
      <c r="C555" s="282"/>
      <c r="D555" s="97"/>
    </row>
    <row r="556" spans="1:9" ht="23.25" x14ac:dyDescent="0.35">
      <c r="A556" s="282" t="s">
        <v>4</v>
      </c>
      <c r="B556" s="282" t="s">
        <v>3</v>
      </c>
      <c r="C556" s="282" t="s">
        <v>3</v>
      </c>
      <c r="D556" s="97"/>
      <c r="F556" s="191"/>
      <c r="G556" s="154"/>
      <c r="H556" s="154"/>
      <c r="I556" s="154"/>
    </row>
    <row r="557" spans="1:9" ht="21" x14ac:dyDescent="0.35">
      <c r="A557" s="282" t="s">
        <v>5</v>
      </c>
      <c r="B557" s="282" t="s">
        <v>5</v>
      </c>
      <c r="C557" s="282" t="s">
        <v>5</v>
      </c>
      <c r="D557" s="97"/>
    </row>
    <row r="558" spans="1:9" ht="21" x14ac:dyDescent="0.35">
      <c r="A558" s="282" t="s">
        <v>31</v>
      </c>
      <c r="B558" s="282" t="s">
        <v>5</v>
      </c>
      <c r="C558" s="282" t="s">
        <v>5</v>
      </c>
      <c r="D558" s="97"/>
    </row>
    <row r="559" spans="1:9" ht="21" x14ac:dyDescent="0.35">
      <c r="A559" s="282" t="s">
        <v>30</v>
      </c>
      <c r="B559" s="282" t="s">
        <v>5</v>
      </c>
      <c r="C559" s="282" t="s">
        <v>5</v>
      </c>
      <c r="D559" s="97"/>
    </row>
    <row r="560" spans="1:9" ht="21" x14ac:dyDescent="0.35">
      <c r="A560" s="282" t="s">
        <v>42</v>
      </c>
      <c r="B560" s="282"/>
      <c r="C560" s="282"/>
      <c r="D560" s="98">
        <v>6275375</v>
      </c>
      <c r="E560" s="10">
        <v>6275375</v>
      </c>
    </row>
    <row r="561" spans="1:8" ht="21" x14ac:dyDescent="0.35">
      <c r="A561" s="282" t="s">
        <v>163</v>
      </c>
      <c r="B561" s="282"/>
      <c r="C561" s="282"/>
      <c r="D561" s="97"/>
    </row>
    <row r="562" spans="1:8" ht="21" x14ac:dyDescent="0.35">
      <c r="A562" s="282" t="s">
        <v>11</v>
      </c>
      <c r="B562" s="282" t="s">
        <v>3</v>
      </c>
      <c r="C562" s="282" t="s">
        <v>3</v>
      </c>
      <c r="D562" s="97"/>
    </row>
    <row r="563" spans="1:8" ht="21" x14ac:dyDescent="0.35">
      <c r="A563" s="283" t="s">
        <v>81</v>
      </c>
      <c r="B563" s="283"/>
      <c r="C563" s="283"/>
      <c r="D563" s="98">
        <f>SUM(D555:D562)</f>
        <v>6275375</v>
      </c>
    </row>
    <row r="564" spans="1:8" ht="21" x14ac:dyDescent="0.35">
      <c r="A564" s="282" t="s">
        <v>23</v>
      </c>
      <c r="B564" s="282"/>
      <c r="C564" s="282"/>
      <c r="D564" s="97"/>
    </row>
    <row r="565" spans="1:8" ht="21" x14ac:dyDescent="0.35">
      <c r="A565" s="282" t="s">
        <v>24</v>
      </c>
      <c r="B565" s="282"/>
      <c r="C565" s="282"/>
      <c r="D565" s="97"/>
    </row>
    <row r="566" spans="1:8" ht="21" x14ac:dyDescent="0.35">
      <c r="A566" s="282" t="s">
        <v>25</v>
      </c>
      <c r="B566" s="282"/>
      <c r="C566" s="282"/>
      <c r="D566" s="97"/>
    </row>
    <row r="567" spans="1:8" ht="21" x14ac:dyDescent="0.35">
      <c r="A567" s="275" t="s">
        <v>82</v>
      </c>
      <c r="B567" s="275"/>
      <c r="C567" s="275"/>
      <c r="D567" s="98">
        <f>D563</f>
        <v>6275375</v>
      </c>
      <c r="E567" s="10">
        <v>6187589</v>
      </c>
    </row>
    <row r="568" spans="1:8" ht="21" x14ac:dyDescent="0.35">
      <c r="A568" s="275" t="s">
        <v>37</v>
      </c>
      <c r="B568" s="275"/>
      <c r="C568" s="275"/>
      <c r="D568" s="97">
        <v>0</v>
      </c>
      <c r="H568" s="10">
        <v>5630000</v>
      </c>
    </row>
    <row r="569" spans="1:8" ht="21" x14ac:dyDescent="0.35">
      <c r="A569" s="289" t="s">
        <v>217</v>
      </c>
      <c r="B569" s="290"/>
      <c r="C569" s="291"/>
      <c r="D569" s="97">
        <v>195368</v>
      </c>
      <c r="E569" s="97">
        <v>195368</v>
      </c>
      <c r="H569" s="10">
        <f>H568*8%</f>
        <v>450400</v>
      </c>
    </row>
    <row r="570" spans="1:8" ht="21" x14ac:dyDescent="0.35">
      <c r="A570" s="275" t="s">
        <v>220</v>
      </c>
      <c r="B570" s="275"/>
      <c r="C570" s="275"/>
      <c r="D570" s="97">
        <f>D567-D569</f>
        <v>6080007</v>
      </c>
      <c r="E570" s="97">
        <f>E567-E569</f>
        <v>5992221</v>
      </c>
      <c r="H570" s="10">
        <f>H568*7.5%</f>
        <v>422250</v>
      </c>
    </row>
    <row r="571" spans="1:8" ht="21" x14ac:dyDescent="0.35">
      <c r="A571" s="275" t="s">
        <v>47</v>
      </c>
      <c r="B571" s="275"/>
      <c r="C571" s="275"/>
      <c r="D571" s="135">
        <f>D567*5%</f>
        <v>313768.75</v>
      </c>
      <c r="E571" s="135">
        <f>E567*5%</f>
        <v>309379.45</v>
      </c>
      <c r="H571" s="10">
        <f>H568-H569-H570</f>
        <v>4757350</v>
      </c>
    </row>
    <row r="572" spans="1:8" ht="21" x14ac:dyDescent="0.35">
      <c r="A572" s="275" t="s">
        <v>38</v>
      </c>
      <c r="B572" s="275"/>
      <c r="C572" s="275"/>
      <c r="D572" s="136">
        <f>D570*8%</f>
        <v>486400.56</v>
      </c>
      <c r="E572" s="136">
        <f>E570*8%</f>
        <v>479377.68</v>
      </c>
      <c r="G572" s="10">
        <v>464807</v>
      </c>
    </row>
    <row r="573" spans="1:8" ht="21" x14ac:dyDescent="0.35">
      <c r="A573" s="275" t="s">
        <v>39</v>
      </c>
      <c r="B573" s="275"/>
      <c r="C573" s="275"/>
      <c r="D573" s="136">
        <f>D570*7.5%</f>
        <v>456000.52499999997</v>
      </c>
      <c r="E573" s="136">
        <f>E570*7.5%</f>
        <v>449416.57500000001</v>
      </c>
      <c r="G573" s="10">
        <v>349092</v>
      </c>
    </row>
    <row r="574" spans="1:8" ht="21" x14ac:dyDescent="0.35">
      <c r="A574" s="275" t="s">
        <v>40</v>
      </c>
      <c r="B574" s="275"/>
      <c r="C574" s="275"/>
      <c r="D574" s="97">
        <f>SUM(D571:D573)</f>
        <v>1256169.835</v>
      </c>
      <c r="E574" s="97">
        <f>SUM(E571:E573)</f>
        <v>1238173.7050000001</v>
      </c>
      <c r="G574" s="10">
        <v>303067</v>
      </c>
    </row>
    <row r="575" spans="1:8" ht="21" x14ac:dyDescent="0.35">
      <c r="A575" s="275" t="s">
        <v>41</v>
      </c>
      <c r="B575" s="275"/>
      <c r="C575" s="275"/>
      <c r="D575" s="98">
        <f>D570-D574</f>
        <v>4823837.165</v>
      </c>
      <c r="E575" s="98">
        <f>E570-E574</f>
        <v>4754047.2949999999</v>
      </c>
      <c r="G575" s="10">
        <f>SUM(G572:G574)</f>
        <v>1116966</v>
      </c>
    </row>
    <row r="576" spans="1:8" ht="33" customHeight="1" x14ac:dyDescent="0.25"/>
    <row r="577" spans="1:8" ht="26.25" x14ac:dyDescent="0.25">
      <c r="A577" s="276" t="s">
        <v>94</v>
      </c>
      <c r="B577" s="276"/>
      <c r="C577" s="276"/>
      <c r="D577" s="276"/>
      <c r="E577" s="10">
        <v>3500000</v>
      </c>
    </row>
    <row r="578" spans="1:8" ht="21" x14ac:dyDescent="0.35">
      <c r="A578" s="277" t="s">
        <v>272</v>
      </c>
      <c r="B578" s="277"/>
      <c r="C578" s="277"/>
      <c r="D578" s="59">
        <v>3500000</v>
      </c>
      <c r="E578" s="10">
        <f>D578/92.5%</f>
        <v>3783783.7837837837</v>
      </c>
    </row>
    <row r="579" spans="1:8" ht="21" x14ac:dyDescent="0.35">
      <c r="A579" s="277" t="s">
        <v>273</v>
      </c>
      <c r="B579" s="277"/>
      <c r="C579" s="277"/>
      <c r="D579" s="59">
        <v>789240</v>
      </c>
      <c r="E579" s="10">
        <f>E578*7.5%</f>
        <v>283783.78378378379</v>
      </c>
    </row>
    <row r="580" spans="1:8" ht="21" x14ac:dyDescent="0.35">
      <c r="A580" s="277" t="s">
        <v>282</v>
      </c>
      <c r="B580" s="277"/>
      <c r="C580" s="277"/>
      <c r="D580" s="59">
        <v>173888</v>
      </c>
      <c r="E580" s="10">
        <f>E579/2</f>
        <v>141891.89189189189</v>
      </c>
    </row>
    <row r="581" spans="1:8" ht="21" x14ac:dyDescent="0.35">
      <c r="A581" s="277"/>
      <c r="B581" s="277"/>
      <c r="C581" s="277"/>
      <c r="D581" s="59">
        <v>35392</v>
      </c>
      <c r="F581" s="49" t="s">
        <v>296</v>
      </c>
      <c r="H581" s="10">
        <v>3652875</v>
      </c>
    </row>
    <row r="582" spans="1:8" ht="23.25" x14ac:dyDescent="0.25">
      <c r="A582" s="274" t="s">
        <v>160</v>
      </c>
      <c r="B582" s="274"/>
      <c r="C582" s="274"/>
      <c r="D582" s="106">
        <f>SUM(D578:D581)</f>
        <v>4498520</v>
      </c>
      <c r="F582" s="49" t="s">
        <v>297</v>
      </c>
      <c r="H582" s="10">
        <v>2622579</v>
      </c>
    </row>
    <row r="583" spans="1:8" ht="23.25" x14ac:dyDescent="0.3">
      <c r="A583" s="274" t="s">
        <v>220</v>
      </c>
      <c r="B583" s="274"/>
      <c r="C583" s="274"/>
      <c r="D583" s="106">
        <f>D575-D582</f>
        <v>325317.16500000004</v>
      </c>
      <c r="F583" s="152" t="s">
        <v>298</v>
      </c>
      <c r="H583" s="10">
        <f>SUM(H581:H582)</f>
        <v>6275454</v>
      </c>
    </row>
    <row r="584" spans="1:8" ht="18.75" x14ac:dyDescent="0.3">
      <c r="F584" s="152" t="s">
        <v>299</v>
      </c>
      <c r="G584" s="155"/>
    </row>
    <row r="586" spans="1:8" ht="26.25" x14ac:dyDescent="0.35">
      <c r="A586" s="285" t="s">
        <v>300</v>
      </c>
      <c r="B586" s="285"/>
      <c r="C586" s="285"/>
      <c r="D586" s="168"/>
    </row>
    <row r="587" spans="1:8" ht="21" x14ac:dyDescent="0.35">
      <c r="A587" s="282" t="s">
        <v>3</v>
      </c>
      <c r="B587" s="282"/>
      <c r="C587" s="282"/>
      <c r="D587" s="97"/>
    </row>
    <row r="588" spans="1:8" ht="21" x14ac:dyDescent="0.35">
      <c r="A588" s="282" t="s">
        <v>4</v>
      </c>
      <c r="B588" s="282" t="s">
        <v>3</v>
      </c>
      <c r="C588" s="282" t="s">
        <v>3</v>
      </c>
      <c r="D588" s="97"/>
    </row>
    <row r="589" spans="1:8" ht="21" x14ac:dyDescent="0.35">
      <c r="A589" s="282" t="s">
        <v>5</v>
      </c>
      <c r="B589" s="282" t="s">
        <v>5</v>
      </c>
      <c r="C589" s="282" t="s">
        <v>5</v>
      </c>
      <c r="D589" s="97"/>
    </row>
    <row r="590" spans="1:8" ht="21" x14ac:dyDescent="0.35">
      <c r="A590" s="282" t="s">
        <v>31</v>
      </c>
      <c r="B590" s="282" t="s">
        <v>5</v>
      </c>
      <c r="C590" s="282" t="s">
        <v>5</v>
      </c>
      <c r="D590" s="97"/>
    </row>
    <row r="591" spans="1:8" ht="21" x14ac:dyDescent="0.35">
      <c r="A591" s="282" t="s">
        <v>30</v>
      </c>
      <c r="B591" s="282" t="s">
        <v>5</v>
      </c>
      <c r="C591" s="282" t="s">
        <v>5</v>
      </c>
      <c r="D591" s="97"/>
    </row>
    <row r="592" spans="1:8" ht="21" x14ac:dyDescent="0.35">
      <c r="A592" s="282" t="s">
        <v>42</v>
      </c>
      <c r="B592" s="282"/>
      <c r="C592" s="282"/>
      <c r="D592" s="98">
        <v>4182733</v>
      </c>
    </row>
    <row r="593" spans="1:5" ht="21" x14ac:dyDescent="0.35">
      <c r="A593" s="282" t="s">
        <v>163</v>
      </c>
      <c r="B593" s="282"/>
      <c r="C593" s="282"/>
      <c r="D593" s="97"/>
    </row>
    <row r="594" spans="1:5" ht="21" x14ac:dyDescent="0.35">
      <c r="A594" s="282" t="s">
        <v>11</v>
      </c>
      <c r="B594" s="282" t="s">
        <v>3</v>
      </c>
      <c r="C594" s="282" t="s">
        <v>3</v>
      </c>
      <c r="D594" s="97"/>
    </row>
    <row r="595" spans="1:5" ht="21" x14ac:dyDescent="0.35">
      <c r="A595" s="283" t="s">
        <v>81</v>
      </c>
      <c r="B595" s="283"/>
      <c r="C595" s="283"/>
      <c r="D595" s="98">
        <f>SUM(D587:D594)</f>
        <v>4182733</v>
      </c>
    </row>
    <row r="596" spans="1:5" ht="21" x14ac:dyDescent="0.35">
      <c r="A596" s="282" t="s">
        <v>23</v>
      </c>
      <c r="B596" s="282"/>
      <c r="C596" s="282"/>
      <c r="D596" s="97"/>
    </row>
    <row r="597" spans="1:5" ht="21" x14ac:dyDescent="0.35">
      <c r="A597" s="282" t="s">
        <v>24</v>
      </c>
      <c r="B597" s="282"/>
      <c r="C597" s="282"/>
      <c r="D597" s="97"/>
    </row>
    <row r="598" spans="1:5" ht="21" x14ac:dyDescent="0.35">
      <c r="A598" s="282" t="s">
        <v>25</v>
      </c>
      <c r="B598" s="282"/>
      <c r="C598" s="282"/>
      <c r="D598" s="97"/>
    </row>
    <row r="599" spans="1:5" ht="23.25" x14ac:dyDescent="0.35">
      <c r="A599" s="275" t="s">
        <v>82</v>
      </c>
      <c r="B599" s="275"/>
      <c r="C599" s="275"/>
      <c r="D599" s="167">
        <f>D595</f>
        <v>4182733</v>
      </c>
    </row>
    <row r="600" spans="1:5" ht="21" x14ac:dyDescent="0.35">
      <c r="A600" s="275" t="s">
        <v>37</v>
      </c>
      <c r="B600" s="275"/>
      <c r="C600" s="275"/>
      <c r="D600" s="97">
        <v>0</v>
      </c>
    </row>
    <row r="601" spans="1:5" ht="21" x14ac:dyDescent="0.35">
      <c r="A601" s="275" t="s">
        <v>47</v>
      </c>
      <c r="B601" s="275"/>
      <c r="C601" s="275"/>
      <c r="D601" s="52">
        <f>D599*5%</f>
        <v>209136.65000000002</v>
      </c>
    </row>
    <row r="602" spans="1:5" ht="21" x14ac:dyDescent="0.35">
      <c r="A602" s="275" t="s">
        <v>38</v>
      </c>
      <c r="B602" s="275"/>
      <c r="C602" s="275"/>
      <c r="D602" s="97">
        <f>D599*8%</f>
        <v>334618.64</v>
      </c>
    </row>
    <row r="603" spans="1:5" ht="21" x14ac:dyDescent="0.35">
      <c r="A603" s="275" t="s">
        <v>39</v>
      </c>
      <c r="B603" s="275"/>
      <c r="C603" s="275"/>
      <c r="D603" s="97">
        <f>$D$599*7.5%</f>
        <v>313704.97499999998</v>
      </c>
    </row>
    <row r="604" spans="1:5" ht="21" x14ac:dyDescent="0.35">
      <c r="A604" s="275" t="s">
        <v>40</v>
      </c>
      <c r="B604" s="275"/>
      <c r="C604" s="275"/>
      <c r="D604" s="98">
        <f>D603+D602+D601</f>
        <v>857460.26500000001</v>
      </c>
    </row>
    <row r="605" spans="1:5" ht="23.25" x14ac:dyDescent="0.35">
      <c r="A605" s="275" t="s">
        <v>301</v>
      </c>
      <c r="B605" s="275"/>
      <c r="C605" s="275"/>
      <c r="D605" s="164">
        <f>D599-D604</f>
        <v>3325272.7349999999</v>
      </c>
    </row>
    <row r="607" spans="1:5" ht="26.25" x14ac:dyDescent="0.25">
      <c r="A607" s="276" t="s">
        <v>94</v>
      </c>
      <c r="B607" s="276"/>
      <c r="C607" s="276"/>
      <c r="D607" s="276"/>
    </row>
    <row r="608" spans="1:5" ht="21" x14ac:dyDescent="0.35">
      <c r="A608" s="277" t="s">
        <v>309</v>
      </c>
      <c r="B608" s="277"/>
      <c r="C608" s="277"/>
      <c r="D608" s="47">
        <v>100000</v>
      </c>
      <c r="E608" s="29"/>
    </row>
    <row r="609" spans="1:6" ht="21" x14ac:dyDescent="0.35">
      <c r="A609" s="277" t="s">
        <v>309</v>
      </c>
      <c r="B609" s="277"/>
      <c r="C609" s="277"/>
      <c r="D609" s="47">
        <v>125000</v>
      </c>
      <c r="E609" s="7"/>
    </row>
    <row r="610" spans="1:6" ht="21" x14ac:dyDescent="0.35">
      <c r="A610" s="277" t="s">
        <v>313</v>
      </c>
      <c r="B610" s="277"/>
      <c r="C610" s="277"/>
      <c r="D610" s="47">
        <v>1100934</v>
      </c>
      <c r="E610" s="7"/>
    </row>
    <row r="611" spans="1:6" ht="21" x14ac:dyDescent="0.35">
      <c r="A611" s="277" t="s">
        <v>328</v>
      </c>
      <c r="B611" s="277"/>
      <c r="C611" s="277"/>
      <c r="D611" s="47">
        <v>1250000</v>
      </c>
      <c r="E611" s="7"/>
    </row>
    <row r="612" spans="1:6" ht="21" x14ac:dyDescent="0.35">
      <c r="A612" s="278" t="s">
        <v>313</v>
      </c>
      <c r="B612" s="279"/>
      <c r="C612" s="280"/>
      <c r="D612" s="47">
        <v>481033</v>
      </c>
      <c r="F612" s="10">
        <v>100000</v>
      </c>
    </row>
    <row r="613" spans="1:6" ht="21" x14ac:dyDescent="0.35">
      <c r="A613" s="342" t="s">
        <v>343</v>
      </c>
      <c r="B613" s="343"/>
      <c r="C613" s="344"/>
      <c r="D613" s="139">
        <v>45000</v>
      </c>
      <c r="F613" s="10">
        <f>F612/92.5%</f>
        <v>108108.10810810811</v>
      </c>
    </row>
    <row r="614" spans="1:6" ht="21" x14ac:dyDescent="0.35">
      <c r="A614" s="278" t="s">
        <v>342</v>
      </c>
      <c r="B614" s="279"/>
      <c r="C614" s="280"/>
      <c r="D614" s="47">
        <v>9122</v>
      </c>
      <c r="E614" s="29"/>
      <c r="F614" s="10">
        <f>F613*7.5%</f>
        <v>8108.1081081081074</v>
      </c>
    </row>
    <row r="615" spans="1:6" ht="21" x14ac:dyDescent="0.35">
      <c r="A615" s="277"/>
      <c r="B615" s="277"/>
      <c r="C615" s="277"/>
      <c r="D615" s="59"/>
      <c r="F615" s="10">
        <f>F614/2</f>
        <v>4054.0540540540537</v>
      </c>
    </row>
    <row r="616" spans="1:6" ht="23.25" x14ac:dyDescent="0.25">
      <c r="A616" s="274" t="s">
        <v>160</v>
      </c>
      <c r="B616" s="274"/>
      <c r="C616" s="274"/>
      <c r="D616" s="165">
        <f>SUM(D608:D614)</f>
        <v>3111089</v>
      </c>
    </row>
    <row r="617" spans="1:6" ht="26.25" x14ac:dyDescent="0.25">
      <c r="A617" s="274" t="s">
        <v>220</v>
      </c>
      <c r="B617" s="274"/>
      <c r="C617" s="274"/>
      <c r="D617" s="166">
        <f>D605-D616</f>
        <v>214183.73499999987</v>
      </c>
    </row>
    <row r="620" spans="1:6" ht="26.25" x14ac:dyDescent="0.35">
      <c r="A620" s="285" t="s">
        <v>303</v>
      </c>
      <c r="B620" s="285"/>
      <c r="C620" s="285"/>
      <c r="D620" s="168"/>
    </row>
    <row r="621" spans="1:6" ht="21" hidden="1" x14ac:dyDescent="0.35">
      <c r="A621" s="282" t="s">
        <v>3</v>
      </c>
      <c r="B621" s="282"/>
      <c r="C621" s="282"/>
      <c r="D621" s="97"/>
    </row>
    <row r="622" spans="1:6" ht="21" hidden="1" x14ac:dyDescent="0.35">
      <c r="A622" s="282" t="s">
        <v>4</v>
      </c>
      <c r="B622" s="282" t="s">
        <v>3</v>
      </c>
      <c r="C622" s="282" t="s">
        <v>3</v>
      </c>
      <c r="D622" s="97"/>
    </row>
    <row r="623" spans="1:6" ht="21" hidden="1" x14ac:dyDescent="0.35">
      <c r="A623" s="282" t="s">
        <v>5</v>
      </c>
      <c r="B623" s="282" t="s">
        <v>5</v>
      </c>
      <c r="C623" s="282" t="s">
        <v>5</v>
      </c>
      <c r="D623" s="97"/>
    </row>
    <row r="624" spans="1:6" ht="21" hidden="1" x14ac:dyDescent="0.35">
      <c r="A624" s="282" t="s">
        <v>31</v>
      </c>
      <c r="B624" s="282" t="s">
        <v>5</v>
      </c>
      <c r="C624" s="282" t="s">
        <v>5</v>
      </c>
      <c r="D624" s="97"/>
    </row>
    <row r="625" spans="1:4" ht="21" hidden="1" x14ac:dyDescent="0.35">
      <c r="A625" s="282" t="s">
        <v>30</v>
      </c>
      <c r="B625" s="282" t="s">
        <v>5</v>
      </c>
      <c r="C625" s="282" t="s">
        <v>5</v>
      </c>
      <c r="D625" s="97"/>
    </row>
    <row r="626" spans="1:4" ht="21" x14ac:dyDescent="0.35">
      <c r="A626" s="282" t="s">
        <v>42</v>
      </c>
      <c r="B626" s="282"/>
      <c r="C626" s="282"/>
      <c r="D626" s="98">
        <v>641189</v>
      </c>
    </row>
    <row r="627" spans="1:4" ht="21" x14ac:dyDescent="0.35">
      <c r="A627" s="282" t="s">
        <v>163</v>
      </c>
      <c r="B627" s="282"/>
      <c r="C627" s="282"/>
      <c r="D627" s="97"/>
    </row>
    <row r="628" spans="1:4" ht="21" x14ac:dyDescent="0.35">
      <c r="A628" s="282" t="s">
        <v>11</v>
      </c>
      <c r="B628" s="282" t="s">
        <v>3</v>
      </c>
      <c r="C628" s="282" t="s">
        <v>3</v>
      </c>
      <c r="D628" s="97"/>
    </row>
    <row r="629" spans="1:4" ht="21" x14ac:dyDescent="0.35">
      <c r="A629" s="283" t="s">
        <v>81</v>
      </c>
      <c r="B629" s="283"/>
      <c r="C629" s="283"/>
      <c r="D629" s="98">
        <f>SUM(D621:D628)</f>
        <v>641189</v>
      </c>
    </row>
    <row r="630" spans="1:4" ht="21" x14ac:dyDescent="0.35">
      <c r="A630" s="282" t="s">
        <v>23</v>
      </c>
      <c r="B630" s="282"/>
      <c r="C630" s="282"/>
      <c r="D630" s="97"/>
    </row>
    <row r="631" spans="1:4" ht="21" x14ac:dyDescent="0.35">
      <c r="A631" s="282" t="s">
        <v>24</v>
      </c>
      <c r="B631" s="282"/>
      <c r="C631" s="282"/>
      <c r="D631" s="97"/>
    </row>
    <row r="632" spans="1:4" ht="21" x14ac:dyDescent="0.35">
      <c r="A632" s="282" t="s">
        <v>25</v>
      </c>
      <c r="B632" s="282"/>
      <c r="C632" s="282"/>
      <c r="D632" s="97"/>
    </row>
    <row r="633" spans="1:4" ht="23.25" x14ac:dyDescent="0.35">
      <c r="A633" s="275" t="s">
        <v>82</v>
      </c>
      <c r="B633" s="275"/>
      <c r="C633" s="275"/>
      <c r="D633" s="167">
        <v>523955</v>
      </c>
    </row>
    <row r="634" spans="1:4" ht="21" x14ac:dyDescent="0.35">
      <c r="A634" s="275" t="s">
        <v>37</v>
      </c>
      <c r="B634" s="275"/>
      <c r="C634" s="275"/>
      <c r="D634" s="97">
        <v>0</v>
      </c>
    </row>
    <row r="635" spans="1:4" ht="21" x14ac:dyDescent="0.35">
      <c r="A635" s="275" t="s">
        <v>47</v>
      </c>
      <c r="B635" s="275"/>
      <c r="C635" s="275"/>
      <c r="D635" s="52"/>
    </row>
    <row r="636" spans="1:4" ht="21" x14ac:dyDescent="0.35">
      <c r="A636" s="275" t="s">
        <v>38</v>
      </c>
      <c r="B636" s="275"/>
      <c r="C636" s="275"/>
      <c r="D636" s="97"/>
    </row>
    <row r="637" spans="1:4" ht="21" x14ac:dyDescent="0.35">
      <c r="A637" s="275" t="s">
        <v>39</v>
      </c>
      <c r="B637" s="275"/>
      <c r="C637" s="275"/>
      <c r="D637" s="97">
        <f>D633*7.5%</f>
        <v>39296.625</v>
      </c>
    </row>
    <row r="638" spans="1:4" ht="21" x14ac:dyDescent="0.35">
      <c r="A638" s="275" t="s">
        <v>40</v>
      </c>
      <c r="B638" s="275"/>
      <c r="C638" s="275"/>
      <c r="D638" s="98">
        <f>SUM(D635:D637)</f>
        <v>39296.625</v>
      </c>
    </row>
    <row r="639" spans="1:4" ht="23.25" x14ac:dyDescent="0.35">
      <c r="A639" s="275" t="s">
        <v>301</v>
      </c>
      <c r="B639" s="275"/>
      <c r="C639" s="275"/>
      <c r="D639" s="164">
        <f>D633-D638</f>
        <v>484658.375</v>
      </c>
    </row>
    <row r="641" spans="1:6" ht="26.25" x14ac:dyDescent="0.25">
      <c r="A641" s="276" t="s">
        <v>94</v>
      </c>
      <c r="B641" s="276"/>
      <c r="C641" s="276"/>
      <c r="D641" s="276"/>
    </row>
    <row r="642" spans="1:6" ht="21" x14ac:dyDescent="0.35">
      <c r="A642" s="277" t="s">
        <v>304</v>
      </c>
      <c r="B642" s="277"/>
      <c r="C642" s="277"/>
      <c r="D642" s="59">
        <v>450000</v>
      </c>
    </row>
    <row r="643" spans="1:6" ht="21" hidden="1" x14ac:dyDescent="0.35">
      <c r="A643" s="278"/>
      <c r="B643" s="279"/>
      <c r="C643" s="280"/>
      <c r="D643" s="59"/>
    </row>
    <row r="644" spans="1:6" ht="21" hidden="1" x14ac:dyDescent="0.35">
      <c r="A644" s="277"/>
      <c r="B644" s="277"/>
      <c r="C644" s="277"/>
      <c r="D644" s="59"/>
    </row>
    <row r="645" spans="1:6" ht="21" hidden="1" x14ac:dyDescent="0.35">
      <c r="A645" s="277"/>
      <c r="B645" s="277"/>
      <c r="C645" s="277"/>
      <c r="D645" s="59"/>
    </row>
    <row r="646" spans="1:6" ht="21" x14ac:dyDescent="0.35">
      <c r="A646" s="277"/>
      <c r="B646" s="277"/>
      <c r="C646" s="277"/>
      <c r="D646" s="59"/>
    </row>
    <row r="647" spans="1:6" ht="23.25" x14ac:dyDescent="0.25">
      <c r="A647" s="274" t="s">
        <v>160</v>
      </c>
      <c r="B647" s="274"/>
      <c r="C647" s="274"/>
      <c r="D647" s="165">
        <f>SUM(D642:D646)</f>
        <v>450000</v>
      </c>
    </row>
    <row r="648" spans="1:6" ht="26.25" x14ac:dyDescent="0.25">
      <c r="A648" s="274" t="s">
        <v>220</v>
      </c>
      <c r="B648" s="274"/>
      <c r="C648" s="274"/>
      <c r="D648" s="166">
        <f>D639-D647</f>
        <v>34658.375</v>
      </c>
    </row>
    <row r="649" spans="1:6" x14ac:dyDescent="0.25">
      <c r="F649" s="10">
        <f>D648+D617+Psychiatry!B44</f>
        <v>309772.625</v>
      </c>
    </row>
    <row r="653" spans="1:6" ht="26.25" x14ac:dyDescent="0.35">
      <c r="A653" s="281" t="s">
        <v>321</v>
      </c>
      <c r="B653" s="281"/>
      <c r="C653" s="281"/>
      <c r="D653" s="136"/>
    </row>
    <row r="654" spans="1:6" ht="21" x14ac:dyDescent="0.35">
      <c r="A654" s="282" t="s">
        <v>311</v>
      </c>
      <c r="B654" s="282"/>
      <c r="C654" s="282"/>
      <c r="D654" s="97">
        <v>542400</v>
      </c>
    </row>
    <row r="655" spans="1:6" ht="21" x14ac:dyDescent="0.35">
      <c r="A655" s="282" t="s">
        <v>315</v>
      </c>
      <c r="B655" s="282"/>
      <c r="C655" s="282"/>
      <c r="D655" s="97">
        <v>330406</v>
      </c>
    </row>
    <row r="656" spans="1:6" ht="21" x14ac:dyDescent="0.35">
      <c r="A656" s="282" t="s">
        <v>11</v>
      </c>
      <c r="B656" s="282" t="s">
        <v>3</v>
      </c>
      <c r="C656" s="282" t="s">
        <v>3</v>
      </c>
      <c r="D656" s="97"/>
    </row>
    <row r="657" spans="1:6" ht="21" x14ac:dyDescent="0.35">
      <c r="A657" s="283" t="s">
        <v>81</v>
      </c>
      <c r="B657" s="283"/>
      <c r="C657" s="283"/>
      <c r="D657" s="98"/>
    </row>
    <row r="658" spans="1:6" ht="21" x14ac:dyDescent="0.35">
      <c r="A658" s="284" t="s">
        <v>364</v>
      </c>
      <c r="B658" s="284"/>
      <c r="C658" s="284"/>
      <c r="D658" s="98">
        <v>5135263</v>
      </c>
    </row>
    <row r="659" spans="1:6" ht="21" x14ac:dyDescent="0.35">
      <c r="A659" s="284" t="s">
        <v>365</v>
      </c>
      <c r="B659" s="284"/>
      <c r="C659" s="284"/>
      <c r="D659" s="97">
        <v>22899</v>
      </c>
    </row>
    <row r="660" spans="1:6" ht="21" x14ac:dyDescent="0.35">
      <c r="A660" s="282"/>
      <c r="B660" s="282"/>
      <c r="C660" s="282"/>
      <c r="D660" s="97"/>
    </row>
    <row r="661" spans="1:6" ht="23.25" x14ac:dyDescent="0.35">
      <c r="A661" s="275" t="s">
        <v>82</v>
      </c>
      <c r="B661" s="275"/>
      <c r="C661" s="275"/>
      <c r="D661" s="167">
        <f>D659+D658+D655+D654</f>
        <v>6030968</v>
      </c>
    </row>
    <row r="662" spans="1:6" ht="21" x14ac:dyDescent="0.35">
      <c r="A662" s="275" t="s">
        <v>242</v>
      </c>
      <c r="B662" s="275"/>
      <c r="C662" s="275"/>
      <c r="D662" s="98">
        <f>79000+1237520</f>
        <v>1316520</v>
      </c>
    </row>
    <row r="663" spans="1:6" ht="21" x14ac:dyDescent="0.35">
      <c r="A663" s="275" t="s">
        <v>82</v>
      </c>
      <c r="B663" s="275"/>
      <c r="C663" s="275"/>
      <c r="D663" s="98">
        <f>D661-D662</f>
        <v>4714448</v>
      </c>
    </row>
    <row r="664" spans="1:6" ht="21" x14ac:dyDescent="0.35">
      <c r="A664" s="275" t="s">
        <v>37</v>
      </c>
      <c r="B664" s="275"/>
      <c r="C664" s="275"/>
      <c r="D664" s="97">
        <v>0</v>
      </c>
    </row>
    <row r="665" spans="1:6" ht="21" x14ac:dyDescent="0.35">
      <c r="A665" s="275" t="s">
        <v>47</v>
      </c>
      <c r="B665" s="275"/>
      <c r="C665" s="275"/>
      <c r="D665" s="52">
        <f>D661*5%</f>
        <v>301548.40000000002</v>
      </c>
      <c r="E665" s="7">
        <f>D663*5%</f>
        <v>235722.40000000002</v>
      </c>
    </row>
    <row r="666" spans="1:6" ht="21" x14ac:dyDescent="0.35">
      <c r="A666" s="275" t="s">
        <v>38</v>
      </c>
      <c r="B666" s="275"/>
      <c r="C666" s="275"/>
      <c r="D666" s="97">
        <f>D663*8%</f>
        <v>377155.84000000003</v>
      </c>
      <c r="F666" s="10">
        <f>D617+D648+D679</f>
        <v>1120191.27</v>
      </c>
    </row>
    <row r="667" spans="1:6" ht="21" x14ac:dyDescent="0.35">
      <c r="A667" s="275" t="s">
        <v>39</v>
      </c>
      <c r="B667" s="275"/>
      <c r="C667" s="275"/>
      <c r="D667" s="97">
        <f>D663*7.5%</f>
        <v>353583.6</v>
      </c>
      <c r="F667" s="10">
        <f>Psychiatry!B44+Psychiatry!B63+Psychiatry!B87+Psychiatry!B109</f>
        <v>64237.075000000128</v>
      </c>
    </row>
    <row r="668" spans="1:6" ht="21" x14ac:dyDescent="0.35">
      <c r="A668" s="275" t="s">
        <v>40</v>
      </c>
      <c r="B668" s="275"/>
      <c r="C668" s="275"/>
      <c r="D668" s="98">
        <f>D667+D666+D665</f>
        <v>1032287.84</v>
      </c>
      <c r="F668" s="10">
        <f>SUM(F666:F667)</f>
        <v>1184428.3450000002</v>
      </c>
    </row>
    <row r="669" spans="1:6" ht="23.25" x14ac:dyDescent="0.35">
      <c r="A669" s="275" t="s">
        <v>301</v>
      </c>
      <c r="B669" s="275"/>
      <c r="C669" s="275"/>
      <c r="D669" s="50">
        <f>D663-D668</f>
        <v>3682160.16</v>
      </c>
    </row>
    <row r="671" spans="1:6" ht="26.25" x14ac:dyDescent="0.25">
      <c r="A671" s="276" t="s">
        <v>94</v>
      </c>
      <c r="B671" s="276"/>
      <c r="C671" s="276"/>
      <c r="D671" s="276"/>
    </row>
    <row r="673" spans="1:6" ht="21" x14ac:dyDescent="0.35">
      <c r="A673" s="277" t="s">
        <v>325</v>
      </c>
      <c r="B673" s="277"/>
      <c r="C673" s="277"/>
      <c r="D673" s="47">
        <v>1000000</v>
      </c>
      <c r="E673" s="29"/>
      <c r="F673" s="185">
        <f>D669+D639+D605</f>
        <v>7492091.2699999996</v>
      </c>
    </row>
    <row r="674" spans="1:6" ht="21" x14ac:dyDescent="0.35">
      <c r="A674" s="277" t="s">
        <v>328</v>
      </c>
      <c r="B674" s="277"/>
      <c r="C674" s="277"/>
      <c r="D674" s="47">
        <v>1250000</v>
      </c>
      <c r="E674" s="7"/>
      <c r="F674" s="185">
        <f>Psychiatry!B33+Psychiatry!B56+Psychiatry!B76+Psychiatry!B100</f>
        <v>4838121.0750000002</v>
      </c>
    </row>
    <row r="675" spans="1:6" ht="21" x14ac:dyDescent="0.35">
      <c r="A675" s="278" t="s">
        <v>329</v>
      </c>
      <c r="B675" s="279"/>
      <c r="C675" s="280"/>
      <c r="D675" s="47">
        <f>40541+20270</f>
        <v>60811</v>
      </c>
      <c r="E675" s="7"/>
      <c r="F675" s="185">
        <f>SUM(F673:F674)</f>
        <v>12330212.344999999</v>
      </c>
    </row>
    <row r="676" spans="1:6" ht="21" x14ac:dyDescent="0.35">
      <c r="A676" s="277" t="s">
        <v>325</v>
      </c>
      <c r="B676" s="277"/>
      <c r="C676" s="277"/>
      <c r="D676" s="47">
        <v>500000</v>
      </c>
      <c r="E676" s="7"/>
      <c r="F676" s="185">
        <f>14852967+5000+D675+D613</f>
        <v>14963778</v>
      </c>
    </row>
    <row r="677" spans="1:6" ht="21" x14ac:dyDescent="0.35">
      <c r="A677" s="277"/>
      <c r="B677" s="277"/>
      <c r="C677" s="277"/>
      <c r="D677" s="59"/>
      <c r="E677" s="29"/>
      <c r="F677" s="10">
        <f>F675-F676</f>
        <v>-2633565.6550000012</v>
      </c>
    </row>
    <row r="678" spans="1:6" ht="23.25" x14ac:dyDescent="0.25">
      <c r="A678" s="274" t="s">
        <v>160</v>
      </c>
      <c r="B678" s="274"/>
      <c r="C678" s="274"/>
      <c r="D678" s="165">
        <f>SUM(D673:D677)</f>
        <v>2810811</v>
      </c>
      <c r="F678" s="10">
        <v>2500000</v>
      </c>
    </row>
    <row r="679" spans="1:6" ht="26.25" x14ac:dyDescent="0.25">
      <c r="A679" s="274" t="s">
        <v>220</v>
      </c>
      <c r="B679" s="274"/>
      <c r="C679" s="274"/>
      <c r="D679" s="182">
        <f>D669-D678</f>
        <v>871349.16000000015</v>
      </c>
      <c r="E679" s="29"/>
      <c r="F679" s="10">
        <f>F677+F678</f>
        <v>-133565.65500000119</v>
      </c>
    </row>
    <row r="683" spans="1:6" ht="23.25" x14ac:dyDescent="0.25">
      <c r="A683" s="273" t="s">
        <v>317</v>
      </c>
      <c r="B683" s="273"/>
      <c r="C683" s="273"/>
      <c r="D683" s="206">
        <f>D617</f>
        <v>214183.73499999987</v>
      </c>
    </row>
    <row r="684" spans="1:6" ht="23.25" x14ac:dyDescent="0.25">
      <c r="A684" s="273" t="s">
        <v>324</v>
      </c>
      <c r="B684" s="273"/>
      <c r="C684" s="273"/>
      <c r="D684" s="206">
        <f>D679</f>
        <v>871349.16000000015</v>
      </c>
    </row>
    <row r="685" spans="1:6" ht="23.25" x14ac:dyDescent="0.25">
      <c r="A685" s="273" t="s">
        <v>312</v>
      </c>
      <c r="B685" s="273"/>
      <c r="C685" s="273"/>
      <c r="D685" s="206">
        <v>34661</v>
      </c>
    </row>
    <row r="686" spans="1:6" ht="23.25" x14ac:dyDescent="0.25">
      <c r="A686" s="273" t="s">
        <v>284</v>
      </c>
      <c r="B686" s="273"/>
      <c r="C686" s="273"/>
      <c r="D686" s="206">
        <f>D685+D684+D683</f>
        <v>1120193.895</v>
      </c>
    </row>
    <row r="687" spans="1:6" ht="23.25" x14ac:dyDescent="0.25">
      <c r="A687" s="273" t="s">
        <v>355</v>
      </c>
      <c r="B687" s="273"/>
      <c r="C687" s="273"/>
      <c r="D687" s="206">
        <v>1063674</v>
      </c>
    </row>
    <row r="688" spans="1:6" ht="28.5" x14ac:dyDescent="0.25">
      <c r="A688" s="273" t="s">
        <v>220</v>
      </c>
      <c r="B688" s="273"/>
      <c r="C688" s="273"/>
      <c r="D688" s="207">
        <f>D686-D687</f>
        <v>56519.895000000019</v>
      </c>
    </row>
    <row r="690" spans="4:6" x14ac:dyDescent="0.25">
      <c r="D690" s="10">
        <v>21862</v>
      </c>
    </row>
    <row r="691" spans="4:6" x14ac:dyDescent="0.25">
      <c r="F691" s="10">
        <f>D690+D648</f>
        <v>56520.375</v>
      </c>
    </row>
  </sheetData>
  <mergeCells count="685">
    <mergeCell ref="A616:C616"/>
    <mergeCell ref="A617:C617"/>
    <mergeCell ref="A602:C602"/>
    <mergeCell ref="A603:C603"/>
    <mergeCell ref="A604:C604"/>
    <mergeCell ref="A605:C605"/>
    <mergeCell ref="A607:D607"/>
    <mergeCell ref="A608:C608"/>
    <mergeCell ref="A612:C612"/>
    <mergeCell ref="A615:C615"/>
    <mergeCell ref="A609:C609"/>
    <mergeCell ref="A614:C614"/>
    <mergeCell ref="A613:C613"/>
    <mergeCell ref="A610:C610"/>
    <mergeCell ref="A611:C611"/>
    <mergeCell ref="A595:C595"/>
    <mergeCell ref="A596:C596"/>
    <mergeCell ref="A597:C597"/>
    <mergeCell ref="A598:C598"/>
    <mergeCell ref="A599:C599"/>
    <mergeCell ref="A600:C600"/>
    <mergeCell ref="A601:C601"/>
    <mergeCell ref="A586:C586"/>
    <mergeCell ref="A587:C587"/>
    <mergeCell ref="A588:C588"/>
    <mergeCell ref="A589:C589"/>
    <mergeCell ref="A590:C590"/>
    <mergeCell ref="A591:C591"/>
    <mergeCell ref="A592:C592"/>
    <mergeCell ref="A593:C593"/>
    <mergeCell ref="A594:C594"/>
    <mergeCell ref="F486:H486"/>
    <mergeCell ref="F487:H487"/>
    <mergeCell ref="F492:H492"/>
    <mergeCell ref="F494:H494"/>
    <mergeCell ref="F495:H495"/>
    <mergeCell ref="F497:H497"/>
    <mergeCell ref="F498:H498"/>
    <mergeCell ref="A496:C496"/>
    <mergeCell ref="A493:C493"/>
    <mergeCell ref="F488:H488"/>
    <mergeCell ref="F489:H489"/>
    <mergeCell ref="F496:H496"/>
    <mergeCell ref="F490:H490"/>
    <mergeCell ref="A497:C497"/>
    <mergeCell ref="A498:C498"/>
    <mergeCell ref="A495:C495"/>
    <mergeCell ref="A481:C481"/>
    <mergeCell ref="A482:C482"/>
    <mergeCell ref="A483:C483"/>
    <mergeCell ref="A484:C484"/>
    <mergeCell ref="A485:C485"/>
    <mergeCell ref="A487:C487"/>
    <mergeCell ref="A488:C488"/>
    <mergeCell ref="A486:D486"/>
    <mergeCell ref="A494:C494"/>
    <mergeCell ref="A490:D491"/>
    <mergeCell ref="A492:C492"/>
    <mergeCell ref="A464:C464"/>
    <mergeCell ref="A465:C465"/>
    <mergeCell ref="A466:C466"/>
    <mergeCell ref="A467:C467"/>
    <mergeCell ref="A468:C468"/>
    <mergeCell ref="A469:C469"/>
    <mergeCell ref="A470:C470"/>
    <mergeCell ref="A471:C471"/>
    <mergeCell ref="A472:C472"/>
    <mergeCell ref="A450:C450"/>
    <mergeCell ref="A449:C449"/>
    <mergeCell ref="A448:C448"/>
    <mergeCell ref="A447:C447"/>
    <mergeCell ref="A446:C446"/>
    <mergeCell ref="A451:C451"/>
    <mergeCell ref="A452:C452"/>
    <mergeCell ref="A453:C453"/>
    <mergeCell ref="F453:H453"/>
    <mergeCell ref="F454:H454"/>
    <mergeCell ref="F436:H436"/>
    <mergeCell ref="F437:H437"/>
    <mergeCell ref="F438:H438"/>
    <mergeCell ref="A445:C445"/>
    <mergeCell ref="A443:D443"/>
    <mergeCell ref="A444:C444"/>
    <mergeCell ref="A440:C440"/>
    <mergeCell ref="A438:C438"/>
    <mergeCell ref="A439:C439"/>
    <mergeCell ref="A441:C441"/>
    <mergeCell ref="A437:C437"/>
    <mergeCell ref="F439:H439"/>
    <mergeCell ref="F440:H440"/>
    <mergeCell ref="F441:H441"/>
    <mergeCell ref="F444:I444"/>
    <mergeCell ref="F445:H445"/>
    <mergeCell ref="F446:H446"/>
    <mergeCell ref="F447:H447"/>
    <mergeCell ref="F448:H448"/>
    <mergeCell ref="F449:H449"/>
    <mergeCell ref="F450:H450"/>
    <mergeCell ref="F451:H451"/>
    <mergeCell ref="F452:H452"/>
    <mergeCell ref="F418:H418"/>
    <mergeCell ref="F419:H419"/>
    <mergeCell ref="F420:H420"/>
    <mergeCell ref="F421:H421"/>
    <mergeCell ref="F422:H422"/>
    <mergeCell ref="F423:H423"/>
    <mergeCell ref="F424:H424"/>
    <mergeCell ref="F425:H425"/>
    <mergeCell ref="F426:H426"/>
    <mergeCell ref="A372:C372"/>
    <mergeCell ref="A373:C373"/>
    <mergeCell ref="A374:C374"/>
    <mergeCell ref="A375:C375"/>
    <mergeCell ref="A376:C376"/>
    <mergeCell ref="A377:C377"/>
    <mergeCell ref="F427:H427"/>
    <mergeCell ref="F428:H428"/>
    <mergeCell ref="F429:H429"/>
    <mergeCell ref="A381:C381"/>
    <mergeCell ref="A382:C382"/>
    <mergeCell ref="A383:C383"/>
    <mergeCell ref="A384:C384"/>
    <mergeCell ref="A385:C385"/>
    <mergeCell ref="A386:C386"/>
    <mergeCell ref="A387:C387"/>
    <mergeCell ref="A388:C388"/>
    <mergeCell ref="A391:D391"/>
    <mergeCell ref="A390:C390"/>
    <mergeCell ref="A389:C389"/>
    <mergeCell ref="A413:C413"/>
    <mergeCell ref="E392:F392"/>
    <mergeCell ref="A397:C397"/>
    <mergeCell ref="A398:C398"/>
    <mergeCell ref="A347:C347"/>
    <mergeCell ref="A348:C348"/>
    <mergeCell ref="A378:C378"/>
    <mergeCell ref="A379:C379"/>
    <mergeCell ref="A380:C380"/>
    <mergeCell ref="A349:C349"/>
    <mergeCell ref="A350:C350"/>
    <mergeCell ref="A352:D352"/>
    <mergeCell ref="A353:C353"/>
    <mergeCell ref="A354:C354"/>
    <mergeCell ref="A355:C355"/>
    <mergeCell ref="A356:C356"/>
    <mergeCell ref="A357:C357"/>
    <mergeCell ref="A358:C358"/>
    <mergeCell ref="A359:C359"/>
    <mergeCell ref="A360:C360"/>
    <mergeCell ref="A361:C361"/>
    <mergeCell ref="A365:C365"/>
    <mergeCell ref="A362:C362"/>
    <mergeCell ref="A363:C363"/>
    <mergeCell ref="A364:C364"/>
    <mergeCell ref="A369:C369"/>
    <mergeCell ref="A370:C370"/>
    <mergeCell ref="A371:C371"/>
    <mergeCell ref="A338:C338"/>
    <mergeCell ref="A339:C339"/>
    <mergeCell ref="A340:C340"/>
    <mergeCell ref="A341:C341"/>
    <mergeCell ref="A342:C342"/>
    <mergeCell ref="A343:C343"/>
    <mergeCell ref="A344:C344"/>
    <mergeCell ref="A345:C345"/>
    <mergeCell ref="A346:C346"/>
    <mergeCell ref="A261:C261"/>
    <mergeCell ref="A262:C262"/>
    <mergeCell ref="A331:C331"/>
    <mergeCell ref="A332:C332"/>
    <mergeCell ref="A333:C333"/>
    <mergeCell ref="A334:C334"/>
    <mergeCell ref="A335:C335"/>
    <mergeCell ref="A336:C336"/>
    <mergeCell ref="A337:C337"/>
    <mergeCell ref="A288:C288"/>
    <mergeCell ref="A289:C289"/>
    <mergeCell ref="A290:C290"/>
    <mergeCell ref="A311:C311"/>
    <mergeCell ref="A305:C305"/>
    <mergeCell ref="A306:C306"/>
    <mergeCell ref="A307:C307"/>
    <mergeCell ref="A297:C297"/>
    <mergeCell ref="A298:C298"/>
    <mergeCell ref="A299:C299"/>
    <mergeCell ref="A309:C309"/>
    <mergeCell ref="A310:C310"/>
    <mergeCell ref="A312:C312"/>
    <mergeCell ref="A327:C327"/>
    <mergeCell ref="A321:C321"/>
    <mergeCell ref="F10:H10"/>
    <mergeCell ref="F12:H12"/>
    <mergeCell ref="F14:H14"/>
    <mergeCell ref="A275:C275"/>
    <mergeCell ref="A300:C300"/>
    <mergeCell ref="A301:C301"/>
    <mergeCell ref="A302:C302"/>
    <mergeCell ref="A303:C303"/>
    <mergeCell ref="A304:C304"/>
    <mergeCell ref="A281:C281"/>
    <mergeCell ref="A282:C282"/>
    <mergeCell ref="A283:C283"/>
    <mergeCell ref="A284:C284"/>
    <mergeCell ref="A285:C285"/>
    <mergeCell ref="A268:C268"/>
    <mergeCell ref="A269:C269"/>
    <mergeCell ref="A270:C270"/>
    <mergeCell ref="A259:C259"/>
    <mergeCell ref="A291:C291"/>
    <mergeCell ref="A292:C292"/>
    <mergeCell ref="A293:C293"/>
    <mergeCell ref="A294:C294"/>
    <mergeCell ref="A295:C295"/>
    <mergeCell ref="A296:C296"/>
    <mergeCell ref="A17:C17"/>
    <mergeCell ref="A26:C26"/>
    <mergeCell ref="A27:C27"/>
    <mergeCell ref="A28:C28"/>
    <mergeCell ref="A12:C12"/>
    <mergeCell ref="A13:C13"/>
    <mergeCell ref="A14:C14"/>
    <mergeCell ref="A15:C15"/>
    <mergeCell ref="A16:C16"/>
    <mergeCell ref="A108:C108"/>
    <mergeCell ref="A109:C109"/>
    <mergeCell ref="A103:C103"/>
    <mergeCell ref="A104:C104"/>
    <mergeCell ref="A105:C105"/>
    <mergeCell ref="A106:C106"/>
    <mergeCell ref="A107:C107"/>
    <mergeCell ref="A61:C61"/>
    <mergeCell ref="A99:C99"/>
    <mergeCell ref="A100:C100"/>
    <mergeCell ref="A101:C101"/>
    <mergeCell ref="A68:C68"/>
    <mergeCell ref="A69:C69"/>
    <mergeCell ref="A89:C89"/>
    <mergeCell ref="A97:C97"/>
    <mergeCell ref="A98:C98"/>
    <mergeCell ref="A80:C80"/>
    <mergeCell ref="A81:C81"/>
    <mergeCell ref="A82:C82"/>
    <mergeCell ref="A83:C83"/>
    <mergeCell ref="A84:C84"/>
    <mergeCell ref="A62:C62"/>
    <mergeCell ref="A63:C63"/>
    <mergeCell ref="A64:C64"/>
    <mergeCell ref="A65:C65"/>
    <mergeCell ref="A66:C66"/>
    <mergeCell ref="A86:C86"/>
    <mergeCell ref="A87:C87"/>
    <mergeCell ref="A88:C88"/>
    <mergeCell ref="A85:C85"/>
    <mergeCell ref="A67:C67"/>
    <mergeCell ref="A70:C70"/>
    <mergeCell ref="A77:C77"/>
    <mergeCell ref="A78:C78"/>
    <mergeCell ref="A79:C79"/>
    <mergeCell ref="A50:C50"/>
    <mergeCell ref="A52:C52"/>
    <mergeCell ref="A53:C53"/>
    <mergeCell ref="A54:C54"/>
    <mergeCell ref="A51:C51"/>
    <mergeCell ref="A39:C39"/>
    <mergeCell ref="A46:C46"/>
    <mergeCell ref="A47:C47"/>
    <mergeCell ref="A48:C48"/>
    <mergeCell ref="A49:C49"/>
    <mergeCell ref="A33:C33"/>
    <mergeCell ref="A34:C34"/>
    <mergeCell ref="A38:C38"/>
    <mergeCell ref="A22:C22"/>
    <mergeCell ref="A23:C23"/>
    <mergeCell ref="A24:C24"/>
    <mergeCell ref="A25:C25"/>
    <mergeCell ref="A31:C31"/>
    <mergeCell ref="A29:C29"/>
    <mergeCell ref="A30:C30"/>
    <mergeCell ref="A102:C102"/>
    <mergeCell ref="A1:D1"/>
    <mergeCell ref="A2:D2"/>
    <mergeCell ref="A4:D4"/>
    <mergeCell ref="A5:D5"/>
    <mergeCell ref="A6:C6"/>
    <mergeCell ref="A7:C7"/>
    <mergeCell ref="A20:C20"/>
    <mergeCell ref="A21:C21"/>
    <mergeCell ref="A11:C11"/>
    <mergeCell ref="A18:C18"/>
    <mergeCell ref="A19:C19"/>
    <mergeCell ref="A10:C10"/>
    <mergeCell ref="A9:C9"/>
    <mergeCell ref="A8:C8"/>
    <mergeCell ref="A37:C37"/>
    <mergeCell ref="A71:C71"/>
    <mergeCell ref="A72:C72"/>
    <mergeCell ref="A73:C73"/>
    <mergeCell ref="A74:C74"/>
    <mergeCell ref="A75:C75"/>
    <mergeCell ref="A76:C76"/>
    <mergeCell ref="A55:C55"/>
    <mergeCell ref="A56:C56"/>
    <mergeCell ref="A118:C118"/>
    <mergeCell ref="A119:C119"/>
    <mergeCell ref="A120:C120"/>
    <mergeCell ref="A121:C121"/>
    <mergeCell ref="A122:C122"/>
    <mergeCell ref="A123:C123"/>
    <mergeCell ref="A124:C124"/>
    <mergeCell ref="A125:C125"/>
    <mergeCell ref="A126:C126"/>
    <mergeCell ref="A127:C127"/>
    <mergeCell ref="A128:C128"/>
    <mergeCell ref="A129:C129"/>
    <mergeCell ref="A130:C130"/>
    <mergeCell ref="A145:C145"/>
    <mergeCell ref="A152:C152"/>
    <mergeCell ref="A153:C153"/>
    <mergeCell ref="A149:C149"/>
    <mergeCell ref="A150:C150"/>
    <mergeCell ref="A151:C151"/>
    <mergeCell ref="A143:C143"/>
    <mergeCell ref="A144:C144"/>
    <mergeCell ref="A146:C146"/>
    <mergeCell ref="A147:C147"/>
    <mergeCell ref="A148:C148"/>
    <mergeCell ref="A138:C138"/>
    <mergeCell ref="A139:C139"/>
    <mergeCell ref="A140:C140"/>
    <mergeCell ref="A141:C141"/>
    <mergeCell ref="A142:C142"/>
    <mergeCell ref="A154:C154"/>
    <mergeCell ref="A155:C155"/>
    <mergeCell ref="A156:C156"/>
    <mergeCell ref="A157:C157"/>
    <mergeCell ref="A131:C131"/>
    <mergeCell ref="A132:C132"/>
    <mergeCell ref="A133:C133"/>
    <mergeCell ref="A134:C134"/>
    <mergeCell ref="A135:C135"/>
    <mergeCell ref="A136:C136"/>
    <mergeCell ref="A159:C159"/>
    <mergeCell ref="A158:C158"/>
    <mergeCell ref="A57:C57"/>
    <mergeCell ref="A58:C58"/>
    <mergeCell ref="A59:C59"/>
    <mergeCell ref="A60:C60"/>
    <mergeCell ref="A40:C40"/>
    <mergeCell ref="A41:C41"/>
    <mergeCell ref="A42:C42"/>
    <mergeCell ref="A43:C43"/>
    <mergeCell ref="A44:C44"/>
    <mergeCell ref="A45:C45"/>
    <mergeCell ref="A110:C110"/>
    <mergeCell ref="A111:C111"/>
    <mergeCell ref="A112:C112"/>
    <mergeCell ref="A113:C113"/>
    <mergeCell ref="A114:C114"/>
    <mergeCell ref="A115:C115"/>
    <mergeCell ref="A90:C90"/>
    <mergeCell ref="A91:C91"/>
    <mergeCell ref="A92:C92"/>
    <mergeCell ref="A93:C93"/>
    <mergeCell ref="A94:C94"/>
    <mergeCell ref="A95:C95"/>
    <mergeCell ref="A162:C162"/>
    <mergeCell ref="A163:C163"/>
    <mergeCell ref="A164:C164"/>
    <mergeCell ref="A165:C165"/>
    <mergeCell ref="A166:C166"/>
    <mergeCell ref="A167:C167"/>
    <mergeCell ref="A168:C168"/>
    <mergeCell ref="A169:C169"/>
    <mergeCell ref="A170:C170"/>
    <mergeCell ref="A181:C181"/>
    <mergeCell ref="A182:C182"/>
    <mergeCell ref="A171:C171"/>
    <mergeCell ref="A172:C172"/>
    <mergeCell ref="A173:C173"/>
    <mergeCell ref="A174:C174"/>
    <mergeCell ref="A175:C175"/>
    <mergeCell ref="A177:C177"/>
    <mergeCell ref="A178:C178"/>
    <mergeCell ref="A180:C180"/>
    <mergeCell ref="A176:C176"/>
    <mergeCell ref="A179:C179"/>
    <mergeCell ref="A184:C184"/>
    <mergeCell ref="A185:C185"/>
    <mergeCell ref="A186:C186"/>
    <mergeCell ref="A187:C187"/>
    <mergeCell ref="A188:C188"/>
    <mergeCell ref="A189:C189"/>
    <mergeCell ref="A190:C190"/>
    <mergeCell ref="A191:C191"/>
    <mergeCell ref="A192:C192"/>
    <mergeCell ref="A193:C193"/>
    <mergeCell ref="A194:C194"/>
    <mergeCell ref="A195:C195"/>
    <mergeCell ref="A196:C196"/>
    <mergeCell ref="A197:C197"/>
    <mergeCell ref="A198:C198"/>
    <mergeCell ref="A199:C199"/>
    <mergeCell ref="A200:C200"/>
    <mergeCell ref="A201:C201"/>
    <mergeCell ref="A202:C202"/>
    <mergeCell ref="A203:C203"/>
    <mergeCell ref="A204:C204"/>
    <mergeCell ref="A206:C206"/>
    <mergeCell ref="A207:C207"/>
    <mergeCell ref="A208:C208"/>
    <mergeCell ref="A209:C209"/>
    <mergeCell ref="A210:C210"/>
    <mergeCell ref="A211:C211"/>
    <mergeCell ref="A221:C221"/>
    <mergeCell ref="A222:C222"/>
    <mergeCell ref="A223:C223"/>
    <mergeCell ref="A224:C224"/>
    <mergeCell ref="A225:C225"/>
    <mergeCell ref="A226:C226"/>
    <mergeCell ref="A212:C212"/>
    <mergeCell ref="A213:C213"/>
    <mergeCell ref="A214:C214"/>
    <mergeCell ref="A215:C215"/>
    <mergeCell ref="A216:C216"/>
    <mergeCell ref="A217:C217"/>
    <mergeCell ref="A218:C218"/>
    <mergeCell ref="A219:C219"/>
    <mergeCell ref="A220:C220"/>
    <mergeCell ref="A237:C237"/>
    <mergeCell ref="A238:C238"/>
    <mergeCell ref="A239:C239"/>
    <mergeCell ref="A240:C240"/>
    <mergeCell ref="A241:C241"/>
    <mergeCell ref="A242:C242"/>
    <mergeCell ref="A243:C243"/>
    <mergeCell ref="A244:C244"/>
    <mergeCell ref="A245:C245"/>
    <mergeCell ref="A228:C228"/>
    <mergeCell ref="A229:C229"/>
    <mergeCell ref="A230:C230"/>
    <mergeCell ref="A231:C231"/>
    <mergeCell ref="A232:C232"/>
    <mergeCell ref="A233:C233"/>
    <mergeCell ref="A234:C234"/>
    <mergeCell ref="A235:C235"/>
    <mergeCell ref="A236:C236"/>
    <mergeCell ref="A246:C246"/>
    <mergeCell ref="A247:C247"/>
    <mergeCell ref="A271:C271"/>
    <mergeCell ref="A274:C274"/>
    <mergeCell ref="A276:C276"/>
    <mergeCell ref="A280:C280"/>
    <mergeCell ref="A277:C277"/>
    <mergeCell ref="A278:C278"/>
    <mergeCell ref="A279:C279"/>
    <mergeCell ref="A250:C250"/>
    <mergeCell ref="A251:C251"/>
    <mergeCell ref="A252:C252"/>
    <mergeCell ref="A253:C253"/>
    <mergeCell ref="A254:C254"/>
    <mergeCell ref="A255:C255"/>
    <mergeCell ref="A256:C256"/>
    <mergeCell ref="A257:C257"/>
    <mergeCell ref="A258:C258"/>
    <mergeCell ref="A263:C263"/>
    <mergeCell ref="A264:C264"/>
    <mergeCell ref="A265:C265"/>
    <mergeCell ref="A266:C266"/>
    <mergeCell ref="A267:C267"/>
    <mergeCell ref="A260:C260"/>
    <mergeCell ref="A322:C322"/>
    <mergeCell ref="A326:C326"/>
    <mergeCell ref="A314:D314"/>
    <mergeCell ref="A315:C315"/>
    <mergeCell ref="A316:C316"/>
    <mergeCell ref="A317:C317"/>
    <mergeCell ref="A318:C318"/>
    <mergeCell ref="A319:C319"/>
    <mergeCell ref="A320:C320"/>
    <mergeCell ref="A324:C324"/>
    <mergeCell ref="A325:C325"/>
    <mergeCell ref="A323:C323"/>
    <mergeCell ref="A407:C407"/>
    <mergeCell ref="A402:C402"/>
    <mergeCell ref="A414:C414"/>
    <mergeCell ref="A403:C403"/>
    <mergeCell ref="A408:C408"/>
    <mergeCell ref="A409:C409"/>
    <mergeCell ref="A410:C410"/>
    <mergeCell ref="A411:C411"/>
    <mergeCell ref="A412:C412"/>
    <mergeCell ref="A392:C392"/>
    <mergeCell ref="A393:C393"/>
    <mergeCell ref="A394:C394"/>
    <mergeCell ref="A406:C406"/>
    <mergeCell ref="A395:C395"/>
    <mergeCell ref="A396:C396"/>
    <mergeCell ref="A399:C399"/>
    <mergeCell ref="A400:C400"/>
    <mergeCell ref="A401:C401"/>
    <mergeCell ref="A405:C405"/>
    <mergeCell ref="A404:C404"/>
    <mergeCell ref="A418:C418"/>
    <mergeCell ref="A419:C419"/>
    <mergeCell ref="A420:C420"/>
    <mergeCell ref="A421:C421"/>
    <mergeCell ref="A422:C422"/>
    <mergeCell ref="A423:C423"/>
    <mergeCell ref="A424:C424"/>
    <mergeCell ref="A425:C425"/>
    <mergeCell ref="A426:C426"/>
    <mergeCell ref="A427:C427"/>
    <mergeCell ref="A428:C428"/>
    <mergeCell ref="A432:C432"/>
    <mergeCell ref="A435:C435"/>
    <mergeCell ref="A436:C436"/>
    <mergeCell ref="A429:C429"/>
    <mergeCell ref="A430:C430"/>
    <mergeCell ref="A431:C431"/>
    <mergeCell ref="F430:H430"/>
    <mergeCell ref="F431:H431"/>
    <mergeCell ref="F432:H432"/>
    <mergeCell ref="F433:H433"/>
    <mergeCell ref="F434:H434"/>
    <mergeCell ref="F435:H435"/>
    <mergeCell ref="A434:C434"/>
    <mergeCell ref="A433:C433"/>
    <mergeCell ref="F455:H455"/>
    <mergeCell ref="F457:H457"/>
    <mergeCell ref="F458:H458"/>
    <mergeCell ref="A501:C501"/>
    <mergeCell ref="A502:C502"/>
    <mergeCell ref="A503:C503"/>
    <mergeCell ref="A504:C504"/>
    <mergeCell ref="A505:C505"/>
    <mergeCell ref="A455:C455"/>
    <mergeCell ref="A456:C456"/>
    <mergeCell ref="A457:C457"/>
    <mergeCell ref="A458:C458"/>
    <mergeCell ref="A459:C459"/>
    <mergeCell ref="A460:C460"/>
    <mergeCell ref="A461:C461"/>
    <mergeCell ref="A462:C462"/>
    <mergeCell ref="A463:C463"/>
    <mergeCell ref="A473:C473"/>
    <mergeCell ref="A474:C474"/>
    <mergeCell ref="A476:D476"/>
    <mergeCell ref="A477:C477"/>
    <mergeCell ref="A478:C478"/>
    <mergeCell ref="A479:C479"/>
    <mergeCell ref="A480:C480"/>
    <mergeCell ref="A506:C506"/>
    <mergeCell ref="A507:C507"/>
    <mergeCell ref="A508:C508"/>
    <mergeCell ref="A509:C509"/>
    <mergeCell ref="A510:C510"/>
    <mergeCell ref="A511:C511"/>
    <mergeCell ref="A512:C512"/>
    <mergeCell ref="A513:C513"/>
    <mergeCell ref="A514:C514"/>
    <mergeCell ref="A515:C515"/>
    <mergeCell ref="A516:C516"/>
    <mergeCell ref="A540:C540"/>
    <mergeCell ref="A541:C541"/>
    <mergeCell ref="A548:C548"/>
    <mergeCell ref="A526:C526"/>
    <mergeCell ref="A527:C527"/>
    <mergeCell ref="A528:C528"/>
    <mergeCell ref="A529:C529"/>
    <mergeCell ref="A530:C530"/>
    <mergeCell ref="A531:C531"/>
    <mergeCell ref="A537:C537"/>
    <mergeCell ref="A538:C538"/>
    <mergeCell ref="A539:C539"/>
    <mergeCell ref="A542:C542"/>
    <mergeCell ref="A543:C543"/>
    <mergeCell ref="A544:C544"/>
    <mergeCell ref="A545:C545"/>
    <mergeCell ref="A546:C546"/>
    <mergeCell ref="A547:C547"/>
    <mergeCell ref="A517:C517"/>
    <mergeCell ref="A518:C518"/>
    <mergeCell ref="A519:C519"/>
    <mergeCell ref="A520:C520"/>
    <mergeCell ref="A521:C521"/>
    <mergeCell ref="A522:C522"/>
    <mergeCell ref="A524:D524"/>
    <mergeCell ref="A525:C525"/>
    <mergeCell ref="A532:C532"/>
    <mergeCell ref="A533:C533"/>
    <mergeCell ref="A534:C534"/>
    <mergeCell ref="A535:C535"/>
    <mergeCell ref="A536:C536"/>
    <mergeCell ref="A556:C556"/>
    <mergeCell ref="A557:C557"/>
    <mergeCell ref="A558:C558"/>
    <mergeCell ref="A559:C559"/>
    <mergeCell ref="A560:C560"/>
    <mergeCell ref="A561:C561"/>
    <mergeCell ref="A549:D549"/>
    <mergeCell ref="A550:C550"/>
    <mergeCell ref="A551:C551"/>
    <mergeCell ref="A581:C581"/>
    <mergeCell ref="A582:C582"/>
    <mergeCell ref="A580:C580"/>
    <mergeCell ref="F493:I493"/>
    <mergeCell ref="A583:C583"/>
    <mergeCell ref="A579:C579"/>
    <mergeCell ref="A571:C571"/>
    <mergeCell ref="A572:C572"/>
    <mergeCell ref="A573:C573"/>
    <mergeCell ref="A574:C574"/>
    <mergeCell ref="A578:C578"/>
    <mergeCell ref="A562:C562"/>
    <mergeCell ref="A563:C563"/>
    <mergeCell ref="A564:C564"/>
    <mergeCell ref="A565:C565"/>
    <mergeCell ref="A566:C566"/>
    <mergeCell ref="A567:C567"/>
    <mergeCell ref="A568:C568"/>
    <mergeCell ref="A569:C569"/>
    <mergeCell ref="A570:C570"/>
    <mergeCell ref="A575:C575"/>
    <mergeCell ref="A577:D577"/>
    <mergeCell ref="A554:C554"/>
    <mergeCell ref="A555:C555"/>
    <mergeCell ref="A620:C620"/>
    <mergeCell ref="A621:C621"/>
    <mergeCell ref="A622:C622"/>
    <mergeCell ref="A623:C623"/>
    <mergeCell ref="A624:C624"/>
    <mergeCell ref="A625:C625"/>
    <mergeCell ref="A626:C626"/>
    <mergeCell ref="A627:C627"/>
    <mergeCell ref="A628:C628"/>
    <mergeCell ref="A629:C629"/>
    <mergeCell ref="A630:C630"/>
    <mergeCell ref="A631:C631"/>
    <mergeCell ref="A632:C632"/>
    <mergeCell ref="A633:C633"/>
    <mergeCell ref="A634:C634"/>
    <mergeCell ref="A635:C635"/>
    <mergeCell ref="A636:C636"/>
    <mergeCell ref="A637:C637"/>
    <mergeCell ref="A659:C659"/>
    <mergeCell ref="A660:C660"/>
    <mergeCell ref="A661:C661"/>
    <mergeCell ref="A662:C662"/>
    <mergeCell ref="A663:C663"/>
    <mergeCell ref="A664:C664"/>
    <mergeCell ref="A665:C665"/>
    <mergeCell ref="A666:C666"/>
    <mergeCell ref="A667:C667"/>
    <mergeCell ref="A653:C653"/>
    <mergeCell ref="A654:C654"/>
    <mergeCell ref="A655:C655"/>
    <mergeCell ref="A656:C656"/>
    <mergeCell ref="A657:C657"/>
    <mergeCell ref="A658:C658"/>
    <mergeCell ref="A648:C648"/>
    <mergeCell ref="A638:C638"/>
    <mergeCell ref="A639:C639"/>
    <mergeCell ref="A641:D641"/>
    <mergeCell ref="A642:C642"/>
    <mergeCell ref="A643:C643"/>
    <mergeCell ref="A644:C644"/>
    <mergeCell ref="A645:C645"/>
    <mergeCell ref="A646:C646"/>
    <mergeCell ref="A647:C647"/>
    <mergeCell ref="A683:C683"/>
    <mergeCell ref="A684:C684"/>
    <mergeCell ref="A685:C685"/>
    <mergeCell ref="A686:C686"/>
    <mergeCell ref="A687:C687"/>
    <mergeCell ref="A688:C688"/>
    <mergeCell ref="A679:C679"/>
    <mergeCell ref="A668:C668"/>
    <mergeCell ref="A669:C669"/>
    <mergeCell ref="A671:D671"/>
    <mergeCell ref="A673:C673"/>
    <mergeCell ref="A676:C676"/>
    <mergeCell ref="A677:C677"/>
    <mergeCell ref="A678:C678"/>
    <mergeCell ref="A674:C674"/>
    <mergeCell ref="A675:C675"/>
  </mergeCells>
  <hyperlinks>
    <hyperlink ref="A274:C274" location="'detail of ipc 43'!A1" display="Payment received (this payment given to bilal bhai he used this cash is office for misc click on it for  details" xr:uid="{00000000-0004-0000-0200-000000000000}"/>
  </hyperlinks>
  <printOptions horizontalCentered="1"/>
  <pageMargins left="0.2" right="0" top="0" bottom="0" header="0.3" footer="0.3"/>
  <pageSetup paperSize="9" scale="71" orientation="portrait" r:id="rId1"/>
  <rowBreaks count="4" manualBreakCount="4">
    <brk id="76" max="3" man="1"/>
    <brk id="116" max="3" man="1"/>
    <brk id="328" max="3" man="1"/>
    <brk id="417" max="16383" man="1"/>
  </rowBreaks>
  <colBreaks count="1" manualBreakCount="1">
    <brk id="4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72"/>
  <sheetViews>
    <sheetView tabSelected="1" view="pageBreakPreview" topLeftCell="A148" zoomScale="90" zoomScaleNormal="80" zoomScaleSheetLayoutView="90" workbookViewId="0">
      <selection activeCell="E168" sqref="E168"/>
    </sheetView>
  </sheetViews>
  <sheetFormatPr defaultRowHeight="15" x14ac:dyDescent="0.25"/>
  <cols>
    <col min="1" max="1" width="73.140625" customWidth="1"/>
    <col min="2" max="2" width="31.28515625" customWidth="1"/>
    <col min="3" max="3" width="14.5703125" customWidth="1"/>
    <col min="4" max="4" width="16.140625" bestFit="1" customWidth="1"/>
    <col min="5" max="5" width="23.28515625" customWidth="1"/>
    <col min="6" max="6" width="25.42578125" customWidth="1"/>
    <col min="7" max="7" width="27.42578125" style="49" customWidth="1"/>
    <col min="8" max="8" width="20.42578125" customWidth="1"/>
    <col min="10" max="10" width="14.5703125" customWidth="1"/>
    <col min="11" max="11" width="13.28515625" customWidth="1"/>
    <col min="12" max="12" width="11.42578125" customWidth="1"/>
    <col min="13" max="13" width="12.5703125" customWidth="1"/>
  </cols>
  <sheetData>
    <row r="1" spans="1:6" ht="65.25" customHeight="1" x14ac:dyDescent="0.25">
      <c r="A1" s="351" t="s">
        <v>334</v>
      </c>
      <c r="B1" s="351"/>
    </row>
    <row r="2" spans="1:6" ht="28.5" x14ac:dyDescent="0.25">
      <c r="A2" s="181" t="s">
        <v>346</v>
      </c>
      <c r="B2" s="179">
        <f>B25+B48+B68+B92+B115+B143</f>
        <v>28700054</v>
      </c>
    </row>
    <row r="3" spans="1:6" ht="28.5" x14ac:dyDescent="0.25">
      <c r="A3" s="181" t="s">
        <v>242</v>
      </c>
      <c r="B3" s="179">
        <f>B26+B49+B69+B93+B116+B144</f>
        <v>14941094</v>
      </c>
      <c r="E3">
        <v>736270</v>
      </c>
    </row>
    <row r="4" spans="1:6" ht="28.5" x14ac:dyDescent="0.25">
      <c r="A4" s="181" t="s">
        <v>335</v>
      </c>
      <c r="B4" s="179">
        <f>B2-B3</f>
        <v>13758960</v>
      </c>
      <c r="E4">
        <f>E3*2</f>
        <v>1472540</v>
      </c>
    </row>
    <row r="5" spans="1:6" ht="28.5" x14ac:dyDescent="0.25">
      <c r="A5" s="352"/>
      <c r="B5" s="353"/>
    </row>
    <row r="6" spans="1:6" ht="28.5" x14ac:dyDescent="0.25">
      <c r="A6" s="180" t="s">
        <v>336</v>
      </c>
      <c r="B6" s="179"/>
      <c r="F6" s="270"/>
    </row>
    <row r="7" spans="1:6" ht="28.5" x14ac:dyDescent="0.25">
      <c r="A7" s="181" t="s">
        <v>379</v>
      </c>
      <c r="B7" s="179">
        <f>B19</f>
        <v>4300000</v>
      </c>
    </row>
    <row r="8" spans="1:6" ht="28.5" x14ac:dyDescent="0.25">
      <c r="A8" s="181" t="s">
        <v>337</v>
      </c>
      <c r="B8" s="179">
        <v>1472540</v>
      </c>
      <c r="C8" s="48"/>
      <c r="D8" s="271">
        <v>1435002.7000000002</v>
      </c>
      <c r="E8" s="270"/>
      <c r="F8" s="270"/>
    </row>
    <row r="9" spans="1:6" ht="28.5" x14ac:dyDescent="0.25">
      <c r="A9" s="181" t="s">
        <v>338</v>
      </c>
      <c r="B9" s="179">
        <f>B4*7.5%</f>
        <v>1031922</v>
      </c>
      <c r="C9" s="272">
        <v>0.5</v>
      </c>
      <c r="D9" s="271">
        <f>C9*D8</f>
        <v>717501.35000000009</v>
      </c>
    </row>
    <row r="10" spans="1:6" ht="28.5" x14ac:dyDescent="0.25">
      <c r="A10" s="181" t="s">
        <v>40</v>
      </c>
      <c r="B10" s="179">
        <f>SUM(B7:B9)</f>
        <v>6804462</v>
      </c>
      <c r="C10" s="48"/>
      <c r="D10" s="271">
        <f>D8-D9</f>
        <v>717501.35000000009</v>
      </c>
    </row>
    <row r="11" spans="1:6" ht="28.5" x14ac:dyDescent="0.25">
      <c r="A11" s="352"/>
      <c r="B11" s="353"/>
      <c r="C11" s="48" t="s">
        <v>331</v>
      </c>
      <c r="D11" s="271">
        <f>D10*7.5%</f>
        <v>53812.601250000007</v>
      </c>
    </row>
    <row r="12" spans="1:6" ht="28.5" x14ac:dyDescent="0.25">
      <c r="A12" s="181" t="s">
        <v>335</v>
      </c>
      <c r="B12" s="179">
        <f>B4-B10</f>
        <v>6954498</v>
      </c>
      <c r="D12" s="271">
        <f>D10-D11</f>
        <v>663688.74875000003</v>
      </c>
    </row>
    <row r="13" spans="1:6" ht="28.5" x14ac:dyDescent="0.25">
      <c r="A13" s="181" t="s">
        <v>291</v>
      </c>
      <c r="B13" s="179">
        <f>B43+B62+B86+B108+B128</f>
        <v>7773885.5999999996</v>
      </c>
      <c r="D13" s="48">
        <f>D12+B14</f>
        <v>-155698.8512499996</v>
      </c>
    </row>
    <row r="14" spans="1:6" ht="28.5" x14ac:dyDescent="0.25">
      <c r="A14" s="181" t="s">
        <v>339</v>
      </c>
      <c r="B14" s="179">
        <f>B12-B13</f>
        <v>-819387.59999999963</v>
      </c>
    </row>
    <row r="15" spans="1:6" x14ac:dyDescent="0.25">
      <c r="B15" s="49"/>
    </row>
    <row r="16" spans="1:6" x14ac:dyDescent="0.25">
      <c r="B16" s="49"/>
    </row>
    <row r="17" spans="1:7" ht="65.25" customHeight="1" x14ac:dyDescent="0.25">
      <c r="A17" s="351" t="s">
        <v>340</v>
      </c>
      <c r="B17" s="351"/>
    </row>
    <row r="18" spans="1:7" ht="28.5" x14ac:dyDescent="0.25">
      <c r="A18" s="181" t="s">
        <v>341</v>
      </c>
      <c r="B18" s="179">
        <v>4300000</v>
      </c>
      <c r="E18" s="49"/>
    </row>
    <row r="19" spans="1:7" ht="57" customHeight="1" x14ac:dyDescent="0.25">
      <c r="A19" s="184" t="s">
        <v>351</v>
      </c>
      <c r="B19" s="179">
        <f>B28+B51+B71+B95+B120+B148</f>
        <v>4300000</v>
      </c>
      <c r="E19" s="49"/>
    </row>
    <row r="20" spans="1:7" ht="28.5" x14ac:dyDescent="0.25">
      <c r="A20" s="181" t="s">
        <v>60</v>
      </c>
      <c r="B20" s="179">
        <f>B18-B19</f>
        <v>0</v>
      </c>
      <c r="E20" s="49"/>
    </row>
    <row r="21" spans="1:7" ht="28.5" x14ac:dyDescent="0.25">
      <c r="A21" s="352"/>
      <c r="B21" s="353"/>
    </row>
    <row r="24" spans="1:7" ht="26.25" x14ac:dyDescent="0.25">
      <c r="A24" s="347" t="s">
        <v>308</v>
      </c>
      <c r="B24" s="348"/>
    </row>
    <row r="25" spans="1:7" ht="23.25" x14ac:dyDescent="0.35">
      <c r="A25" s="171" t="s">
        <v>82</v>
      </c>
      <c r="B25" s="50">
        <v>3617793</v>
      </c>
    </row>
    <row r="26" spans="1:7" ht="21" x14ac:dyDescent="0.35">
      <c r="A26" s="171" t="s">
        <v>242</v>
      </c>
      <c r="B26" s="98">
        <v>1217722</v>
      </c>
    </row>
    <row r="27" spans="1:7" ht="21" x14ac:dyDescent="0.35">
      <c r="A27" s="171" t="s">
        <v>82</v>
      </c>
      <c r="B27" s="98">
        <f>B25-B26</f>
        <v>2400071</v>
      </c>
      <c r="F27" s="173"/>
      <c r="G27" s="144"/>
    </row>
    <row r="28" spans="1:7" s="2" customFormat="1" ht="21" x14ac:dyDescent="0.35">
      <c r="A28" s="171" t="s">
        <v>344</v>
      </c>
      <c r="B28" s="97">
        <f>B25*7%</f>
        <v>253245.51000000004</v>
      </c>
      <c r="E28" s="10"/>
      <c r="F28" s="144"/>
      <c r="G28" s="144"/>
    </row>
    <row r="29" spans="1:7" s="2" customFormat="1" ht="21" x14ac:dyDescent="0.35">
      <c r="A29" s="171" t="s">
        <v>47</v>
      </c>
      <c r="B29" s="52">
        <f>B25*5%</f>
        <v>180889.65000000002</v>
      </c>
      <c r="E29" s="10"/>
      <c r="F29" s="144"/>
      <c r="G29" s="144"/>
    </row>
    <row r="30" spans="1:7" ht="21" x14ac:dyDescent="0.35">
      <c r="A30" s="171" t="s">
        <v>38</v>
      </c>
      <c r="B30" s="169"/>
      <c r="F30" s="144"/>
      <c r="G30" s="144"/>
    </row>
    <row r="31" spans="1:7" ht="21" x14ac:dyDescent="0.35">
      <c r="A31" s="171" t="s">
        <v>39</v>
      </c>
      <c r="B31" s="97">
        <f>B27*7.5%</f>
        <v>180005.32499999998</v>
      </c>
      <c r="F31" s="173"/>
      <c r="G31" s="144"/>
    </row>
    <row r="32" spans="1:7" ht="21" x14ac:dyDescent="0.35">
      <c r="A32" s="171" t="s">
        <v>40</v>
      </c>
      <c r="B32" s="98">
        <f>B31+B30+B29+B28</f>
        <v>614140.48499999999</v>
      </c>
      <c r="F32" s="173"/>
      <c r="G32" s="144"/>
    </row>
    <row r="33" spans="1:10" ht="23.25" x14ac:dyDescent="0.35">
      <c r="A33" s="171" t="s">
        <v>301</v>
      </c>
      <c r="B33" s="50">
        <f>B27-B32</f>
        <v>1785930.5150000001</v>
      </c>
      <c r="F33" s="173"/>
      <c r="G33" s="144"/>
    </row>
    <row r="34" spans="1:10" ht="18.75" x14ac:dyDescent="0.25">
      <c r="A34" s="2"/>
      <c r="B34" s="33"/>
      <c r="F34" s="173"/>
      <c r="G34" s="144"/>
    </row>
    <row r="35" spans="1:10" ht="26.25" x14ac:dyDescent="0.25">
      <c r="A35" s="276" t="s">
        <v>94</v>
      </c>
      <c r="B35" s="276"/>
      <c r="F35" s="173"/>
      <c r="G35" s="144"/>
    </row>
    <row r="36" spans="1:10" ht="21" x14ac:dyDescent="0.35">
      <c r="A36" s="107"/>
      <c r="B36" s="47"/>
      <c r="F36" s="173"/>
      <c r="G36" s="144"/>
    </row>
    <row r="37" spans="1:10" ht="21" x14ac:dyDescent="0.35">
      <c r="A37" s="114" t="s">
        <v>305</v>
      </c>
      <c r="B37" s="47">
        <v>350000</v>
      </c>
      <c r="F37" s="173"/>
      <c r="G37" s="144"/>
    </row>
    <row r="38" spans="1:10" ht="21" x14ac:dyDescent="0.35">
      <c r="A38" s="114" t="s">
        <v>307</v>
      </c>
      <c r="B38" s="47">
        <v>500000</v>
      </c>
      <c r="F38" s="173"/>
      <c r="G38" s="144"/>
    </row>
    <row r="39" spans="1:10" ht="21" x14ac:dyDescent="0.35">
      <c r="A39" s="114" t="s">
        <v>306</v>
      </c>
      <c r="B39" s="47">
        <v>500000</v>
      </c>
      <c r="F39" s="173"/>
      <c r="G39" s="144"/>
    </row>
    <row r="40" spans="1:10" ht="21" x14ac:dyDescent="0.35">
      <c r="A40" s="107" t="s">
        <v>309</v>
      </c>
      <c r="B40" s="47">
        <v>375000</v>
      </c>
    </row>
    <row r="41" spans="1:10" ht="21" x14ac:dyDescent="0.35">
      <c r="A41" s="114"/>
      <c r="B41" s="47"/>
      <c r="C41" s="29">
        <f>B36+B37+B38+B39+B40</f>
        <v>1725000</v>
      </c>
    </row>
    <row r="42" spans="1:10" ht="21" x14ac:dyDescent="0.35">
      <c r="A42" s="107"/>
      <c r="B42" s="47"/>
      <c r="C42" s="174">
        <f>C41/92.5%</f>
        <v>1864864.8648648649</v>
      </c>
      <c r="J42" s="48">
        <f>B44+B63+B87+B109</f>
        <v>64237.075000000128</v>
      </c>
    </row>
    <row r="43" spans="1:10" ht="23.25" x14ac:dyDescent="0.25">
      <c r="A43" s="156" t="s">
        <v>160</v>
      </c>
      <c r="B43" s="183">
        <f>SUM(B36:B41)</f>
        <v>1725000</v>
      </c>
      <c r="C43" s="7">
        <f>C42*7.5%</f>
        <v>139864.86486486485</v>
      </c>
    </row>
    <row r="44" spans="1:10" ht="26.25" x14ac:dyDescent="0.25">
      <c r="A44" s="156" t="s">
        <v>220</v>
      </c>
      <c r="B44" s="182">
        <f>B33-B43</f>
        <v>60930.51500000013</v>
      </c>
      <c r="C44" s="7">
        <f>C43/2</f>
        <v>69932.432432432426</v>
      </c>
    </row>
    <row r="47" spans="1:10" ht="26.25" x14ac:dyDescent="0.25">
      <c r="A47" s="347" t="s">
        <v>310</v>
      </c>
      <c r="B47" s="348"/>
    </row>
    <row r="48" spans="1:10" ht="23.25" x14ac:dyDescent="0.35">
      <c r="A48" s="171" t="s">
        <v>82</v>
      </c>
      <c r="B48" s="50">
        <v>1783974</v>
      </c>
    </row>
    <row r="49" spans="1:6" ht="21" x14ac:dyDescent="0.35">
      <c r="A49" s="171" t="s">
        <v>242</v>
      </c>
      <c r="B49" s="98">
        <v>1189631</v>
      </c>
      <c r="F49" s="48"/>
    </row>
    <row r="50" spans="1:6" ht="21" x14ac:dyDescent="0.35">
      <c r="A50" s="171" t="s">
        <v>82</v>
      </c>
      <c r="B50" s="98">
        <f>B48-B49</f>
        <v>594343</v>
      </c>
    </row>
    <row r="51" spans="1:6" ht="21" x14ac:dyDescent="0.35">
      <c r="A51" s="171" t="s">
        <v>344</v>
      </c>
      <c r="B51" s="97">
        <f>B48*7%</f>
        <v>124878.18000000001</v>
      </c>
      <c r="F51" s="48"/>
    </row>
    <row r="52" spans="1:6" ht="21" x14ac:dyDescent="0.35">
      <c r="A52" s="171" t="s">
        <v>47</v>
      </c>
      <c r="B52" s="52">
        <f>B48*5%</f>
        <v>89198.700000000012</v>
      </c>
    </row>
    <row r="53" spans="1:6" ht="21" x14ac:dyDescent="0.35">
      <c r="A53" s="171" t="s">
        <v>38</v>
      </c>
      <c r="B53" s="169"/>
    </row>
    <row r="54" spans="1:6" ht="21" x14ac:dyDescent="0.35">
      <c r="A54" s="171" t="s">
        <v>39</v>
      </c>
      <c r="B54" s="97">
        <f>B50*7.5%</f>
        <v>44575.724999999999</v>
      </c>
    </row>
    <row r="55" spans="1:6" ht="21" x14ac:dyDescent="0.35">
      <c r="A55" s="171" t="s">
        <v>40</v>
      </c>
      <c r="B55" s="98">
        <f>B54+B53+B52+B51</f>
        <v>258652.60500000004</v>
      </c>
    </row>
    <row r="56" spans="1:6" ht="23.25" x14ac:dyDescent="0.35">
      <c r="A56" s="171" t="s">
        <v>301</v>
      </c>
      <c r="B56" s="50">
        <f>B50-B55</f>
        <v>335690.39499999996</v>
      </c>
    </row>
    <row r="57" spans="1:6" x14ac:dyDescent="0.25">
      <c r="A57" s="2"/>
      <c r="B57" s="33"/>
    </row>
    <row r="58" spans="1:6" ht="26.25" x14ac:dyDescent="0.25">
      <c r="A58" s="276" t="s">
        <v>94</v>
      </c>
      <c r="B58" s="276"/>
      <c r="F58" s="48"/>
    </row>
    <row r="59" spans="1:6" ht="21" x14ac:dyDescent="0.35">
      <c r="A59" s="107" t="s">
        <v>309</v>
      </c>
      <c r="B59" s="47">
        <v>475000</v>
      </c>
    </row>
    <row r="60" spans="1:6" ht="21" x14ac:dyDescent="0.35">
      <c r="A60" s="114"/>
      <c r="B60" s="47"/>
      <c r="F60" s="48"/>
    </row>
    <row r="61" spans="1:6" ht="21" x14ac:dyDescent="0.35">
      <c r="A61" s="107"/>
      <c r="B61" s="47"/>
    </row>
    <row r="62" spans="1:6" ht="23.25" x14ac:dyDescent="0.25">
      <c r="A62" s="156" t="s">
        <v>160</v>
      </c>
      <c r="B62" s="183">
        <f>SUM(B59:B61)</f>
        <v>475000</v>
      </c>
      <c r="C62" s="29">
        <f>B59</f>
        <v>475000</v>
      </c>
    </row>
    <row r="63" spans="1:6" ht="26.25" x14ac:dyDescent="0.25">
      <c r="A63" s="156" t="s">
        <v>220</v>
      </c>
      <c r="B63" s="182">
        <f>B56-B62</f>
        <v>-139309.60500000004</v>
      </c>
      <c r="C63" s="174">
        <f>C62/92.5%</f>
        <v>513513.51351351349</v>
      </c>
    </row>
    <row r="64" spans="1:6" x14ac:dyDescent="0.25">
      <c r="C64" s="7">
        <f>C63*7.5%</f>
        <v>38513.513513513513</v>
      </c>
    </row>
    <row r="65" spans="1:3" ht="26.25" x14ac:dyDescent="0.25">
      <c r="A65" s="349" t="s">
        <v>314</v>
      </c>
      <c r="B65" s="350"/>
      <c r="C65" s="7">
        <f>C64/2</f>
        <v>19256.756756756757</v>
      </c>
    </row>
    <row r="66" spans="1:3" ht="21" x14ac:dyDescent="0.35">
      <c r="A66" s="172" t="s">
        <v>311</v>
      </c>
      <c r="B66" s="98">
        <v>1268695</v>
      </c>
    </row>
    <row r="67" spans="1:3" ht="21" x14ac:dyDescent="0.35">
      <c r="A67" s="172" t="s">
        <v>315</v>
      </c>
      <c r="B67" s="97">
        <v>1320435</v>
      </c>
    </row>
    <row r="68" spans="1:3" ht="23.25" x14ac:dyDescent="0.35">
      <c r="A68" s="171" t="s">
        <v>82</v>
      </c>
      <c r="B68" s="50">
        <f>SUM(B66:B67)</f>
        <v>2589130</v>
      </c>
    </row>
    <row r="69" spans="1:3" ht="21" x14ac:dyDescent="0.35">
      <c r="A69" s="171" t="s">
        <v>242</v>
      </c>
      <c r="B69" s="98">
        <v>553196</v>
      </c>
    </row>
    <row r="70" spans="1:3" ht="21" x14ac:dyDescent="0.35">
      <c r="A70" s="171" t="s">
        <v>82</v>
      </c>
      <c r="B70" s="98">
        <f>B68-B69</f>
        <v>2035934</v>
      </c>
    </row>
    <row r="71" spans="1:3" ht="21" x14ac:dyDescent="0.35">
      <c r="A71" s="171" t="s">
        <v>344</v>
      </c>
      <c r="B71" s="97">
        <f>B68*7%</f>
        <v>181239.1</v>
      </c>
    </row>
    <row r="72" spans="1:3" ht="21" x14ac:dyDescent="0.35">
      <c r="A72" s="171" t="s">
        <v>47</v>
      </c>
      <c r="B72" s="52">
        <f>B68*5%</f>
        <v>129456.5</v>
      </c>
    </row>
    <row r="73" spans="1:3" ht="21" x14ac:dyDescent="0.35">
      <c r="A73" s="171" t="s">
        <v>38</v>
      </c>
      <c r="B73" s="169"/>
    </row>
    <row r="74" spans="1:3" ht="21" x14ac:dyDescent="0.35">
      <c r="A74" s="171" t="s">
        <v>39</v>
      </c>
      <c r="B74" s="97">
        <f>B70*7.5%</f>
        <v>152695.04999999999</v>
      </c>
    </row>
    <row r="75" spans="1:3" ht="21" x14ac:dyDescent="0.35">
      <c r="A75" s="171" t="s">
        <v>40</v>
      </c>
      <c r="B75" s="98">
        <f>B74+B73+B72+B71</f>
        <v>463390.65</v>
      </c>
    </row>
    <row r="76" spans="1:3" ht="23.25" x14ac:dyDescent="0.35">
      <c r="A76" s="171" t="s">
        <v>301</v>
      </c>
      <c r="B76" s="50">
        <f>B70-B75</f>
        <v>1572543.35</v>
      </c>
    </row>
    <row r="77" spans="1:3" x14ac:dyDescent="0.25">
      <c r="A77" s="2"/>
      <c r="B77" s="33"/>
    </row>
    <row r="78" spans="1:3" ht="26.25" x14ac:dyDescent="0.25">
      <c r="A78" s="276" t="s">
        <v>94</v>
      </c>
      <c r="B78" s="276"/>
    </row>
    <row r="80" spans="1:3" ht="21" x14ac:dyDescent="0.35">
      <c r="A80" s="107" t="s">
        <v>318</v>
      </c>
      <c r="B80" s="47">
        <v>500000</v>
      </c>
    </row>
    <row r="81" spans="1:8" ht="21" x14ac:dyDescent="0.35">
      <c r="A81" s="107" t="s">
        <v>319</v>
      </c>
      <c r="B81" s="47">
        <v>300000</v>
      </c>
    </row>
    <row r="82" spans="1:8" ht="21" x14ac:dyDescent="0.35">
      <c r="A82" s="107" t="s">
        <v>320</v>
      </c>
      <c r="B82" s="47">
        <v>500000</v>
      </c>
    </row>
    <row r="83" spans="1:8" ht="21" x14ac:dyDescent="0.35">
      <c r="A83" s="107" t="s">
        <v>319</v>
      </c>
      <c r="B83" s="47">
        <v>300000</v>
      </c>
    </row>
    <row r="85" spans="1:8" ht="21" x14ac:dyDescent="0.35">
      <c r="A85" s="107"/>
      <c r="B85" s="47"/>
      <c r="C85" s="29">
        <f>B80+B82</f>
        <v>1000000</v>
      </c>
    </row>
    <row r="86" spans="1:8" ht="23.25" x14ac:dyDescent="0.25">
      <c r="A86" s="156" t="s">
        <v>160</v>
      </c>
      <c r="B86" s="183">
        <f>SUM(B80:B84)</f>
        <v>1600000</v>
      </c>
      <c r="C86" s="174">
        <f>C85/92.5%</f>
        <v>1081081.0810810809</v>
      </c>
    </row>
    <row r="87" spans="1:8" ht="26.25" x14ac:dyDescent="0.25">
      <c r="A87" s="156" t="s">
        <v>220</v>
      </c>
      <c r="B87" s="182">
        <f>B76-B86</f>
        <v>-27456.649999999907</v>
      </c>
      <c r="C87" s="7">
        <f>C86*7.5%</f>
        <v>81081.081081081065</v>
      </c>
    </row>
    <row r="88" spans="1:8" x14ac:dyDescent="0.25">
      <c r="C88" s="7">
        <f>C87/2</f>
        <v>40540.540540540533</v>
      </c>
      <c r="G88" s="354"/>
      <c r="H88" s="354"/>
    </row>
    <row r="89" spans="1:8" ht="26.25" x14ac:dyDescent="0.25">
      <c r="A89" s="349" t="s">
        <v>326</v>
      </c>
      <c r="B89" s="350"/>
    </row>
    <row r="90" spans="1:8" ht="21" x14ac:dyDescent="0.35">
      <c r="A90" s="172" t="s">
        <v>311</v>
      </c>
      <c r="B90" s="98">
        <v>3005219</v>
      </c>
    </row>
    <row r="91" spans="1:8" ht="21" x14ac:dyDescent="0.35">
      <c r="A91" s="172" t="s">
        <v>327</v>
      </c>
      <c r="B91" s="97">
        <v>896654</v>
      </c>
    </row>
    <row r="92" spans="1:8" ht="23.25" x14ac:dyDescent="0.35">
      <c r="A92" s="171" t="s">
        <v>82</v>
      </c>
      <c r="B92" s="50">
        <f>SUM(B90:B91)</f>
        <v>3901873</v>
      </c>
    </row>
    <row r="93" spans="1:8" ht="21" x14ac:dyDescent="0.35">
      <c r="A93" s="171" t="s">
        <v>242</v>
      </c>
      <c r="B93" s="98">
        <v>2158974</v>
      </c>
      <c r="F93" s="48"/>
    </row>
    <row r="94" spans="1:8" ht="21" x14ac:dyDescent="0.35">
      <c r="A94" s="171" t="s">
        <v>82</v>
      </c>
      <c r="B94" s="98">
        <f>B92-B93</f>
        <v>1742899</v>
      </c>
    </row>
    <row r="95" spans="1:8" ht="21" x14ac:dyDescent="0.35">
      <c r="A95" s="171" t="s">
        <v>344</v>
      </c>
      <c r="B95" s="97">
        <f>B92*7%</f>
        <v>273131.11000000004</v>
      </c>
    </row>
    <row r="96" spans="1:8" ht="21" x14ac:dyDescent="0.35">
      <c r="A96" s="171" t="s">
        <v>47</v>
      </c>
      <c r="B96" s="52">
        <f>B92*5%</f>
        <v>195093.65000000002</v>
      </c>
    </row>
    <row r="97" spans="1:6" ht="21" x14ac:dyDescent="0.35">
      <c r="A97" s="171" t="s">
        <v>38</v>
      </c>
      <c r="B97" s="169"/>
    </row>
    <row r="98" spans="1:6" ht="21" x14ac:dyDescent="0.35">
      <c r="A98" s="171" t="s">
        <v>39</v>
      </c>
      <c r="B98" s="97">
        <f>B94*7.5%</f>
        <v>130717.42499999999</v>
      </c>
    </row>
    <row r="99" spans="1:6" ht="21" x14ac:dyDescent="0.35">
      <c r="A99" s="171" t="s">
        <v>40</v>
      </c>
      <c r="B99" s="98">
        <f>B98+B97+B96+B95</f>
        <v>598942.18500000006</v>
      </c>
    </row>
    <row r="100" spans="1:6" ht="23.25" x14ac:dyDescent="0.35">
      <c r="A100" s="171" t="s">
        <v>301</v>
      </c>
      <c r="B100" s="50">
        <f>B94-B99</f>
        <v>1143956.8149999999</v>
      </c>
      <c r="F100" s="48"/>
    </row>
    <row r="101" spans="1:6" x14ac:dyDescent="0.25">
      <c r="A101" s="2"/>
      <c r="B101" s="33"/>
    </row>
    <row r="102" spans="1:6" ht="26.25" x14ac:dyDescent="0.25">
      <c r="A102" s="276" t="s">
        <v>94</v>
      </c>
      <c r="B102" s="276"/>
    </row>
    <row r="103" spans="1:6" ht="21" x14ac:dyDescent="0.35">
      <c r="A103" s="107" t="s">
        <v>309</v>
      </c>
      <c r="B103" s="47">
        <v>500000</v>
      </c>
    </row>
    <row r="104" spans="1:6" ht="21" x14ac:dyDescent="0.35">
      <c r="A104" s="107" t="s">
        <v>353</v>
      </c>
      <c r="B104" s="47">
        <v>473884</v>
      </c>
    </row>
    <row r="105" spans="1:6" ht="21" x14ac:dyDescent="0.35">
      <c r="A105" s="107"/>
      <c r="B105" s="47"/>
    </row>
    <row r="106" spans="1:6" ht="21" x14ac:dyDescent="0.35">
      <c r="A106" s="107"/>
      <c r="B106" s="47"/>
    </row>
    <row r="107" spans="1:6" ht="21" x14ac:dyDescent="0.35">
      <c r="A107" s="107"/>
      <c r="B107" s="47"/>
    </row>
    <row r="108" spans="1:6" ht="23.25" x14ac:dyDescent="0.25">
      <c r="A108" s="156" t="s">
        <v>160</v>
      </c>
      <c r="B108" s="183">
        <f>SUM(B103:B107)</f>
        <v>973884</v>
      </c>
      <c r="C108" s="29">
        <f>B103+B104</f>
        <v>973884</v>
      </c>
    </row>
    <row r="109" spans="1:6" ht="26.25" x14ac:dyDescent="0.25">
      <c r="A109" s="156" t="s">
        <v>220</v>
      </c>
      <c r="B109" s="182">
        <f>B100-B108</f>
        <v>170072.81499999994</v>
      </c>
      <c r="C109" s="174">
        <f>C108/92.5%</f>
        <v>1052847.5675675676</v>
      </c>
    </row>
    <row r="110" spans="1:6" x14ac:dyDescent="0.25">
      <c r="C110" s="7">
        <f>C109*7.5%</f>
        <v>78963.567567567559</v>
      </c>
    </row>
    <row r="111" spans="1:6" ht="15.75" thickBot="1" x14ac:dyDescent="0.3">
      <c r="C111" s="7">
        <f>C110/2</f>
        <v>39481.78378378378</v>
      </c>
    </row>
    <row r="112" spans="1:6" ht="26.25" x14ac:dyDescent="0.25">
      <c r="A112" s="345" t="s">
        <v>345</v>
      </c>
      <c r="B112" s="346"/>
    </row>
    <row r="113" spans="1:13" ht="21" x14ac:dyDescent="0.35">
      <c r="A113" s="196" t="s">
        <v>311</v>
      </c>
      <c r="B113" s="197">
        <v>14615575</v>
      </c>
    </row>
    <row r="114" spans="1:13" ht="21" x14ac:dyDescent="0.35">
      <c r="A114" s="196" t="s">
        <v>327</v>
      </c>
      <c r="B114" s="198">
        <v>1400184</v>
      </c>
    </row>
    <row r="115" spans="1:13" ht="23.25" x14ac:dyDescent="0.35">
      <c r="A115" s="199" t="s">
        <v>82</v>
      </c>
      <c r="B115" s="200">
        <f>SUM(B113:B114)</f>
        <v>16015759</v>
      </c>
    </row>
    <row r="116" spans="1:13" ht="21" x14ac:dyDescent="0.35">
      <c r="A116" s="199" t="s">
        <v>242</v>
      </c>
      <c r="B116" s="197">
        <v>9743633</v>
      </c>
    </row>
    <row r="117" spans="1:13" ht="21" x14ac:dyDescent="0.35">
      <c r="A117" s="199" t="s">
        <v>352</v>
      </c>
      <c r="B117" s="197">
        <f>B115-B116</f>
        <v>6272126</v>
      </c>
      <c r="I117" s="355" t="s">
        <v>333</v>
      </c>
      <c r="J117" s="355"/>
      <c r="K117" s="355"/>
      <c r="L117" s="355"/>
      <c r="M117" s="355"/>
    </row>
    <row r="118" spans="1:13" ht="21" x14ac:dyDescent="0.35">
      <c r="A118" s="199"/>
      <c r="B118" s="197"/>
      <c r="I118" s="72"/>
      <c r="J118" s="72"/>
      <c r="K118" s="72"/>
      <c r="L118" s="72"/>
      <c r="M118" s="72"/>
    </row>
    <row r="119" spans="1:13" ht="26.25" x14ac:dyDescent="0.4">
      <c r="A119" s="201" t="s">
        <v>336</v>
      </c>
      <c r="B119" s="197"/>
      <c r="I119" s="72"/>
      <c r="J119" s="72"/>
      <c r="K119" s="72"/>
      <c r="L119" s="72"/>
      <c r="M119" s="72"/>
    </row>
    <row r="120" spans="1:13" s="71" customFormat="1" ht="21" x14ac:dyDescent="0.35">
      <c r="A120" s="199" t="s">
        <v>348</v>
      </c>
      <c r="B120" s="198">
        <v>2065325</v>
      </c>
      <c r="G120" s="175"/>
      <c r="I120" s="178" t="s">
        <v>332</v>
      </c>
      <c r="J120" s="178" t="s">
        <v>228</v>
      </c>
      <c r="K120" s="178" t="s">
        <v>297</v>
      </c>
      <c r="L120" s="178" t="s">
        <v>331</v>
      </c>
      <c r="M120" s="178" t="s">
        <v>330</v>
      </c>
    </row>
    <row r="121" spans="1:13" ht="21" x14ac:dyDescent="0.35">
      <c r="A121" s="199" t="s">
        <v>47</v>
      </c>
      <c r="B121" s="202">
        <f>B115*5%</f>
        <v>800787.95000000007</v>
      </c>
      <c r="I121" s="177" t="s">
        <v>302</v>
      </c>
      <c r="J121" s="176">
        <f>'Main Building'!$D$608</f>
        <v>100000</v>
      </c>
      <c r="K121" s="176">
        <f t="shared" ref="K121:K126" si="0">J121/92.5%</f>
        <v>108108.10810810811</v>
      </c>
      <c r="L121" s="176">
        <f t="shared" ref="L121:L126" si="1">K121*7.5%</f>
        <v>8108.1081081081074</v>
      </c>
      <c r="M121" s="176">
        <f t="shared" ref="M121:M126" si="2">L121/2</f>
        <v>4054.0540540540537</v>
      </c>
    </row>
    <row r="122" spans="1:13" ht="21" x14ac:dyDescent="0.35">
      <c r="A122" s="199" t="s">
        <v>38</v>
      </c>
      <c r="B122" s="203">
        <v>0</v>
      </c>
      <c r="I122" s="177" t="s">
        <v>322</v>
      </c>
      <c r="J122" s="176">
        <f>'Main Building'!$D$673</f>
        <v>1000000</v>
      </c>
      <c r="K122" s="176">
        <f t="shared" si="0"/>
        <v>1081081.0810810809</v>
      </c>
      <c r="L122" s="176">
        <f t="shared" si="1"/>
        <v>81081.081081081065</v>
      </c>
      <c r="M122" s="176">
        <f t="shared" si="2"/>
        <v>40540.540540540533</v>
      </c>
    </row>
    <row r="123" spans="1:13" ht="21" x14ac:dyDescent="0.35">
      <c r="A123" s="199" t="s">
        <v>39</v>
      </c>
      <c r="B123" s="198">
        <f>B117*7.5%</f>
        <v>470409.45</v>
      </c>
      <c r="I123" s="177" t="s">
        <v>169</v>
      </c>
      <c r="J123" s="176">
        <f>Psychiatry!$B$36+Psychiatry!$B$37+Psychiatry!$B$38+Psychiatry!$B$39+Psychiatry!$B$40</f>
        <v>1725000</v>
      </c>
      <c r="K123" s="176">
        <f t="shared" si="0"/>
        <v>1864864.8648648649</v>
      </c>
      <c r="L123" s="176">
        <f t="shared" si="1"/>
        <v>139864.86486486485</v>
      </c>
      <c r="M123" s="176">
        <f t="shared" si="2"/>
        <v>69932.432432432426</v>
      </c>
    </row>
    <row r="124" spans="1:13" ht="26.25" x14ac:dyDescent="0.4">
      <c r="A124" s="201" t="s">
        <v>40</v>
      </c>
      <c r="B124" s="197">
        <f>B123+B122+B121+B120</f>
        <v>3336522.4000000004</v>
      </c>
      <c r="I124" s="177" t="s">
        <v>195</v>
      </c>
      <c r="J124" s="176">
        <f>Psychiatry!$B$59</f>
        <v>475000</v>
      </c>
      <c r="K124" s="176">
        <f t="shared" si="0"/>
        <v>513513.51351351349</v>
      </c>
      <c r="L124" s="176">
        <f t="shared" si="1"/>
        <v>38513.513513513513</v>
      </c>
      <c r="M124" s="176">
        <f t="shared" si="2"/>
        <v>19256.756756756757</v>
      </c>
    </row>
    <row r="125" spans="1:13" ht="26.25" x14ac:dyDescent="0.4">
      <c r="A125" s="201"/>
      <c r="B125" s="197"/>
      <c r="I125" s="177"/>
      <c r="J125" s="176"/>
      <c r="K125" s="176"/>
      <c r="L125" s="176"/>
      <c r="M125" s="176"/>
    </row>
    <row r="126" spans="1:13" ht="23.25" x14ac:dyDescent="0.35">
      <c r="A126" s="199" t="s">
        <v>349</v>
      </c>
      <c r="B126" s="200">
        <f>B117-B124</f>
        <v>2935603.5999999996</v>
      </c>
      <c r="I126" s="177" t="s">
        <v>280</v>
      </c>
      <c r="J126" s="176">
        <f>Psychiatry!$B$80+Psychiatry!$B$82</f>
        <v>1000000</v>
      </c>
      <c r="K126" s="176">
        <f t="shared" si="0"/>
        <v>1081081.0810810809</v>
      </c>
      <c r="L126" s="176">
        <f t="shared" si="1"/>
        <v>81081.081081081065</v>
      </c>
      <c r="M126" s="176">
        <f t="shared" si="2"/>
        <v>40540.540540540533</v>
      </c>
    </row>
    <row r="127" spans="1:13" ht="23.25" x14ac:dyDescent="0.35">
      <c r="A127" s="199" t="s">
        <v>350</v>
      </c>
      <c r="B127" s="200">
        <v>64398</v>
      </c>
      <c r="I127" s="177" t="s">
        <v>280</v>
      </c>
      <c r="J127" s="176">
        <f>Psychiatry!$B$80+Psychiatry!$B$82</f>
        <v>1000000</v>
      </c>
      <c r="K127" s="176">
        <f t="shared" ref="K127:K129" si="3">J127/92.5%</f>
        <v>1081081.0810810809</v>
      </c>
      <c r="L127" s="176">
        <f t="shared" ref="L127:L129" si="4">K127*7.5%</f>
        <v>81081.081081081065</v>
      </c>
      <c r="M127" s="176">
        <f t="shared" ref="M127:M129" si="5">L127/2</f>
        <v>40540.540540540533</v>
      </c>
    </row>
    <row r="128" spans="1:13" ht="24" thickBot="1" x14ac:dyDescent="0.4">
      <c r="A128" s="204" t="s">
        <v>301</v>
      </c>
      <c r="B128" s="205">
        <f>B127+B126</f>
        <v>3000001.5999999996</v>
      </c>
      <c r="E128" s="48"/>
      <c r="I128" s="177" t="s">
        <v>280</v>
      </c>
      <c r="J128" s="176">
        <f>Psychiatry!$B$80+Psychiatry!$B$82</f>
        <v>1000000</v>
      </c>
      <c r="K128" s="176">
        <f t="shared" ref="K128" si="6">J128/92.5%</f>
        <v>1081081.0810810809</v>
      </c>
      <c r="L128" s="176">
        <f t="shared" ref="L128" si="7">K128*7.5%</f>
        <v>81081.081081081065</v>
      </c>
      <c r="M128" s="176">
        <f t="shared" ref="M128" si="8">L128/2</f>
        <v>40540.540540540533</v>
      </c>
    </row>
    <row r="129" spans="1:13" ht="23.25" x14ac:dyDescent="0.35">
      <c r="A129" s="194"/>
      <c r="B129" s="195"/>
      <c r="I129" s="177" t="s">
        <v>280</v>
      </c>
      <c r="J129" s="176">
        <f>Psychiatry!$B$80+Psychiatry!$B$82</f>
        <v>1000000</v>
      </c>
      <c r="K129" s="176">
        <f t="shared" si="3"/>
        <v>1081081.0810810809</v>
      </c>
      <c r="L129" s="176">
        <f t="shared" si="4"/>
        <v>81081.081081081065</v>
      </c>
      <c r="M129" s="176">
        <f t="shared" si="5"/>
        <v>40540.540540540533</v>
      </c>
    </row>
    <row r="130" spans="1:13" ht="26.25" x14ac:dyDescent="0.25">
      <c r="A130" s="276" t="s">
        <v>94</v>
      </c>
      <c r="B130" s="276"/>
      <c r="E130" s="48"/>
      <c r="I130" s="192"/>
      <c r="J130" s="193"/>
      <c r="K130" s="193"/>
      <c r="L130" s="193"/>
      <c r="M130" s="193"/>
    </row>
    <row r="131" spans="1:13" ht="21" x14ac:dyDescent="0.35">
      <c r="A131" s="107" t="s">
        <v>354</v>
      </c>
      <c r="B131" s="47">
        <v>1500000</v>
      </c>
    </row>
    <row r="132" spans="1:13" ht="21" x14ac:dyDescent="0.35">
      <c r="A132" s="107" t="s">
        <v>354</v>
      </c>
      <c r="B132" s="47">
        <v>1500000</v>
      </c>
    </row>
    <row r="133" spans="1:13" ht="21" x14ac:dyDescent="0.35">
      <c r="A133" s="114"/>
      <c r="B133" s="47"/>
      <c r="E133" s="48"/>
    </row>
    <row r="134" spans="1:13" ht="21" x14ac:dyDescent="0.35">
      <c r="A134" s="107"/>
      <c r="B134" s="47"/>
    </row>
    <row r="135" spans="1:13" ht="21" x14ac:dyDescent="0.35">
      <c r="A135" s="107"/>
      <c r="B135" s="47"/>
    </row>
    <row r="136" spans="1:13" ht="23.25" x14ac:dyDescent="0.25">
      <c r="A136" s="156" t="s">
        <v>160</v>
      </c>
      <c r="B136" s="183">
        <f>SUM(B131:B135)</f>
        <v>3000000</v>
      </c>
    </row>
    <row r="137" spans="1:13" ht="26.25" x14ac:dyDescent="0.25">
      <c r="A137" s="156" t="s">
        <v>220</v>
      </c>
      <c r="B137" s="182" t="s">
        <v>215</v>
      </c>
    </row>
    <row r="139" spans="1:13" ht="15.75" thickBot="1" x14ac:dyDescent="0.3"/>
    <row r="140" spans="1:13" ht="26.25" x14ac:dyDescent="0.25">
      <c r="A140" s="345" t="s">
        <v>390</v>
      </c>
      <c r="B140" s="346"/>
    </row>
    <row r="141" spans="1:13" ht="21" x14ac:dyDescent="0.35">
      <c r="A141" s="196" t="s">
        <v>311</v>
      </c>
      <c r="B141" s="197">
        <v>791525</v>
      </c>
    </row>
    <row r="142" spans="1:13" ht="21" x14ac:dyDescent="0.35">
      <c r="A142" s="196" t="s">
        <v>327</v>
      </c>
      <c r="B142" s="198"/>
    </row>
    <row r="143" spans="1:13" ht="23.25" x14ac:dyDescent="0.35">
      <c r="A143" s="199" t="s">
        <v>82</v>
      </c>
      <c r="B143" s="200">
        <f>SUM(B141:B142)</f>
        <v>791525</v>
      </c>
    </row>
    <row r="144" spans="1:13" ht="21" x14ac:dyDescent="0.35">
      <c r="A144" s="199" t="s">
        <v>242</v>
      </c>
      <c r="B144" s="197">
        <v>77938</v>
      </c>
    </row>
    <row r="145" spans="1:7" ht="21" x14ac:dyDescent="0.35">
      <c r="A145" s="199" t="s">
        <v>352</v>
      </c>
      <c r="B145" s="197">
        <f>B143-B144</f>
        <v>713587</v>
      </c>
    </row>
    <row r="146" spans="1:7" ht="21" x14ac:dyDescent="0.35">
      <c r="A146" s="199"/>
      <c r="B146" s="197"/>
    </row>
    <row r="147" spans="1:7" ht="26.25" x14ac:dyDescent="0.4">
      <c r="A147" s="201" t="s">
        <v>336</v>
      </c>
      <c r="B147" s="197"/>
      <c r="E147" s="49">
        <v>1435002.7000000002</v>
      </c>
      <c r="G147" s="49">
        <f>736270*2</f>
        <v>1472540</v>
      </c>
    </row>
    <row r="148" spans="1:7" ht="21" x14ac:dyDescent="0.35">
      <c r="A148" s="199" t="s">
        <v>348</v>
      </c>
      <c r="B148" s="198">
        <v>1402181.0999999996</v>
      </c>
      <c r="E148" s="270">
        <f>E147*7.5%</f>
        <v>107625.20250000001</v>
      </c>
    </row>
    <row r="149" spans="1:7" ht="21" x14ac:dyDescent="0.35">
      <c r="A149" s="199" t="s">
        <v>47</v>
      </c>
      <c r="B149" s="202">
        <f>B143*5%</f>
        <v>39576.25</v>
      </c>
      <c r="E149" s="270">
        <f>E147-E148</f>
        <v>1327377.4975000001</v>
      </c>
    </row>
    <row r="150" spans="1:7" ht="21" x14ac:dyDescent="0.35">
      <c r="A150" s="199" t="s">
        <v>38</v>
      </c>
      <c r="B150" s="203">
        <v>0</v>
      </c>
      <c r="E150" s="270">
        <f>E149/2</f>
        <v>663688.74875000003</v>
      </c>
    </row>
    <row r="151" spans="1:7" ht="21" x14ac:dyDescent="0.35">
      <c r="A151" s="199" t="s">
        <v>39</v>
      </c>
      <c r="B151" s="198">
        <f>B145*7.5%</f>
        <v>53519.025000000001</v>
      </c>
    </row>
    <row r="152" spans="1:7" ht="26.25" x14ac:dyDescent="0.4">
      <c r="A152" s="201" t="s">
        <v>40</v>
      </c>
      <c r="B152" s="197">
        <f>B151+B150+B149+B148</f>
        <v>1495276.3749999995</v>
      </c>
    </row>
    <row r="153" spans="1:7" ht="26.25" x14ac:dyDescent="0.4">
      <c r="A153" s="201"/>
      <c r="B153" s="197"/>
    </row>
    <row r="154" spans="1:7" ht="23.25" x14ac:dyDescent="0.35">
      <c r="A154" s="199" t="s">
        <v>349</v>
      </c>
      <c r="B154" s="200">
        <f>B145-B152</f>
        <v>-781689.37499999953</v>
      </c>
      <c r="E154" s="48">
        <f>B14</f>
        <v>-819387.59999999963</v>
      </c>
    </row>
    <row r="155" spans="1:7" ht="23.25" x14ac:dyDescent="0.35">
      <c r="A155" s="194"/>
      <c r="B155" s="195"/>
      <c r="E155" s="270">
        <f>E154+E150</f>
        <v>-155698.8512499996</v>
      </c>
    </row>
    <row r="156" spans="1:7" ht="15.75" thickBot="1" x14ac:dyDescent="0.3">
      <c r="E156" s="48"/>
    </row>
    <row r="157" spans="1:7" ht="26.25" x14ac:dyDescent="0.25">
      <c r="A157" s="345" t="s">
        <v>391</v>
      </c>
      <c r="B157" s="346"/>
      <c r="E157" s="48"/>
    </row>
    <row r="158" spans="1:7" ht="21" x14ac:dyDescent="0.35">
      <c r="A158" s="196" t="s">
        <v>311</v>
      </c>
      <c r="B158" s="197">
        <v>3814806</v>
      </c>
    </row>
    <row r="159" spans="1:7" ht="21" x14ac:dyDescent="0.35">
      <c r="A159" s="196" t="s">
        <v>327</v>
      </c>
      <c r="B159" s="198"/>
    </row>
    <row r="160" spans="1:7" ht="23.25" x14ac:dyDescent="0.35">
      <c r="A160" s="199" t="s">
        <v>82</v>
      </c>
      <c r="B160" s="200">
        <f>SUM(B158:B159)</f>
        <v>3814806</v>
      </c>
    </row>
    <row r="161" spans="1:2" ht="21" x14ac:dyDescent="0.35">
      <c r="A161" s="199" t="s">
        <v>242</v>
      </c>
      <c r="B161" s="197">
        <v>385960</v>
      </c>
    </row>
    <row r="162" spans="1:2" ht="21" x14ac:dyDescent="0.35">
      <c r="A162" s="199" t="s">
        <v>352</v>
      </c>
      <c r="B162" s="197">
        <f>B160-B161</f>
        <v>3428846</v>
      </c>
    </row>
    <row r="163" spans="1:2" ht="21" x14ac:dyDescent="0.35">
      <c r="A163" s="199"/>
      <c r="B163" s="197"/>
    </row>
    <row r="164" spans="1:2" ht="26.25" x14ac:dyDescent="0.4">
      <c r="A164" s="201" t="s">
        <v>336</v>
      </c>
      <c r="B164" s="197"/>
    </row>
    <row r="165" spans="1:2" ht="21" x14ac:dyDescent="0.35">
      <c r="A165" s="199" t="s">
        <v>348</v>
      </c>
      <c r="B165" s="198"/>
    </row>
    <row r="166" spans="1:2" ht="21" x14ac:dyDescent="0.35">
      <c r="A166" s="199" t="s">
        <v>47</v>
      </c>
      <c r="B166" s="202">
        <f>B160*5%</f>
        <v>190740.30000000002</v>
      </c>
    </row>
    <row r="167" spans="1:2" ht="21" x14ac:dyDescent="0.35">
      <c r="A167" s="199" t="s">
        <v>38</v>
      </c>
      <c r="B167" s="203">
        <v>0</v>
      </c>
    </row>
    <row r="168" spans="1:2" ht="21" x14ac:dyDescent="0.35">
      <c r="A168" s="199" t="s">
        <v>39</v>
      </c>
      <c r="B168" s="198">
        <f>B162*7.5%</f>
        <v>257163.44999999998</v>
      </c>
    </row>
    <row r="169" spans="1:2" ht="26.25" x14ac:dyDescent="0.4">
      <c r="A169" s="201" t="s">
        <v>40</v>
      </c>
      <c r="B169" s="197">
        <f>B168+B167+B166+B165</f>
        <v>447903.75</v>
      </c>
    </row>
    <row r="170" spans="1:2" ht="26.25" x14ac:dyDescent="0.4">
      <c r="A170" s="201"/>
      <c r="B170" s="197"/>
    </row>
    <row r="171" spans="1:2" ht="23.25" x14ac:dyDescent="0.35">
      <c r="A171" s="199" t="s">
        <v>349</v>
      </c>
      <c r="B171" s="200">
        <f>B162-B169</f>
        <v>2980942.25</v>
      </c>
    </row>
    <row r="172" spans="1:2" ht="23.25" x14ac:dyDescent="0.35">
      <c r="A172" s="194"/>
      <c r="B172" s="195"/>
    </row>
  </sheetData>
  <mergeCells count="19">
    <mergeCell ref="G88:H88"/>
    <mergeCell ref="I117:M117"/>
    <mergeCell ref="A58:B58"/>
    <mergeCell ref="A65:B65"/>
    <mergeCell ref="A157:B157"/>
    <mergeCell ref="A1:B1"/>
    <mergeCell ref="A5:B5"/>
    <mergeCell ref="A11:B11"/>
    <mergeCell ref="A17:B17"/>
    <mergeCell ref="A21:B21"/>
    <mergeCell ref="A140:B140"/>
    <mergeCell ref="A35:B35"/>
    <mergeCell ref="A24:B24"/>
    <mergeCell ref="A89:B89"/>
    <mergeCell ref="A78:B78"/>
    <mergeCell ref="A102:B102"/>
    <mergeCell ref="A112:B112"/>
    <mergeCell ref="A130:B130"/>
    <mergeCell ref="A47:B47"/>
  </mergeCells>
  <pageMargins left="0.7" right="0.7" top="0.75" bottom="0.75" header="0.3" footer="0.3"/>
  <pageSetup paperSize="9" scale="73" orientation="portrait" r:id="rId1"/>
  <rowBreaks count="3" manualBreakCount="3">
    <brk id="20" max="1" man="1"/>
    <brk id="64" max="1" man="1"/>
    <brk id="87" max="1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30"/>
  <sheetViews>
    <sheetView workbookViewId="0">
      <pane ySplit="3" topLeftCell="A4" activePane="bottomLeft" state="frozen"/>
      <selection pane="bottomLeft" activeCell="D15" sqref="D15"/>
    </sheetView>
  </sheetViews>
  <sheetFormatPr defaultRowHeight="15.75" x14ac:dyDescent="0.25"/>
  <cols>
    <col min="1" max="1" width="9.28515625" style="211" customWidth="1"/>
    <col min="2" max="2" width="14" style="211" bestFit="1" customWidth="1"/>
    <col min="3" max="3" width="12.85546875" style="211" customWidth="1"/>
    <col min="4" max="4" width="13" style="211" customWidth="1"/>
    <col min="5" max="5" width="12.140625" style="211" customWidth="1"/>
    <col min="6" max="6" width="2.140625" style="211" customWidth="1"/>
    <col min="7" max="7" width="9.28515625" style="211" customWidth="1"/>
    <col min="8" max="8" width="14" style="211" bestFit="1" customWidth="1"/>
    <col min="9" max="10" width="11.5703125" style="211" bestFit="1" customWidth="1"/>
    <col min="11" max="11" width="12.140625" style="211" customWidth="1"/>
    <col min="12" max="12" width="14" style="211" hidden="1" customWidth="1"/>
    <col min="13" max="13" width="1" style="211" customWidth="1"/>
    <col min="14" max="14" width="13.42578125" style="211" customWidth="1"/>
    <col min="15" max="15" width="17.85546875" style="211" customWidth="1"/>
    <col min="16" max="16" width="10.7109375" style="211" customWidth="1"/>
    <col min="17" max="17" width="10.42578125" style="211" customWidth="1"/>
    <col min="18" max="18" width="17.42578125" style="211" customWidth="1"/>
    <col min="19" max="20" width="9.140625" style="211"/>
    <col min="21" max="21" width="20.140625" style="211" customWidth="1"/>
    <col min="22" max="16384" width="9.140625" style="211"/>
  </cols>
  <sheetData>
    <row r="1" spans="1:21" ht="15.75" customHeight="1" x14ac:dyDescent="0.25">
      <c r="A1" s="360" t="s">
        <v>131</v>
      </c>
      <c r="B1" s="361"/>
      <c r="C1" s="361"/>
      <c r="D1" s="361"/>
      <c r="E1" s="361"/>
      <c r="F1" s="262"/>
      <c r="G1" s="358" t="s">
        <v>131</v>
      </c>
      <c r="H1" s="359"/>
      <c r="I1" s="359"/>
      <c r="J1" s="359"/>
      <c r="K1" s="359"/>
      <c r="L1" s="260"/>
      <c r="M1" s="260"/>
      <c r="N1" s="358" t="s">
        <v>131</v>
      </c>
      <c r="O1" s="359"/>
      <c r="P1" s="359"/>
      <c r="Q1" s="359"/>
      <c r="R1" s="359"/>
    </row>
    <row r="2" spans="1:21" x14ac:dyDescent="0.25">
      <c r="A2" s="357" t="s">
        <v>378</v>
      </c>
      <c r="B2" s="357"/>
      <c r="C2" s="357"/>
      <c r="D2" s="357"/>
      <c r="E2" s="357"/>
      <c r="F2" s="255"/>
      <c r="G2" s="357" t="s">
        <v>133</v>
      </c>
      <c r="H2" s="357"/>
      <c r="I2" s="357"/>
      <c r="J2" s="357"/>
      <c r="K2" s="357"/>
      <c r="L2" s="212"/>
      <c r="M2" s="213"/>
      <c r="N2" s="356" t="s">
        <v>88</v>
      </c>
      <c r="O2" s="356"/>
      <c r="P2" s="356"/>
      <c r="Q2" s="356"/>
      <c r="R2" s="356"/>
    </row>
    <row r="3" spans="1:21" s="216" customFormat="1" ht="30.75" customHeight="1" x14ac:dyDescent="0.25">
      <c r="A3" s="178" t="s">
        <v>109</v>
      </c>
      <c r="B3" s="214" t="s">
        <v>130</v>
      </c>
      <c r="C3" s="214" t="s">
        <v>347</v>
      </c>
      <c r="D3" s="214" t="s">
        <v>127</v>
      </c>
      <c r="E3" s="214" t="s">
        <v>110</v>
      </c>
      <c r="F3" s="256"/>
      <c r="G3" s="178" t="s">
        <v>109</v>
      </c>
      <c r="H3" s="214" t="s">
        <v>130</v>
      </c>
      <c r="I3" s="214" t="s">
        <v>347</v>
      </c>
      <c r="J3" s="214" t="s">
        <v>127</v>
      </c>
      <c r="K3" s="214" t="s">
        <v>110</v>
      </c>
      <c r="L3" s="214" t="s">
        <v>291</v>
      </c>
      <c r="M3" s="215"/>
      <c r="N3" s="178" t="s">
        <v>109</v>
      </c>
      <c r="O3" s="214" t="s">
        <v>130</v>
      </c>
      <c r="P3" s="214" t="s">
        <v>347</v>
      </c>
      <c r="Q3" s="214" t="s">
        <v>380</v>
      </c>
      <c r="R3" s="214" t="s">
        <v>110</v>
      </c>
    </row>
    <row r="4" spans="1:21" x14ac:dyDescent="0.25">
      <c r="A4" s="217" t="s">
        <v>169</v>
      </c>
      <c r="B4" s="218">
        <f>Psychiatry!B25</f>
        <v>3617793</v>
      </c>
      <c r="C4" s="218">
        <f>Psychiatry!B26</f>
        <v>1217722</v>
      </c>
      <c r="D4" s="218">
        <f>Psychiatry!B28</f>
        <v>253245.51000000004</v>
      </c>
      <c r="E4" s="218">
        <f>Psychiatry!B29</f>
        <v>180889.65000000002</v>
      </c>
      <c r="F4" s="257"/>
      <c r="G4" s="217" t="s">
        <v>111</v>
      </c>
      <c r="H4" s="218">
        <f>'Main Building'!D11</f>
        <v>9793201</v>
      </c>
      <c r="I4" s="218"/>
      <c r="J4" s="218">
        <f>'Main Building'!D13</f>
        <v>489660.05000000005</v>
      </c>
      <c r="K4" s="218">
        <f>'Main Building'!D12</f>
        <v>489660.05000000005</v>
      </c>
      <c r="L4" s="218">
        <f>'Main Building'!D17+'Main Building'!D31+'Main Building'!D45+'Main Building'!D60+'Main Building'!D76+'Main Building'!D95+'Main Building'!D115+'Main Building'!D136+'Main Building'!D157+'Main Building'!D182+'Main Building'!D204+'Main Building'!D226+'Main Building'!D247+'Main Building'!D269+'Main Building'!D307+'Main Building'!D350+'Main Building'!D388+'Main Building'!D439+'Main Building'!D474+'Main Building'!D522+'Main Building'!D575+'Main Building'!D605+'Main Building'!D639+'Main Building'!D669+'EYE WARD'!D20</f>
        <v>113803633.13925</v>
      </c>
      <c r="M4" s="219"/>
      <c r="N4" s="220" t="s">
        <v>136</v>
      </c>
      <c r="O4" s="221">
        <f>'Food Court'!D19</f>
        <v>5534433</v>
      </c>
      <c r="P4" s="221">
        <f>'Food Court'!C22</f>
        <v>0</v>
      </c>
      <c r="Q4" s="221">
        <f>'Food Court'!D22</f>
        <v>0</v>
      </c>
      <c r="R4" s="221">
        <f>'Food Court'!D23</f>
        <v>276721.65000000002</v>
      </c>
    </row>
    <row r="5" spans="1:21" x14ac:dyDescent="0.25">
      <c r="A5" s="217" t="s">
        <v>195</v>
      </c>
      <c r="B5" s="218">
        <f>Psychiatry!B48</f>
        <v>1783974</v>
      </c>
      <c r="C5" s="218">
        <f>Psychiatry!B49</f>
        <v>1189631</v>
      </c>
      <c r="D5" s="218">
        <f>Psychiatry!B51</f>
        <v>124878.18000000001</v>
      </c>
      <c r="E5" s="218">
        <f>Psychiatry!B52</f>
        <v>89198.700000000012</v>
      </c>
      <c r="F5" s="257"/>
      <c r="G5" s="217" t="s">
        <v>112</v>
      </c>
      <c r="H5" s="218">
        <f>'Main Building'!D25</f>
        <v>12363381.07</v>
      </c>
      <c r="I5" s="218"/>
      <c r="J5" s="218">
        <f>'Main Building'!D27</f>
        <v>618169.05350000004</v>
      </c>
      <c r="K5" s="218">
        <f>'Main Building'!D26</f>
        <v>618169.05350000004</v>
      </c>
      <c r="L5" s="218"/>
      <c r="M5" s="219"/>
      <c r="N5" s="220" t="s">
        <v>137</v>
      </c>
      <c r="O5" s="221">
        <f>'Food Court'!D67</f>
        <v>3160586</v>
      </c>
      <c r="P5" s="221">
        <f>'Food Court'!C68</f>
        <v>0</v>
      </c>
      <c r="Q5" s="221">
        <f>'Food Court'!D68</f>
        <v>0</v>
      </c>
      <c r="R5" s="221">
        <f>'Food Court'!D69</f>
        <v>158029.30000000002</v>
      </c>
    </row>
    <row r="6" spans="1:21" x14ac:dyDescent="0.25">
      <c r="A6" s="217" t="s">
        <v>280</v>
      </c>
      <c r="B6" s="218">
        <f>Psychiatry!B68</f>
        <v>2589130</v>
      </c>
      <c r="C6" s="218">
        <f>Psychiatry!B69</f>
        <v>553196</v>
      </c>
      <c r="D6" s="218">
        <f>Psychiatry!B71</f>
        <v>181239.1</v>
      </c>
      <c r="E6" s="218">
        <f>Psychiatry!B72</f>
        <v>129456.5</v>
      </c>
      <c r="F6" s="257"/>
      <c r="G6" s="217" t="s">
        <v>113</v>
      </c>
      <c r="H6" s="218">
        <f>'Main Building'!D39</f>
        <v>192962.6</v>
      </c>
      <c r="I6" s="218"/>
      <c r="J6" s="218">
        <f>'Main Building'!D41</f>
        <v>9648.130000000001</v>
      </c>
      <c r="K6" s="218">
        <f>'Main Building'!D40</f>
        <v>9648.130000000001</v>
      </c>
      <c r="L6" s="218"/>
      <c r="M6" s="219"/>
      <c r="N6" s="220" t="s">
        <v>138</v>
      </c>
      <c r="O6" s="218">
        <f>'Food Court'!D95</f>
        <v>1459846.96</v>
      </c>
      <c r="P6" s="221">
        <v>0</v>
      </c>
      <c r="Q6" s="221">
        <v>0</v>
      </c>
      <c r="R6" s="218">
        <f>'Food Court'!D97</f>
        <v>72992.347999999998</v>
      </c>
    </row>
    <row r="7" spans="1:21" x14ac:dyDescent="0.25">
      <c r="A7" s="217" t="s">
        <v>357</v>
      </c>
      <c r="B7" s="218">
        <f>Psychiatry!B92</f>
        <v>3901873</v>
      </c>
      <c r="C7" s="218">
        <f>Psychiatry!B93</f>
        <v>2158974</v>
      </c>
      <c r="D7" s="218">
        <f>Psychiatry!B95</f>
        <v>273131.11000000004</v>
      </c>
      <c r="E7" s="218">
        <f>Psychiatry!B96</f>
        <v>195093.65000000002</v>
      </c>
      <c r="F7" s="257"/>
      <c r="G7" s="217" t="s">
        <v>114</v>
      </c>
      <c r="H7" s="218">
        <f>'Main Building'!D54</f>
        <v>1275475.4099999999</v>
      </c>
      <c r="I7" s="218"/>
      <c r="J7" s="218">
        <f>'Main Building'!D56</f>
        <v>63773.770499999999</v>
      </c>
      <c r="K7" s="218">
        <f>'Main Building'!D55</f>
        <v>63773.770499999999</v>
      </c>
      <c r="L7" s="218"/>
      <c r="M7" s="219"/>
      <c r="N7" s="220" t="s">
        <v>169</v>
      </c>
      <c r="O7" s="218">
        <f>'Food Court'!D124</f>
        <v>5226462</v>
      </c>
      <c r="P7" s="221">
        <v>0</v>
      </c>
      <c r="Q7" s="221">
        <v>0</v>
      </c>
      <c r="R7" s="218">
        <f>'Food Court'!D126</f>
        <v>261323.1</v>
      </c>
    </row>
    <row r="8" spans="1:21" x14ac:dyDescent="0.25">
      <c r="A8" s="217" t="s">
        <v>358</v>
      </c>
      <c r="B8" s="218">
        <f>Psychiatry!B115</f>
        <v>16015759</v>
      </c>
      <c r="C8" s="218">
        <f>Psychiatry!B116</f>
        <v>9743633</v>
      </c>
      <c r="D8" s="218">
        <f>Psychiatry!B120</f>
        <v>2065325</v>
      </c>
      <c r="E8" s="218">
        <f>Psychiatry!B121</f>
        <v>800787.95000000007</v>
      </c>
      <c r="F8" s="257"/>
      <c r="G8" s="217" t="s">
        <v>115</v>
      </c>
      <c r="H8" s="218">
        <f>'Main Building'!D70</f>
        <v>6142481.7699999996</v>
      </c>
      <c r="I8" s="218">
        <v>733809</v>
      </c>
      <c r="J8" s="218">
        <f>'Main Building'!D72</f>
        <v>307124.08850000001</v>
      </c>
      <c r="K8" s="218">
        <f>'Main Building'!D71</f>
        <v>307124.08850000001</v>
      </c>
      <c r="L8" s="218"/>
      <c r="M8" s="219"/>
      <c r="N8" s="220" t="s">
        <v>194</v>
      </c>
      <c r="O8" s="218">
        <f>'Food Court'!D160</f>
        <v>1104253</v>
      </c>
      <c r="P8" s="221">
        <v>0</v>
      </c>
      <c r="Q8" s="221">
        <v>0</v>
      </c>
      <c r="R8" s="218">
        <f>'Food Court'!D162</f>
        <v>55212.65</v>
      </c>
    </row>
    <row r="9" spans="1:21" x14ac:dyDescent="0.25">
      <c r="A9" s="217"/>
      <c r="B9" s="218"/>
      <c r="C9" s="218"/>
      <c r="D9" s="218"/>
      <c r="E9" s="218"/>
      <c r="F9" s="257"/>
      <c r="G9" s="217" t="s">
        <v>116</v>
      </c>
      <c r="H9" s="218">
        <f>'Main Building'!D89</f>
        <v>3157443.3600000003</v>
      </c>
      <c r="I9" s="218">
        <f>'Main Building'!D88</f>
        <v>774378.05</v>
      </c>
      <c r="J9" s="218">
        <f>'Main Building'!D91</f>
        <v>157872.16800000003</v>
      </c>
      <c r="K9" s="218">
        <f>'Main Building'!D90</f>
        <v>157872.16800000003</v>
      </c>
      <c r="L9" s="218"/>
      <c r="M9" s="219"/>
      <c r="N9" s="220" t="s">
        <v>195</v>
      </c>
      <c r="O9" s="218">
        <f>'Food Court'!D188</f>
        <v>2060756</v>
      </c>
      <c r="P9" s="221">
        <v>0</v>
      </c>
      <c r="Q9" s="221">
        <v>0</v>
      </c>
      <c r="R9" s="218">
        <f>'Food Court'!D190</f>
        <v>103037.8</v>
      </c>
    </row>
    <row r="10" spans="1:21" x14ac:dyDescent="0.25">
      <c r="A10" s="217"/>
      <c r="B10" s="218"/>
      <c r="C10" s="218"/>
      <c r="D10" s="222"/>
      <c r="E10" s="222"/>
      <c r="F10" s="257"/>
      <c r="G10" s="217" t="s">
        <v>117</v>
      </c>
      <c r="H10" s="218">
        <f>'Main Building'!D109</f>
        <v>6719123.0600000005</v>
      </c>
      <c r="I10" s="218">
        <f>'Main Building'!D107</f>
        <v>177500</v>
      </c>
      <c r="J10" s="218">
        <f>'Main Building'!D111</f>
        <v>335956.15300000005</v>
      </c>
      <c r="K10" s="218">
        <f>'Main Building'!D110</f>
        <v>335956.15300000005</v>
      </c>
      <c r="L10" s="218"/>
      <c r="M10" s="219"/>
      <c r="N10" s="220" t="s">
        <v>280</v>
      </c>
      <c r="O10" s="218">
        <f>'Food Court'!D218</f>
        <v>2325902</v>
      </c>
      <c r="P10" s="221">
        <v>0</v>
      </c>
      <c r="Q10" s="221">
        <v>0</v>
      </c>
      <c r="R10" s="218">
        <f>'Food Court'!D220</f>
        <v>116295.1</v>
      </c>
    </row>
    <row r="11" spans="1:21" x14ac:dyDescent="0.25">
      <c r="A11" s="223" t="s">
        <v>178</v>
      </c>
      <c r="B11" s="229">
        <f>SUM(B4:B10)</f>
        <v>27908529</v>
      </c>
      <c r="C11" s="229">
        <f>SUM(C4:C10)</f>
        <v>14863156</v>
      </c>
      <c r="D11" s="229">
        <f>SUM(D4:D10)</f>
        <v>2897818.9000000004</v>
      </c>
      <c r="E11" s="229">
        <f>SUM(E4:E10)</f>
        <v>1395426.4500000002</v>
      </c>
      <c r="F11" s="257"/>
      <c r="G11" s="217" t="s">
        <v>118</v>
      </c>
      <c r="H11" s="218">
        <f>'Main Building'!D130</f>
        <v>4692127.8500000006</v>
      </c>
      <c r="I11" s="218">
        <f>'Main Building'!D127</f>
        <v>602592</v>
      </c>
      <c r="J11" s="218">
        <f>'Main Building'!D132</f>
        <v>234606.39250000005</v>
      </c>
      <c r="K11" s="218">
        <f>'Main Building'!D131</f>
        <v>234606.39250000005</v>
      </c>
      <c r="L11" s="218"/>
      <c r="M11" s="219"/>
      <c r="N11" s="220"/>
      <c r="O11" s="218"/>
      <c r="P11" s="218"/>
      <c r="Q11" s="222"/>
      <c r="R11" s="218"/>
    </row>
    <row r="12" spans="1:21" x14ac:dyDescent="0.25">
      <c r="F12" s="257"/>
      <c r="G12" s="217" t="s">
        <v>119</v>
      </c>
      <c r="H12" s="218">
        <f>'Main Building'!D151</f>
        <v>3776166.5</v>
      </c>
      <c r="I12" s="218">
        <f>'Main Building'!D148</f>
        <v>80576.800000000003</v>
      </c>
      <c r="J12" s="218">
        <f>'Main Building'!D153</f>
        <v>188808.32500000001</v>
      </c>
      <c r="K12" s="218">
        <f>'Main Building'!D152</f>
        <v>188808.32500000001</v>
      </c>
      <c r="L12" s="218"/>
      <c r="M12" s="219"/>
      <c r="N12" s="220"/>
      <c r="O12" s="218"/>
      <c r="P12" s="218"/>
      <c r="Q12" s="222"/>
      <c r="R12" s="218"/>
    </row>
    <row r="13" spans="1:21" x14ac:dyDescent="0.25">
      <c r="F13" s="257"/>
      <c r="G13" s="217" t="s">
        <v>120</v>
      </c>
      <c r="H13" s="218">
        <f>'Main Building'!D175</f>
        <v>6248869</v>
      </c>
      <c r="I13" s="218">
        <f>'Main Building'!D172</f>
        <v>169983</v>
      </c>
      <c r="J13" s="218">
        <f>'Main Building'!D178</f>
        <v>289010.19125000003</v>
      </c>
      <c r="K13" s="218">
        <f>'Main Building'!D179</f>
        <v>289010.19125000003</v>
      </c>
      <c r="L13" s="218"/>
      <c r="M13" s="219"/>
      <c r="N13" s="220"/>
      <c r="O13" s="218"/>
      <c r="P13" s="218"/>
      <c r="Q13" s="222"/>
      <c r="R13" s="218"/>
    </row>
    <row r="14" spans="1:21" x14ac:dyDescent="0.25">
      <c r="F14" s="257"/>
      <c r="G14" s="217" t="s">
        <v>121</v>
      </c>
      <c r="H14" s="218">
        <f>'Main Building'!D197</f>
        <v>377332</v>
      </c>
      <c r="I14" s="218">
        <f>'Main Building'!D195</f>
        <v>0</v>
      </c>
      <c r="J14" s="218">
        <f>'Main Building'!D200</f>
        <v>17451.605</v>
      </c>
      <c r="K14" s="218">
        <f>'Main Building'!D201</f>
        <v>17451.605</v>
      </c>
      <c r="L14" s="218"/>
      <c r="M14" s="219"/>
      <c r="N14" s="223" t="s">
        <v>141</v>
      </c>
      <c r="O14" s="224">
        <f>SUM(O4:O13)</f>
        <v>20872238.960000001</v>
      </c>
      <c r="P14" s="224"/>
      <c r="Q14" s="224">
        <f>SUM(Q4:Q7)</f>
        <v>0</v>
      </c>
      <c r="R14" s="229">
        <f>SUM(R4:R13)</f>
        <v>1043611.9480000001</v>
      </c>
    </row>
    <row r="15" spans="1:21" x14ac:dyDescent="0.25">
      <c r="F15" s="257"/>
      <c r="G15" s="217" t="s">
        <v>122</v>
      </c>
      <c r="H15" s="218">
        <f>'Main Building'!D219</f>
        <v>6807460</v>
      </c>
      <c r="I15" s="218">
        <f>'Main Building'!D216</f>
        <v>124383</v>
      </c>
      <c r="J15" s="218">
        <f>'Main Building'!D222</f>
        <v>314845.02500000002</v>
      </c>
      <c r="K15" s="218">
        <f>'Main Building'!D223</f>
        <v>314845.02500000002</v>
      </c>
      <c r="L15" s="218"/>
      <c r="M15" s="219"/>
      <c r="N15" s="356"/>
      <c r="O15" s="356"/>
      <c r="P15" s="356"/>
      <c r="Q15" s="356"/>
      <c r="R15" s="356"/>
    </row>
    <row r="16" spans="1:21" x14ac:dyDescent="0.25">
      <c r="F16" s="257"/>
      <c r="G16" s="217" t="s">
        <v>123</v>
      </c>
      <c r="H16" s="218">
        <f>'Main Building'!D241</f>
        <v>3491607</v>
      </c>
      <c r="I16" s="218">
        <f>'Main Building'!D239</f>
        <v>0</v>
      </c>
      <c r="J16" s="218">
        <f>'Main Building'!D242</f>
        <v>174580.35</v>
      </c>
      <c r="K16" s="218">
        <f>'Main Building'!D243</f>
        <v>174580.35</v>
      </c>
      <c r="L16" s="218"/>
      <c r="M16" s="219"/>
      <c r="N16" s="178"/>
      <c r="O16" s="214"/>
      <c r="P16" s="214"/>
      <c r="Q16" s="214"/>
      <c r="R16" s="214"/>
      <c r="U16" s="225">
        <f>O14+H30</f>
        <v>171506541.31000003</v>
      </c>
    </row>
    <row r="17" spans="6:18" x14ac:dyDescent="0.25">
      <c r="F17" s="257"/>
      <c r="G17" s="217" t="s">
        <v>124</v>
      </c>
      <c r="H17" s="218">
        <f>'Main Building'!D263</f>
        <v>24353979</v>
      </c>
      <c r="I17" s="218">
        <f>'Main Building'!D261</f>
        <v>0</v>
      </c>
      <c r="J17" s="218">
        <f>'Main Building'!D264</f>
        <v>1217698.95</v>
      </c>
      <c r="K17" s="218">
        <f>'Main Building'!D265</f>
        <v>1217698.95</v>
      </c>
      <c r="L17" s="218"/>
      <c r="M17" s="219"/>
      <c r="N17" s="220"/>
      <c r="O17" s="221"/>
      <c r="P17" s="221"/>
      <c r="Q17" s="221"/>
      <c r="R17" s="221"/>
    </row>
    <row r="18" spans="6:18" x14ac:dyDescent="0.25">
      <c r="F18" s="257"/>
      <c r="G18" s="217" t="s">
        <v>125</v>
      </c>
      <c r="H18" s="218">
        <f>'Main Building'!D301</f>
        <v>10867281</v>
      </c>
      <c r="I18" s="218">
        <f>'Main Building'!D298</f>
        <v>2370257</v>
      </c>
      <c r="J18" s="218">
        <f>'Main Building'!D302</f>
        <v>543364.05000000005</v>
      </c>
      <c r="K18" s="218">
        <f>'Main Building'!D303</f>
        <v>661876.9</v>
      </c>
      <c r="L18" s="218"/>
      <c r="M18" s="219"/>
      <c r="N18" s="220"/>
      <c r="O18" s="221"/>
      <c r="P18" s="221"/>
      <c r="Q18" s="221"/>
      <c r="R18" s="221"/>
    </row>
    <row r="19" spans="6:18" x14ac:dyDescent="0.25">
      <c r="F19" s="257"/>
      <c r="G19" s="217" t="s">
        <v>126</v>
      </c>
      <c r="H19" s="218">
        <f>'Main Building'!D344</f>
        <v>9232251.7300000004</v>
      </c>
      <c r="I19" s="218">
        <f>'Main Building'!D342</f>
        <v>0</v>
      </c>
      <c r="J19" s="218">
        <f>'Main Building'!D345</f>
        <v>461612.58650000003</v>
      </c>
      <c r="K19" s="218">
        <f>'Main Building'!D346</f>
        <v>461612.58650000003</v>
      </c>
      <c r="L19" s="218"/>
      <c r="M19" s="219"/>
      <c r="N19" s="222"/>
      <c r="O19" s="222"/>
      <c r="P19" s="222"/>
      <c r="Q19" s="222"/>
      <c r="R19" s="222"/>
    </row>
    <row r="20" spans="6:18" x14ac:dyDescent="0.25">
      <c r="F20" s="257"/>
      <c r="G20" s="217" t="s">
        <v>142</v>
      </c>
      <c r="H20" s="218">
        <f>'Main Building'!D382</f>
        <v>6108294</v>
      </c>
      <c r="I20" s="218">
        <f>'Main Building'!D379</f>
        <v>536112</v>
      </c>
      <c r="J20" s="218">
        <v>0</v>
      </c>
      <c r="K20" s="218">
        <f>'Main Building'!D384</f>
        <v>332220.30000000005</v>
      </c>
      <c r="L20" s="218"/>
      <c r="M20" s="226"/>
      <c r="N20" s="220"/>
      <c r="O20" s="224"/>
      <c r="P20" s="224"/>
      <c r="Q20" s="224"/>
      <c r="R20" s="224"/>
    </row>
    <row r="21" spans="6:18" x14ac:dyDescent="0.25">
      <c r="F21" s="257"/>
      <c r="G21" s="217" t="s">
        <v>191</v>
      </c>
      <c r="H21" s="218">
        <f>'Main Building'!D431</f>
        <v>7841449</v>
      </c>
      <c r="I21" s="218">
        <v>184922</v>
      </c>
      <c r="J21" s="218">
        <v>0</v>
      </c>
      <c r="K21" s="218">
        <f>'Main Building'!D435</f>
        <v>392072.45</v>
      </c>
      <c r="L21" s="218"/>
      <c r="M21" s="226"/>
      <c r="N21" s="222"/>
      <c r="O21" s="222"/>
      <c r="P21" s="222"/>
      <c r="Q21" s="222"/>
      <c r="R21" s="222"/>
    </row>
    <row r="22" spans="6:18" x14ac:dyDescent="0.25">
      <c r="F22" s="258"/>
      <c r="G22" s="217" t="s">
        <v>192</v>
      </c>
      <c r="H22" s="218">
        <f>'Main Building'!D468</f>
        <v>1662697</v>
      </c>
      <c r="I22" s="218"/>
      <c r="J22" s="218">
        <v>0</v>
      </c>
      <c r="K22" s="222">
        <f>'Main Building'!D470</f>
        <v>83134.850000000006</v>
      </c>
      <c r="L22" s="222"/>
      <c r="M22" s="226"/>
      <c r="N22" s="356"/>
      <c r="O22" s="356"/>
      <c r="P22" s="356"/>
      <c r="Q22" s="356"/>
      <c r="R22" s="356"/>
    </row>
    <row r="23" spans="6:18" x14ac:dyDescent="0.25">
      <c r="F23" s="257"/>
      <c r="G23" s="217" t="s">
        <v>274</v>
      </c>
      <c r="H23" s="218">
        <f>'Main Building'!D514</f>
        <v>8517689</v>
      </c>
      <c r="I23" s="218">
        <v>299100</v>
      </c>
      <c r="J23" s="218"/>
      <c r="K23" s="218">
        <f>'Main Building'!D518</f>
        <v>425884.45</v>
      </c>
      <c r="L23" s="218"/>
      <c r="M23" s="226"/>
      <c r="N23" s="178"/>
      <c r="O23" s="214"/>
      <c r="P23" s="214"/>
      <c r="Q23" s="214"/>
      <c r="R23" s="214"/>
    </row>
    <row r="24" spans="6:18" x14ac:dyDescent="0.25">
      <c r="F24" s="257"/>
      <c r="G24" s="217" t="s">
        <v>275</v>
      </c>
      <c r="H24" s="218">
        <f>'Main Building'!D567</f>
        <v>6275375</v>
      </c>
      <c r="I24" s="218">
        <v>195368</v>
      </c>
      <c r="J24" s="218"/>
      <c r="K24" s="218">
        <f>'Main Building'!E571</f>
        <v>309379.45</v>
      </c>
      <c r="L24" s="218"/>
      <c r="M24" s="227"/>
      <c r="N24" s="220"/>
      <c r="O24" s="221"/>
      <c r="P24" s="221"/>
      <c r="Q24" s="221"/>
      <c r="R24" s="221"/>
    </row>
    <row r="25" spans="6:18" x14ac:dyDescent="0.25">
      <c r="F25" s="257"/>
      <c r="G25" s="217" t="s">
        <v>302</v>
      </c>
      <c r="H25" s="218">
        <f>'Main Building'!D599</f>
        <v>4182733</v>
      </c>
      <c r="I25" s="218"/>
      <c r="J25" s="218"/>
      <c r="K25" s="218">
        <f>'Main Building'!D601</f>
        <v>209136.65000000002</v>
      </c>
      <c r="L25" s="228"/>
      <c r="N25" s="220"/>
      <c r="O25" s="221"/>
      <c r="P25" s="221"/>
      <c r="Q25" s="221"/>
      <c r="R25" s="221"/>
    </row>
    <row r="26" spans="6:18" x14ac:dyDescent="0.25">
      <c r="F26" s="257"/>
      <c r="G26" s="217" t="s">
        <v>322</v>
      </c>
      <c r="H26" s="218">
        <f>'Main Building'!D661</f>
        <v>6030968</v>
      </c>
      <c r="I26" s="218">
        <f>'Main Building'!D662</f>
        <v>1316520</v>
      </c>
      <c r="J26" s="218"/>
      <c r="K26" s="218">
        <f>'Main Building'!D665</f>
        <v>301548.40000000002</v>
      </c>
      <c r="N26" s="222"/>
      <c r="O26" s="222"/>
      <c r="P26" s="222"/>
      <c r="Q26" s="222"/>
      <c r="R26" s="222"/>
    </row>
    <row r="27" spans="6:18" x14ac:dyDescent="0.25">
      <c r="F27" s="257"/>
      <c r="G27" s="217" t="s">
        <v>356</v>
      </c>
      <c r="H27" s="218">
        <f>'Main Building'!D633</f>
        <v>523955</v>
      </c>
      <c r="I27" s="218"/>
      <c r="J27" s="218"/>
      <c r="K27" s="218"/>
      <c r="N27" s="222"/>
      <c r="O27" s="222"/>
      <c r="P27" s="222"/>
      <c r="Q27" s="222"/>
      <c r="R27" s="222"/>
    </row>
    <row r="28" spans="6:18" x14ac:dyDescent="0.25">
      <c r="F28" s="257"/>
      <c r="G28" s="217"/>
      <c r="H28" s="218"/>
      <c r="I28" s="218"/>
      <c r="J28" s="218"/>
      <c r="K28" s="218"/>
      <c r="N28" s="222"/>
      <c r="O28" s="222"/>
      <c r="P28" s="222"/>
      <c r="Q28" s="222"/>
      <c r="R28" s="222"/>
    </row>
    <row r="29" spans="6:18" x14ac:dyDescent="0.25">
      <c r="F29" s="258"/>
      <c r="G29" s="217"/>
      <c r="H29" s="218"/>
      <c r="I29" s="218"/>
      <c r="J29" s="222"/>
      <c r="K29" s="222"/>
      <c r="N29" s="222"/>
      <c r="O29" s="222"/>
      <c r="P29" s="222"/>
      <c r="Q29" s="222"/>
      <c r="R29" s="222"/>
    </row>
    <row r="30" spans="6:18" x14ac:dyDescent="0.25">
      <c r="F30" s="259"/>
      <c r="G30" s="223" t="s">
        <v>178</v>
      </c>
      <c r="H30" s="229">
        <f>SUM(H4:H29)</f>
        <v>150634302.35000002</v>
      </c>
      <c r="I30" s="229">
        <f>SUM(I4:I29)</f>
        <v>7565500.8499999996</v>
      </c>
      <c r="J30" s="229">
        <f>SUM(J4:J29)</f>
        <v>5424180.8887500009</v>
      </c>
      <c r="K30" s="229">
        <f>SUM(K4:K29)</f>
        <v>7596070.2887500022</v>
      </c>
      <c r="L30" s="230"/>
      <c r="N30" s="220"/>
      <c r="O30" s="224"/>
      <c r="P30" s="224"/>
      <c r="Q30" s="224"/>
      <c r="R30" s="224"/>
    </row>
  </sheetData>
  <mergeCells count="8">
    <mergeCell ref="N22:R22"/>
    <mergeCell ref="G2:K2"/>
    <mergeCell ref="N2:R2"/>
    <mergeCell ref="A2:E2"/>
    <mergeCell ref="G1:K1"/>
    <mergeCell ref="N1:R1"/>
    <mergeCell ref="N15:R15"/>
    <mergeCell ref="A1:E1"/>
  </mergeCells>
  <printOptions horizontalCentered="1"/>
  <pageMargins left="0" right="0" top="0" bottom="0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46"/>
  <sheetViews>
    <sheetView workbookViewId="0">
      <selection activeCell="D3" sqref="D3"/>
    </sheetView>
  </sheetViews>
  <sheetFormatPr defaultRowHeight="15" x14ac:dyDescent="0.25"/>
  <cols>
    <col min="1" max="1" width="28.85546875" customWidth="1"/>
    <col min="2" max="2" width="21.42578125" customWidth="1"/>
    <col min="3" max="3" width="26" customWidth="1"/>
    <col min="4" max="4" width="19.5703125" customWidth="1"/>
    <col min="5" max="5" width="1.5703125" style="243" customWidth="1"/>
    <col min="6" max="6" width="28.85546875" customWidth="1"/>
    <col min="7" max="7" width="18" customWidth="1"/>
    <col min="8" max="8" width="16.7109375" customWidth="1"/>
    <col min="9" max="9" width="19.5703125" customWidth="1"/>
    <col min="10" max="10" width="1.5703125" style="243" customWidth="1"/>
    <col min="11" max="11" width="28.85546875" customWidth="1"/>
    <col min="12" max="12" width="18" customWidth="1"/>
    <col min="13" max="13" width="16.7109375" customWidth="1"/>
    <col min="14" max="14" width="19.5703125" customWidth="1"/>
    <col min="15" max="15" width="1.5703125" style="243" customWidth="1"/>
    <col min="16" max="16" width="28.85546875" customWidth="1"/>
    <col min="17" max="17" width="18" customWidth="1"/>
    <col min="18" max="18" width="16.7109375" customWidth="1"/>
    <col min="19" max="19" width="19.5703125" customWidth="1"/>
    <col min="22" max="22" width="41.85546875" customWidth="1"/>
    <col min="23" max="23" width="20" customWidth="1"/>
    <col min="24" max="24" width="18.85546875" customWidth="1"/>
    <col min="25" max="25" width="16.7109375" customWidth="1"/>
    <col min="26" max="26" width="20.140625" customWidth="1"/>
  </cols>
  <sheetData>
    <row r="1" spans="1:26" s="2" customFormat="1" ht="15.75" thickBot="1" x14ac:dyDescent="0.3">
      <c r="D1" s="10"/>
      <c r="E1" s="232"/>
      <c r="I1" s="10"/>
      <c r="J1" s="232"/>
      <c r="N1" s="10"/>
      <c r="O1" s="232"/>
      <c r="S1" s="10"/>
      <c r="V1" s="10"/>
      <c r="W1" s="10"/>
      <c r="X1" s="10"/>
    </row>
    <row r="2" spans="1:26" s="2" customFormat="1" ht="24.75" customHeight="1" thickBot="1" x14ac:dyDescent="0.3">
      <c r="A2" s="366" t="s">
        <v>366</v>
      </c>
      <c r="B2" s="367"/>
      <c r="C2" s="367"/>
      <c r="D2" s="368"/>
      <c r="E2" s="233"/>
      <c r="F2" s="366" t="s">
        <v>363</v>
      </c>
      <c r="G2" s="367"/>
      <c r="H2" s="367"/>
      <c r="I2" s="368"/>
      <c r="J2" s="233"/>
      <c r="K2" s="366" t="s">
        <v>362</v>
      </c>
      <c r="L2" s="367"/>
      <c r="M2" s="367"/>
      <c r="N2" s="368"/>
      <c r="O2" s="233"/>
      <c r="P2" s="366" t="s">
        <v>276</v>
      </c>
      <c r="Q2" s="367"/>
      <c r="R2" s="367"/>
      <c r="S2" s="368"/>
      <c r="V2" s="10"/>
      <c r="W2" s="10"/>
      <c r="X2" s="10"/>
    </row>
    <row r="3" spans="1:26" s="2" customFormat="1" ht="21" x14ac:dyDescent="0.35">
      <c r="A3" s="275" t="s">
        <v>279</v>
      </c>
      <c r="B3" s="275"/>
      <c r="C3" s="275"/>
      <c r="D3" s="97">
        <f>Psychiatry!B8</f>
        <v>1472540</v>
      </c>
      <c r="E3" s="234"/>
      <c r="F3" s="275" t="s">
        <v>279</v>
      </c>
      <c r="G3" s="275"/>
      <c r="H3" s="275"/>
      <c r="I3" s="97">
        <v>1043612</v>
      </c>
      <c r="J3" s="234"/>
      <c r="K3" s="275" t="s">
        <v>279</v>
      </c>
      <c r="L3" s="275"/>
      <c r="M3" s="275"/>
      <c r="N3" s="97">
        <v>7592013</v>
      </c>
      <c r="O3" s="234"/>
      <c r="P3" s="275" t="s">
        <v>279</v>
      </c>
      <c r="Q3" s="275"/>
      <c r="R3" s="275"/>
      <c r="S3" s="231">
        <v>6255597</v>
      </c>
      <c r="T3" s="170" t="s">
        <v>323</v>
      </c>
      <c r="V3" s="10"/>
      <c r="W3" s="10"/>
      <c r="X3" s="10"/>
    </row>
    <row r="4" spans="1:26" s="2" customFormat="1" ht="21" x14ac:dyDescent="0.35">
      <c r="A4" s="369"/>
      <c r="B4" s="370"/>
      <c r="C4" s="370"/>
      <c r="D4" s="371"/>
      <c r="E4" s="235"/>
      <c r="F4" s="369"/>
      <c r="G4" s="370"/>
      <c r="H4" s="370"/>
      <c r="I4" s="371"/>
      <c r="J4" s="235"/>
      <c r="K4" s="289" t="s">
        <v>277</v>
      </c>
      <c r="L4" s="290"/>
      <c r="M4" s="291"/>
      <c r="N4" s="97">
        <v>1204885</v>
      </c>
      <c r="O4" s="235"/>
      <c r="P4" s="289" t="s">
        <v>277</v>
      </c>
      <c r="Q4" s="290"/>
      <c r="R4" s="291"/>
      <c r="S4" s="97">
        <v>1204885</v>
      </c>
      <c r="T4" t="s">
        <v>289</v>
      </c>
      <c r="V4" s="159"/>
      <c r="W4" s="159"/>
      <c r="X4" s="159"/>
      <c r="Y4" s="159"/>
    </row>
    <row r="5" spans="1:26" s="2" customFormat="1" ht="21" x14ac:dyDescent="0.35">
      <c r="A5" s="275" t="s">
        <v>39</v>
      </c>
      <c r="B5" s="275"/>
      <c r="C5" s="275"/>
      <c r="D5" s="136">
        <f>D3*7.5%</f>
        <v>110440.5</v>
      </c>
      <c r="E5" s="236"/>
      <c r="F5" s="275" t="s">
        <v>39</v>
      </c>
      <c r="G5" s="275"/>
      <c r="H5" s="275"/>
      <c r="I5" s="136">
        <f>I3*7.5%</f>
        <v>78270.899999999994</v>
      </c>
      <c r="J5" s="236"/>
      <c r="K5" s="289" t="s">
        <v>277</v>
      </c>
      <c r="L5" s="290"/>
      <c r="M5" s="291"/>
      <c r="N5" s="97">
        <v>2525356</v>
      </c>
      <c r="O5" s="236"/>
      <c r="P5" s="275" t="s">
        <v>220</v>
      </c>
      <c r="Q5" s="275"/>
      <c r="R5" s="275"/>
      <c r="S5" s="97">
        <f>S3-S4</f>
        <v>5050712</v>
      </c>
      <c r="V5" s="162" t="s">
        <v>290</v>
      </c>
      <c r="W5" s="160" t="s">
        <v>293</v>
      </c>
      <c r="X5" s="160" t="s">
        <v>88</v>
      </c>
      <c r="Y5" s="161" t="s">
        <v>132</v>
      </c>
      <c r="Z5" s="161" t="s">
        <v>316</v>
      </c>
    </row>
    <row r="6" spans="1:26" s="2" customFormat="1" ht="23.25" x14ac:dyDescent="0.35">
      <c r="A6" s="275" t="s">
        <v>41</v>
      </c>
      <c r="B6" s="275"/>
      <c r="C6" s="275"/>
      <c r="D6" s="98">
        <f>D3-D5</f>
        <v>1362099.5</v>
      </c>
      <c r="E6" s="237"/>
      <c r="F6" s="275" t="s">
        <v>41</v>
      </c>
      <c r="G6" s="275"/>
      <c r="H6" s="275"/>
      <c r="I6" s="98">
        <f>I3-I5</f>
        <v>965341.1</v>
      </c>
      <c r="J6" s="237"/>
      <c r="K6" s="275" t="s">
        <v>220</v>
      </c>
      <c r="L6" s="275"/>
      <c r="M6" s="275"/>
      <c r="N6" s="97">
        <f>N3-N4-N5</f>
        <v>3861772</v>
      </c>
      <c r="O6" s="237"/>
      <c r="P6" s="369"/>
      <c r="Q6" s="370"/>
      <c r="R6" s="370"/>
      <c r="S6" s="371"/>
      <c r="V6" s="61" t="s">
        <v>292</v>
      </c>
      <c r="W6" s="61">
        <f>'excess ret money amount'!D29</f>
        <v>7600459.588750002</v>
      </c>
      <c r="X6" s="61">
        <f>'Bills Summary'!R14</f>
        <v>1043611.9480000001</v>
      </c>
      <c r="Y6" s="70">
        <f>'JPMC MOSQUE'!D58</f>
        <v>40153.350000000006</v>
      </c>
      <c r="Z6" s="70">
        <f>Psychiatry!B29+Psychiatry!B52+Psychiatry!B72+Psychiatry!B96+Psychiatry!B121</f>
        <v>1395426.4500000002</v>
      </c>
    </row>
    <row r="7" spans="1:26" s="2" customFormat="1" ht="23.25" x14ac:dyDescent="0.35">
      <c r="D7" s="10"/>
      <c r="E7" s="237"/>
      <c r="I7" s="10"/>
      <c r="J7" s="237"/>
      <c r="K7" s="369"/>
      <c r="L7" s="370"/>
      <c r="M7" s="370"/>
      <c r="N7" s="371"/>
      <c r="O7" s="237"/>
      <c r="P7" s="369"/>
      <c r="Q7" s="370"/>
      <c r="R7" s="370"/>
      <c r="S7" s="371"/>
      <c r="V7" s="61" t="s">
        <v>291</v>
      </c>
      <c r="W7" s="61">
        <f>S4+S22</f>
        <v>3539910</v>
      </c>
      <c r="X7" s="70">
        <v>0</v>
      </c>
      <c r="Y7" s="70">
        <v>0</v>
      </c>
      <c r="Z7" s="70">
        <v>0</v>
      </c>
    </row>
    <row r="8" spans="1:26" s="2" customFormat="1" ht="26.25" x14ac:dyDescent="0.35">
      <c r="A8" s="276" t="s">
        <v>94</v>
      </c>
      <c r="B8" s="276"/>
      <c r="C8" s="276"/>
      <c r="D8" s="276"/>
      <c r="E8" s="236"/>
      <c r="F8" s="276" t="s">
        <v>94</v>
      </c>
      <c r="G8" s="276"/>
      <c r="H8" s="276"/>
      <c r="I8" s="276"/>
      <c r="J8" s="236"/>
      <c r="K8" s="275" t="s">
        <v>39</v>
      </c>
      <c r="L8" s="275"/>
      <c r="M8" s="275"/>
      <c r="N8" s="136">
        <f>N6*7.5%</f>
        <v>289632.89999999997</v>
      </c>
      <c r="O8" s="236"/>
      <c r="P8" s="275" t="s">
        <v>278</v>
      </c>
      <c r="Q8" s="275"/>
      <c r="R8" s="275"/>
      <c r="S8" s="97">
        <f>S5*50%</f>
        <v>2525356</v>
      </c>
      <c r="V8" s="61" t="s">
        <v>60</v>
      </c>
      <c r="W8" s="61">
        <f>W6-W7</f>
        <v>4060549.588750002</v>
      </c>
      <c r="X8" s="61">
        <f>X6-X7</f>
        <v>1043611.9480000001</v>
      </c>
      <c r="Y8" s="61">
        <f>Y6-Y7</f>
        <v>40153.350000000006</v>
      </c>
      <c r="Z8" s="61">
        <f>Z6-Z7</f>
        <v>1395426.4500000002</v>
      </c>
    </row>
    <row r="9" spans="1:26" s="2" customFormat="1" ht="21" x14ac:dyDescent="0.35">
      <c r="A9" s="365"/>
      <c r="B9" s="365"/>
      <c r="C9" s="365"/>
      <c r="D9" s="206"/>
      <c r="E9" s="236"/>
      <c r="F9" s="365"/>
      <c r="G9" s="365"/>
      <c r="H9" s="365"/>
      <c r="I9" s="206"/>
      <c r="J9" s="236"/>
      <c r="K9" s="275" t="s">
        <v>41</v>
      </c>
      <c r="L9" s="275"/>
      <c r="M9" s="275"/>
      <c r="N9" s="98">
        <f>N6-N8</f>
        <v>3572139.1</v>
      </c>
      <c r="O9" s="236"/>
      <c r="P9" s="275" t="s">
        <v>39</v>
      </c>
      <c r="Q9" s="275"/>
      <c r="R9" s="275"/>
      <c r="S9" s="136">
        <f>S8*7.5%</f>
        <v>189401.69999999998</v>
      </c>
      <c r="V9" s="10"/>
      <c r="W9" s="138">
        <f>W6-4389</f>
        <v>7596070.588750002</v>
      </c>
      <c r="X9" s="29"/>
    </row>
    <row r="10" spans="1:26" s="2" customFormat="1" ht="51" customHeight="1" x14ac:dyDescent="0.35">
      <c r="A10" s="365"/>
      <c r="B10" s="365"/>
      <c r="C10" s="365"/>
      <c r="D10" s="206"/>
      <c r="E10" s="238"/>
      <c r="F10" s="363" t="s">
        <v>361</v>
      </c>
      <c r="G10" s="363"/>
      <c r="H10" s="363"/>
      <c r="I10" s="206">
        <v>250000</v>
      </c>
      <c r="J10" s="238"/>
      <c r="N10" s="10"/>
      <c r="O10" s="238"/>
      <c r="P10" s="275" t="s">
        <v>41</v>
      </c>
      <c r="Q10" s="275"/>
      <c r="R10" s="275"/>
      <c r="S10" s="98">
        <f>S8-S9</f>
        <v>2335954.2999999998</v>
      </c>
      <c r="V10" s="49"/>
      <c r="W10" s="253">
        <v>7592013</v>
      </c>
      <c r="X10" s="49"/>
    </row>
    <row r="11" spans="1:26" s="2" customFormat="1" ht="39.75" customHeight="1" x14ac:dyDescent="0.25">
      <c r="A11" s="365"/>
      <c r="B11" s="365"/>
      <c r="C11" s="365"/>
      <c r="D11" s="206"/>
      <c r="E11" s="232"/>
      <c r="F11" s="365" t="s">
        <v>381</v>
      </c>
      <c r="G11" s="365"/>
      <c r="H11" s="365"/>
      <c r="I11" s="206">
        <v>291662</v>
      </c>
      <c r="J11" s="232"/>
      <c r="K11" s="276" t="s">
        <v>94</v>
      </c>
      <c r="L11" s="276"/>
      <c r="M11" s="276"/>
      <c r="N11" s="276"/>
      <c r="O11" s="232"/>
      <c r="S11" s="10"/>
      <c r="V11" s="10"/>
      <c r="W11" s="10"/>
      <c r="X11" s="10"/>
    </row>
    <row r="12" spans="1:26" s="2" customFormat="1" ht="48" customHeight="1" x14ac:dyDescent="0.25">
      <c r="A12" s="365"/>
      <c r="B12" s="365"/>
      <c r="C12" s="365"/>
      <c r="D12" s="206"/>
      <c r="E12" s="239"/>
      <c r="F12" s="365" t="s">
        <v>382</v>
      </c>
      <c r="G12" s="365"/>
      <c r="H12" s="365"/>
      <c r="I12" s="206">
        <v>236198.89999999991</v>
      </c>
      <c r="J12" s="239"/>
      <c r="K12" s="365" t="s">
        <v>359</v>
      </c>
      <c r="L12" s="365"/>
      <c r="M12" s="365"/>
      <c r="N12" s="206">
        <v>750000</v>
      </c>
      <c r="O12" s="239"/>
      <c r="P12" s="276" t="s">
        <v>94</v>
      </c>
      <c r="Q12" s="276"/>
      <c r="R12" s="276"/>
      <c r="S12" s="276"/>
      <c r="V12" s="161" t="s">
        <v>294</v>
      </c>
      <c r="W12" s="161">
        <f>W8+X8+Y8+Z8</f>
        <v>6539741.3367500016</v>
      </c>
      <c r="X12" s="10"/>
    </row>
    <row r="13" spans="1:26" s="2" customFormat="1" ht="36" customHeight="1" x14ac:dyDescent="0.35">
      <c r="A13" s="363"/>
      <c r="B13" s="363"/>
      <c r="C13" s="363"/>
      <c r="D13" s="206"/>
      <c r="E13" s="240"/>
      <c r="F13" s="363"/>
      <c r="G13" s="363"/>
      <c r="H13" s="363"/>
      <c r="I13" s="206"/>
      <c r="J13" s="240"/>
      <c r="K13" s="365" t="s">
        <v>359</v>
      </c>
      <c r="L13" s="365"/>
      <c r="M13" s="365"/>
      <c r="N13" s="206">
        <v>750000</v>
      </c>
      <c r="O13" s="240"/>
      <c r="P13" s="372" t="s">
        <v>370</v>
      </c>
      <c r="Q13" s="372"/>
      <c r="R13" s="372"/>
      <c r="S13" s="157">
        <v>700000</v>
      </c>
      <c r="T13" s="7"/>
      <c r="U13" s="7"/>
      <c r="V13" s="10"/>
      <c r="W13" s="10"/>
      <c r="X13" s="10"/>
    </row>
    <row r="14" spans="1:26" s="2" customFormat="1" ht="33.75" customHeight="1" x14ac:dyDescent="0.35">
      <c r="A14" s="363"/>
      <c r="B14" s="363"/>
      <c r="C14" s="363"/>
      <c r="D14" s="206"/>
      <c r="E14" s="241"/>
      <c r="F14" s="363"/>
      <c r="G14" s="363"/>
      <c r="H14" s="363"/>
      <c r="I14" s="206"/>
      <c r="J14" s="241"/>
      <c r="K14" s="365" t="s">
        <v>360</v>
      </c>
      <c r="L14" s="365"/>
      <c r="M14" s="365"/>
      <c r="N14" s="206">
        <v>1100000</v>
      </c>
      <c r="O14" s="241"/>
      <c r="P14" s="372" t="s">
        <v>371</v>
      </c>
      <c r="Q14" s="372"/>
      <c r="R14" s="372"/>
      <c r="S14" s="59">
        <v>501000</v>
      </c>
      <c r="U14" s="7"/>
      <c r="V14" s="10"/>
      <c r="W14" s="10"/>
      <c r="X14" s="10"/>
    </row>
    <row r="15" spans="1:26" s="2" customFormat="1" ht="45.75" customHeight="1" x14ac:dyDescent="0.35">
      <c r="A15" s="364"/>
      <c r="B15" s="364"/>
      <c r="C15" s="364"/>
      <c r="D15" s="206"/>
      <c r="E15" s="241"/>
      <c r="F15" s="364"/>
      <c r="G15" s="364"/>
      <c r="H15" s="364"/>
      <c r="I15" s="206"/>
      <c r="J15" s="241"/>
      <c r="K15" s="365" t="s">
        <v>381</v>
      </c>
      <c r="L15" s="365"/>
      <c r="M15" s="365"/>
      <c r="N15" s="206">
        <v>208338</v>
      </c>
      <c r="O15" s="241"/>
      <c r="P15" s="372" t="s">
        <v>372</v>
      </c>
      <c r="Q15" s="372"/>
      <c r="R15" s="372"/>
      <c r="S15" s="59">
        <v>150000</v>
      </c>
      <c r="V15" s="10"/>
      <c r="W15" s="10"/>
      <c r="X15" s="10"/>
    </row>
    <row r="16" spans="1:26" s="2" customFormat="1" ht="45.75" customHeight="1" x14ac:dyDescent="0.35">
      <c r="A16" s="277"/>
      <c r="B16" s="277"/>
      <c r="C16" s="277"/>
      <c r="D16" s="59"/>
      <c r="E16" s="240"/>
      <c r="F16" s="277"/>
      <c r="G16" s="277"/>
      <c r="H16" s="277"/>
      <c r="I16" s="59"/>
      <c r="J16" s="240"/>
      <c r="K16" s="365" t="s">
        <v>382</v>
      </c>
      <c r="L16" s="365"/>
      <c r="M16" s="365"/>
      <c r="N16" s="206">
        <v>763801.10000000009</v>
      </c>
      <c r="O16" s="240"/>
      <c r="P16" s="372" t="s">
        <v>369</v>
      </c>
      <c r="Q16" s="372"/>
      <c r="R16" s="372"/>
      <c r="S16" s="157">
        <v>450000</v>
      </c>
      <c r="V16" s="10"/>
      <c r="W16" s="10"/>
      <c r="X16" s="10"/>
    </row>
    <row r="17" spans="1:24" s="2" customFormat="1" ht="21" x14ac:dyDescent="0.35">
      <c r="A17" s="277"/>
      <c r="B17" s="277"/>
      <c r="C17" s="277"/>
      <c r="D17" s="59"/>
      <c r="E17" s="241"/>
      <c r="F17" s="277"/>
      <c r="G17" s="277"/>
      <c r="H17" s="277"/>
      <c r="I17" s="59"/>
      <c r="J17" s="241"/>
      <c r="K17" s="363"/>
      <c r="L17" s="363"/>
      <c r="M17" s="363"/>
      <c r="N17" s="206"/>
      <c r="O17" s="241"/>
      <c r="P17" s="372" t="s">
        <v>368</v>
      </c>
      <c r="Q17" s="372"/>
      <c r="R17" s="372"/>
      <c r="S17" s="59">
        <v>275079</v>
      </c>
      <c r="T17" s="29"/>
      <c r="V17" s="10"/>
      <c r="W17" s="10"/>
      <c r="X17" s="10"/>
    </row>
    <row r="18" spans="1:24" s="2" customFormat="1" ht="23.25" x14ac:dyDescent="0.35">
      <c r="A18" s="274" t="s">
        <v>160</v>
      </c>
      <c r="B18" s="274"/>
      <c r="C18" s="274"/>
      <c r="D18" s="106">
        <f>SUM(D9:D17)</f>
        <v>0</v>
      </c>
      <c r="E18" s="241"/>
      <c r="F18" s="274" t="s">
        <v>160</v>
      </c>
      <c r="G18" s="274"/>
      <c r="H18" s="274"/>
      <c r="I18" s="106">
        <f>SUM(I9:I17)</f>
        <v>777860.89999999991</v>
      </c>
      <c r="J18" s="241"/>
      <c r="K18" s="364"/>
      <c r="L18" s="364"/>
      <c r="M18" s="364"/>
      <c r="N18" s="206"/>
      <c r="O18" s="241"/>
      <c r="P18" s="372" t="s">
        <v>367</v>
      </c>
      <c r="Q18" s="372"/>
      <c r="R18" s="372"/>
      <c r="S18" s="59">
        <v>206910</v>
      </c>
      <c r="U18" s="7"/>
      <c r="V18" s="10"/>
      <c r="W18" s="10"/>
      <c r="X18" s="10"/>
    </row>
    <row r="19" spans="1:24" s="2" customFormat="1" ht="23.25" x14ac:dyDescent="0.35">
      <c r="A19" s="274" t="s">
        <v>220</v>
      </c>
      <c r="B19" s="274"/>
      <c r="C19" s="274"/>
      <c r="D19" s="106">
        <f>D6-D18</f>
        <v>1362099.5</v>
      </c>
      <c r="E19" s="241"/>
      <c r="F19" s="274" t="s">
        <v>220</v>
      </c>
      <c r="G19" s="274"/>
      <c r="H19" s="274"/>
      <c r="I19" s="106">
        <f>I6-I18</f>
        <v>187480.20000000007</v>
      </c>
      <c r="J19" s="241"/>
      <c r="K19" s="277"/>
      <c r="L19" s="277"/>
      <c r="M19" s="277"/>
      <c r="N19" s="59"/>
      <c r="O19" s="241"/>
      <c r="P19" s="277"/>
      <c r="Q19" s="277"/>
      <c r="R19" s="277"/>
      <c r="S19" s="59">
        <v>52036</v>
      </c>
      <c r="V19" s="10"/>
      <c r="W19" s="10"/>
      <c r="X19" s="10"/>
    </row>
    <row r="20" spans="1:24" s="2" customFormat="1" ht="23.25" x14ac:dyDescent="0.35">
      <c r="A20"/>
      <c r="B20"/>
      <c r="C20"/>
      <c r="D20"/>
      <c r="E20" s="241"/>
      <c r="F20" s="274" t="s">
        <v>383</v>
      </c>
      <c r="G20" s="274"/>
      <c r="H20" s="274"/>
      <c r="I20" s="106">
        <v>34658.375</v>
      </c>
      <c r="J20" s="241"/>
      <c r="K20" s="277"/>
      <c r="L20" s="277"/>
      <c r="M20" s="277"/>
      <c r="N20" s="59"/>
      <c r="O20" s="241"/>
      <c r="P20" s="277"/>
      <c r="Q20" s="277"/>
      <c r="R20" s="277"/>
      <c r="S20" s="59"/>
      <c r="V20" s="10"/>
      <c r="W20" s="10"/>
      <c r="X20" s="10"/>
    </row>
    <row r="21" spans="1:24" s="2" customFormat="1" ht="23.25" x14ac:dyDescent="0.35">
      <c r="A21" s="65" t="s">
        <v>290</v>
      </c>
      <c r="B21" s="208" t="s">
        <v>293</v>
      </c>
      <c r="C21" s="209" t="s">
        <v>88</v>
      </c>
      <c r="D21" s="208" t="s">
        <v>132</v>
      </c>
      <c r="E21" s="241"/>
      <c r="F21" s="274" t="s">
        <v>384</v>
      </c>
      <c r="G21" s="274"/>
      <c r="H21" s="274"/>
      <c r="I21" s="106">
        <v>21862</v>
      </c>
      <c r="J21" s="241"/>
      <c r="K21" s="274" t="s">
        <v>160</v>
      </c>
      <c r="L21" s="274"/>
      <c r="M21" s="274"/>
      <c r="N21" s="106">
        <f>SUM(N12:N20)</f>
        <v>3572139.1</v>
      </c>
      <c r="O21" s="241"/>
      <c r="P21" s="277"/>
      <c r="Q21" s="277"/>
      <c r="R21" s="277"/>
      <c r="S21" s="59"/>
      <c r="V21" s="10"/>
      <c r="W21" s="10"/>
      <c r="X21" s="10"/>
    </row>
    <row r="22" spans="1:24" s="2" customFormat="1" ht="42" x14ac:dyDescent="0.25">
      <c r="A22" s="210" t="s">
        <v>292</v>
      </c>
      <c r="B22" s="65">
        <f>I6</f>
        <v>965341.1</v>
      </c>
      <c r="C22" s="65">
        <f>J6</f>
        <v>0</v>
      </c>
      <c r="D22" s="65" t="str">
        <f t="shared" ref="D22:D24" si="0">K6</f>
        <v>Remaining amount</v>
      </c>
      <c r="E22" s="242"/>
      <c r="F22" s="362" t="s">
        <v>385</v>
      </c>
      <c r="G22" s="362"/>
      <c r="H22" s="362"/>
      <c r="I22" s="254">
        <f>I21+I20+I19</f>
        <v>244000.57500000007</v>
      </c>
      <c r="J22" s="242"/>
      <c r="K22" s="362" t="s">
        <v>220</v>
      </c>
      <c r="L22" s="362"/>
      <c r="M22" s="362"/>
      <c r="N22" s="254">
        <f>N9-N21</f>
        <v>0</v>
      </c>
      <c r="O22" s="242"/>
      <c r="P22" s="274" t="s">
        <v>160</v>
      </c>
      <c r="Q22" s="274"/>
      <c r="R22" s="274"/>
      <c r="S22" s="106">
        <f>SUM(S13:S21)</f>
        <v>2335025</v>
      </c>
      <c r="V22" s="10"/>
      <c r="W22" s="10"/>
      <c r="X22" s="10"/>
    </row>
    <row r="23" spans="1:24" s="2" customFormat="1" ht="23.25" x14ac:dyDescent="0.25">
      <c r="A23" s="65" t="s">
        <v>291</v>
      </c>
      <c r="B23" s="65">
        <f>I7</f>
        <v>0</v>
      </c>
      <c r="C23" s="65">
        <f t="shared" ref="C23:C24" si="1">J7</f>
        <v>0</v>
      </c>
      <c r="D23" s="65">
        <f t="shared" si="0"/>
        <v>0</v>
      </c>
      <c r="E23" s="242"/>
      <c r="F23" s="263"/>
      <c r="G23" s="263"/>
      <c r="H23" s="263"/>
      <c r="I23" s="264"/>
      <c r="J23" s="242"/>
      <c r="K23"/>
      <c r="L23"/>
      <c r="M23"/>
      <c r="N23" s="261"/>
      <c r="O23" s="242"/>
      <c r="P23" s="274" t="s">
        <v>220</v>
      </c>
      <c r="Q23" s="274"/>
      <c r="R23" s="274"/>
      <c r="S23" s="106">
        <f>S10-S22</f>
        <v>929.29999999981374</v>
      </c>
      <c r="V23" s="10"/>
      <c r="W23" s="10"/>
      <c r="X23" s="10"/>
    </row>
    <row r="24" spans="1:24" ht="23.25" x14ac:dyDescent="0.25">
      <c r="A24" s="65" t="s">
        <v>60</v>
      </c>
      <c r="B24" s="65">
        <f>I8</f>
        <v>0</v>
      </c>
      <c r="C24" s="65">
        <f t="shared" si="1"/>
        <v>0</v>
      </c>
      <c r="D24" s="65" t="str">
        <f t="shared" si="0"/>
        <v>Income Tax 7.5%</v>
      </c>
      <c r="F24" s="263"/>
      <c r="G24" s="263"/>
      <c r="H24" s="263"/>
      <c r="I24" s="264"/>
      <c r="K24" s="65" t="s">
        <v>290</v>
      </c>
      <c r="L24" s="208" t="s">
        <v>293</v>
      </c>
      <c r="M24" s="209" t="s">
        <v>88</v>
      </c>
      <c r="N24" s="208" t="s">
        <v>132</v>
      </c>
      <c r="V24" s="10"/>
      <c r="W24" s="10"/>
      <c r="X24" s="10"/>
    </row>
    <row r="25" spans="1:24" ht="42" x14ac:dyDescent="0.25">
      <c r="A25" s="10"/>
      <c r="B25" s="10"/>
      <c r="C25" s="29"/>
      <c r="D25" s="2"/>
      <c r="E25" s="245"/>
      <c r="F25" s="263"/>
      <c r="G25" s="263"/>
      <c r="H25" s="263"/>
      <c r="I25" s="264"/>
      <c r="J25" s="245"/>
      <c r="K25" s="210" t="s">
        <v>292</v>
      </c>
      <c r="L25" s="65">
        <f>S6</f>
        <v>0</v>
      </c>
      <c r="M25" s="65">
        <f>T6</f>
        <v>0</v>
      </c>
      <c r="N25" s="65">
        <f t="shared" ref="N25:N27" si="2">U6</f>
        <v>0</v>
      </c>
      <c r="O25" s="245"/>
      <c r="P25" s="247"/>
      <c r="Q25" s="248"/>
      <c r="R25" s="249"/>
      <c r="S25" s="248"/>
    </row>
    <row r="26" spans="1:24" ht="23.25" x14ac:dyDescent="0.25">
      <c r="A26" s="49"/>
      <c r="B26" s="49"/>
      <c r="C26" s="49"/>
      <c r="D26" s="2"/>
      <c r="E26" s="246"/>
      <c r="F26" s="263"/>
      <c r="G26" s="263"/>
      <c r="H26" s="263"/>
      <c r="I26" s="264"/>
      <c r="J26" s="246"/>
      <c r="K26" s="65" t="s">
        <v>291</v>
      </c>
      <c r="L26" s="65">
        <f>S7</f>
        <v>0</v>
      </c>
      <c r="M26" s="65">
        <f t="shared" ref="M26:M27" si="3">T7</f>
        <v>0</v>
      </c>
      <c r="N26" s="65">
        <f t="shared" si="2"/>
        <v>0</v>
      </c>
      <c r="O26" s="246"/>
      <c r="P26" s="250"/>
      <c r="Q26" s="247"/>
      <c r="R26" s="247"/>
      <c r="S26" s="247"/>
    </row>
    <row r="27" spans="1:24" ht="21" x14ac:dyDescent="0.25">
      <c r="A27" s="10"/>
      <c r="B27" s="10"/>
      <c r="C27" s="10"/>
      <c r="D27" s="2"/>
      <c r="E27" s="246"/>
      <c r="J27" s="246"/>
      <c r="K27" s="65" t="s">
        <v>60</v>
      </c>
      <c r="L27" s="65">
        <f>S8</f>
        <v>2525356</v>
      </c>
      <c r="M27" s="65">
        <f t="shared" si="3"/>
        <v>0</v>
      </c>
      <c r="N27" s="65">
        <f t="shared" si="2"/>
        <v>0</v>
      </c>
      <c r="O27" s="246"/>
      <c r="P27" s="247"/>
      <c r="Q27" s="247"/>
      <c r="R27" s="247"/>
      <c r="S27" s="247"/>
    </row>
    <row r="28" spans="1:24" ht="21" x14ac:dyDescent="0.25">
      <c r="A28" s="161" t="s">
        <v>294</v>
      </c>
      <c r="B28" s="161" t="e">
        <f>B24+C24+D24</f>
        <v>#VALUE!</v>
      </c>
      <c r="C28" s="10"/>
      <c r="D28" s="2"/>
      <c r="E28" s="246"/>
      <c r="F28" s="65" t="s">
        <v>290</v>
      </c>
      <c r="G28" s="208" t="s">
        <v>293</v>
      </c>
      <c r="H28" s="209" t="s">
        <v>88</v>
      </c>
      <c r="I28" s="208" t="s">
        <v>132</v>
      </c>
      <c r="J28" s="246"/>
      <c r="K28" s="10"/>
      <c r="L28" s="10"/>
      <c r="M28" s="29"/>
      <c r="N28" s="2"/>
      <c r="O28" s="246"/>
      <c r="P28" s="247"/>
      <c r="Q28" s="247"/>
      <c r="R28" s="247"/>
      <c r="S28" s="247"/>
    </row>
    <row r="29" spans="1:24" ht="42" x14ac:dyDescent="0.25">
      <c r="E29" s="244"/>
      <c r="F29" s="210" t="s">
        <v>292</v>
      </c>
      <c r="G29" s="65">
        <f>N6</f>
        <v>3861772</v>
      </c>
      <c r="H29" s="65">
        <f>O6</f>
        <v>0</v>
      </c>
      <c r="I29" s="65">
        <f t="shared" ref="I29:I31" si="4">P6</f>
        <v>0</v>
      </c>
      <c r="J29" s="244"/>
      <c r="K29" s="49"/>
      <c r="L29" s="49"/>
      <c r="M29" s="49"/>
      <c r="N29" s="2"/>
      <c r="O29" s="244"/>
      <c r="P29" s="23"/>
      <c r="Q29" s="23"/>
      <c r="R29" s="29"/>
      <c r="S29" s="2"/>
    </row>
    <row r="30" spans="1:24" ht="21" x14ac:dyDescent="0.25">
      <c r="E30" s="244"/>
      <c r="F30" s="65" t="s">
        <v>291</v>
      </c>
      <c r="G30" s="65">
        <f>N7</f>
        <v>0</v>
      </c>
      <c r="H30" s="65">
        <f t="shared" ref="H30:H31" si="5">O7</f>
        <v>0</v>
      </c>
      <c r="I30" s="65">
        <f t="shared" si="4"/>
        <v>0</v>
      </c>
      <c r="J30" s="244"/>
      <c r="K30" s="10"/>
      <c r="L30" s="10"/>
      <c r="M30" s="10"/>
      <c r="N30" s="10">
        <v>7596139.588750002</v>
      </c>
      <c r="O30" s="244"/>
      <c r="P30" s="251"/>
      <c r="Q30" s="251"/>
      <c r="R30" s="251"/>
      <c r="S30" s="2"/>
    </row>
    <row r="31" spans="1:24" ht="21" x14ac:dyDescent="0.25">
      <c r="E31" s="244"/>
      <c r="F31" s="65" t="s">
        <v>60</v>
      </c>
      <c r="G31" s="65">
        <f>N8</f>
        <v>289632.89999999997</v>
      </c>
      <c r="H31" s="65">
        <f t="shared" si="5"/>
        <v>0</v>
      </c>
      <c r="I31" s="65" t="str">
        <f t="shared" si="4"/>
        <v>Released 50% amount</v>
      </c>
      <c r="J31" s="244"/>
      <c r="K31" s="161" t="s">
        <v>294</v>
      </c>
      <c r="L31" s="161">
        <f>L27+M27+N27</f>
        <v>2525356</v>
      </c>
      <c r="M31" s="10"/>
      <c r="N31" s="10">
        <f>N4+N5</f>
        <v>3730241</v>
      </c>
      <c r="O31" s="244"/>
      <c r="P31" s="23"/>
      <c r="Q31" s="23"/>
      <c r="R31" s="23"/>
      <c r="S31" s="2"/>
    </row>
    <row r="32" spans="1:24" ht="18.75" x14ac:dyDescent="0.25">
      <c r="E32" s="244"/>
      <c r="F32" s="10"/>
      <c r="G32" s="10"/>
      <c r="H32" s="29"/>
      <c r="I32" s="2"/>
      <c r="J32" s="244"/>
      <c r="N32" s="49">
        <f>N30-N31</f>
        <v>3865898.588750002</v>
      </c>
      <c r="O32" s="244"/>
      <c r="P32" s="252"/>
      <c r="Q32" s="252"/>
      <c r="R32" s="23"/>
      <c r="S32" s="2"/>
    </row>
    <row r="33" spans="2:14" x14ac:dyDescent="0.25">
      <c r="F33" s="49"/>
      <c r="G33" s="49"/>
      <c r="H33" s="49"/>
      <c r="I33" s="2"/>
    </row>
    <row r="34" spans="2:14" ht="21" x14ac:dyDescent="0.35">
      <c r="F34" s="10"/>
      <c r="G34" s="10"/>
      <c r="H34" s="10"/>
      <c r="I34" s="2"/>
      <c r="N34" s="136">
        <f>N32*7.5%</f>
        <v>289942.39415625011</v>
      </c>
    </row>
    <row r="35" spans="2:14" ht="21" x14ac:dyDescent="0.35">
      <c r="F35" s="161" t="s">
        <v>294</v>
      </c>
      <c r="G35" s="161" t="e">
        <f>G31+H31+I31</f>
        <v>#VALUE!</v>
      </c>
      <c r="H35" s="10"/>
      <c r="I35" s="2"/>
      <c r="N35" s="98">
        <f>N32-N34</f>
        <v>3575956.1945937518</v>
      </c>
    </row>
    <row r="36" spans="2:14" x14ac:dyDescent="0.25">
      <c r="N36" s="49">
        <v>2808338</v>
      </c>
    </row>
    <row r="37" spans="2:14" x14ac:dyDescent="0.25">
      <c r="N37" s="49">
        <f>N35-N36</f>
        <v>767618.1945937518</v>
      </c>
    </row>
    <row r="39" spans="2:14" ht="29.25" customHeight="1" x14ac:dyDescent="0.25">
      <c r="B39" s="267" t="s">
        <v>387</v>
      </c>
      <c r="C39" s="267" t="s">
        <v>388</v>
      </c>
    </row>
    <row r="40" spans="2:14" ht="29.25" customHeight="1" x14ac:dyDescent="0.25">
      <c r="B40" s="265" t="s">
        <v>386</v>
      </c>
      <c r="C40" s="266">
        <f>D19</f>
        <v>1362099.5</v>
      </c>
    </row>
    <row r="41" spans="2:14" ht="29.25" customHeight="1" x14ac:dyDescent="0.25">
      <c r="B41" s="265" t="s">
        <v>199</v>
      </c>
      <c r="C41" s="266">
        <f>I22</f>
        <v>244000.57500000007</v>
      </c>
    </row>
    <row r="42" spans="2:14" ht="33" customHeight="1" x14ac:dyDescent="0.25">
      <c r="B42" s="268" t="s">
        <v>389</v>
      </c>
      <c r="C42" s="266">
        <f>SUM(C40:C41)</f>
        <v>1606100.0750000002</v>
      </c>
    </row>
    <row r="46" spans="2:14" x14ac:dyDescent="0.25">
      <c r="C46" s="269">
        <v>6266079</v>
      </c>
    </row>
  </sheetData>
  <mergeCells count="78">
    <mergeCell ref="K22:M22"/>
    <mergeCell ref="K6:M6"/>
    <mergeCell ref="K17:M17"/>
    <mergeCell ref="K18:M18"/>
    <mergeCell ref="K19:M19"/>
    <mergeCell ref="K20:M20"/>
    <mergeCell ref="K21:M21"/>
    <mergeCell ref="K12:M12"/>
    <mergeCell ref="K13:M13"/>
    <mergeCell ref="K14:M14"/>
    <mergeCell ref="K15:M15"/>
    <mergeCell ref="K16:M16"/>
    <mergeCell ref="K7:N7"/>
    <mergeCell ref="K8:M8"/>
    <mergeCell ref="K9:M9"/>
    <mergeCell ref="K11:N11"/>
    <mergeCell ref="P22:R22"/>
    <mergeCell ref="P18:R18"/>
    <mergeCell ref="P19:R19"/>
    <mergeCell ref="P20:R20"/>
    <mergeCell ref="P21:R21"/>
    <mergeCell ref="P5:R5"/>
    <mergeCell ref="P17:R17"/>
    <mergeCell ref="K2:N2"/>
    <mergeCell ref="K3:M3"/>
    <mergeCell ref="K4:M4"/>
    <mergeCell ref="K5:M5"/>
    <mergeCell ref="F2:I2"/>
    <mergeCell ref="F3:H3"/>
    <mergeCell ref="P23:R23"/>
    <mergeCell ref="P2:S2"/>
    <mergeCell ref="P6:S6"/>
    <mergeCell ref="P7:S7"/>
    <mergeCell ref="P8:R8"/>
    <mergeCell ref="P9:R9"/>
    <mergeCell ref="P10:R10"/>
    <mergeCell ref="P12:S12"/>
    <mergeCell ref="P13:R13"/>
    <mergeCell ref="P14:R14"/>
    <mergeCell ref="P15:R15"/>
    <mergeCell ref="P16:R16"/>
    <mergeCell ref="P3:R3"/>
    <mergeCell ref="P4:R4"/>
    <mergeCell ref="F4:I4"/>
    <mergeCell ref="F5:H5"/>
    <mergeCell ref="F6:H6"/>
    <mergeCell ref="F8:I8"/>
    <mergeCell ref="F9:H9"/>
    <mergeCell ref="F10:H10"/>
    <mergeCell ref="F11:H11"/>
    <mergeCell ref="F12:H12"/>
    <mergeCell ref="F13:H13"/>
    <mergeCell ref="F14:H14"/>
    <mergeCell ref="F15:H15"/>
    <mergeCell ref="F16:H16"/>
    <mergeCell ref="F17:H17"/>
    <mergeCell ref="F18:H18"/>
    <mergeCell ref="F20:H20"/>
    <mergeCell ref="A2:D2"/>
    <mergeCell ref="A3:C3"/>
    <mergeCell ref="A4:D4"/>
    <mergeCell ref="A5:C5"/>
    <mergeCell ref="A6:C6"/>
    <mergeCell ref="A8:D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F21:H21"/>
    <mergeCell ref="F22:H22"/>
    <mergeCell ref="F19:H19"/>
    <mergeCell ref="A18:C18"/>
    <mergeCell ref="A19:C19"/>
  </mergeCells>
  <hyperlinks>
    <hyperlink ref="S3" r:id="rId1" display="..\..\..\Xls\JPMC\Kiani Voice (1).ogg" xr:uid="{00000000-0004-0000-0400-000000000000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34"/>
  <sheetViews>
    <sheetView topLeftCell="A202" zoomScale="80" zoomScaleNormal="80" workbookViewId="0">
      <selection activeCell="D43" sqref="D43"/>
    </sheetView>
  </sheetViews>
  <sheetFormatPr defaultColWidth="8.85546875" defaultRowHeight="18.75" x14ac:dyDescent="0.3"/>
  <cols>
    <col min="1" max="1" width="8.85546875" style="20"/>
    <col min="2" max="2" width="9.140625" style="20" customWidth="1"/>
    <col min="3" max="3" width="47.28515625" style="20" customWidth="1"/>
    <col min="4" max="4" width="23.28515625" style="20" customWidth="1"/>
    <col min="5" max="5" width="14" style="20" customWidth="1"/>
    <col min="6" max="6" width="17.28515625" style="128" customWidth="1"/>
    <col min="7" max="7" width="19.140625" style="21" customWidth="1"/>
    <col min="8" max="8" width="16.42578125" style="20" customWidth="1"/>
    <col min="9" max="10" width="8.85546875" style="20"/>
    <col min="11" max="11" width="30" style="20" customWidth="1"/>
    <col min="12" max="12" width="23.5703125" style="20" customWidth="1"/>
    <col min="13" max="16384" width="8.85546875" style="20"/>
  </cols>
  <sheetData>
    <row r="1" spans="1:9" s="2" customFormat="1" ht="23.25" x14ac:dyDescent="0.25">
      <c r="A1" s="315" t="s">
        <v>0</v>
      </c>
      <c r="B1" s="316"/>
      <c r="C1" s="316"/>
      <c r="D1" s="317"/>
      <c r="E1" s="1"/>
      <c r="F1" s="125"/>
      <c r="G1" s="10"/>
      <c r="H1" s="10"/>
      <c r="I1" s="10"/>
    </row>
    <row r="2" spans="1:9" s="2" customFormat="1" ht="23.25" x14ac:dyDescent="0.25">
      <c r="A2" s="318" t="s">
        <v>1</v>
      </c>
      <c r="B2" s="319"/>
      <c r="C2" s="319"/>
      <c r="D2" s="320"/>
      <c r="E2" s="3"/>
      <c r="F2" s="126"/>
      <c r="G2" s="10"/>
      <c r="H2" s="10"/>
      <c r="I2" s="10"/>
    </row>
    <row r="3" spans="1:9" s="2" customFormat="1" ht="23.25" x14ac:dyDescent="0.25">
      <c r="A3" s="375" t="s">
        <v>199</v>
      </c>
      <c r="B3" s="376"/>
      <c r="C3" s="376"/>
      <c r="D3" s="377"/>
      <c r="E3" s="3"/>
      <c r="F3" s="126"/>
      <c r="G3" s="10"/>
      <c r="H3" s="10"/>
      <c r="I3" s="10"/>
    </row>
    <row r="4" spans="1:9" s="2" customFormat="1" ht="18.75" customHeight="1" x14ac:dyDescent="0.3">
      <c r="A4" s="321" t="s">
        <v>27</v>
      </c>
      <c r="B4" s="321"/>
      <c r="C4" s="321"/>
      <c r="D4" s="321"/>
      <c r="F4" s="127"/>
      <c r="G4" s="10"/>
      <c r="H4" s="10"/>
      <c r="I4" s="10"/>
    </row>
    <row r="5" spans="1:9" s="2" customFormat="1" x14ac:dyDescent="0.3">
      <c r="A5" s="322" t="s">
        <v>6</v>
      </c>
      <c r="B5" s="322"/>
      <c r="C5" s="322"/>
      <c r="D5" s="322"/>
      <c r="F5" s="127"/>
      <c r="G5" s="23"/>
      <c r="H5" s="23"/>
      <c r="I5" s="23"/>
    </row>
    <row r="6" spans="1:9" x14ac:dyDescent="0.3">
      <c r="A6" s="311" t="s">
        <v>52</v>
      </c>
      <c r="B6" s="312"/>
      <c r="C6" s="313"/>
      <c r="D6" s="15"/>
      <c r="H6" s="21"/>
      <c r="I6" s="21"/>
    </row>
    <row r="7" spans="1:9" x14ac:dyDescent="0.3">
      <c r="A7" s="310" t="s">
        <v>3</v>
      </c>
      <c r="B7" s="310"/>
      <c r="C7" s="310"/>
      <c r="D7" s="13"/>
      <c r="H7" s="21"/>
      <c r="I7" s="21"/>
    </row>
    <row r="8" spans="1:9" x14ac:dyDescent="0.3">
      <c r="A8" s="310" t="s">
        <v>4</v>
      </c>
      <c r="B8" s="310" t="s">
        <v>3</v>
      </c>
      <c r="C8" s="310" t="s">
        <v>3</v>
      </c>
      <c r="D8" s="13"/>
      <c r="H8" s="21"/>
      <c r="I8" s="21"/>
    </row>
    <row r="9" spans="1:9" x14ac:dyDescent="0.3">
      <c r="A9" s="310" t="s">
        <v>5</v>
      </c>
      <c r="B9" s="310" t="s">
        <v>5</v>
      </c>
      <c r="C9" s="310" t="s">
        <v>5</v>
      </c>
      <c r="D9" s="13"/>
      <c r="H9" s="21"/>
      <c r="I9" s="21"/>
    </row>
    <row r="10" spans="1:9" x14ac:dyDescent="0.3">
      <c r="A10" s="310" t="s">
        <v>31</v>
      </c>
      <c r="B10" s="310" t="s">
        <v>5</v>
      </c>
      <c r="C10" s="310" t="s">
        <v>5</v>
      </c>
      <c r="D10" s="13"/>
      <c r="H10" s="21"/>
      <c r="I10" s="21"/>
    </row>
    <row r="11" spans="1:9" x14ac:dyDescent="0.3">
      <c r="A11" s="310" t="s">
        <v>30</v>
      </c>
      <c r="B11" s="310" t="s">
        <v>5</v>
      </c>
      <c r="C11" s="310" t="s">
        <v>5</v>
      </c>
      <c r="D11" s="13"/>
      <c r="H11" s="21"/>
      <c r="I11" s="21"/>
    </row>
    <row r="12" spans="1:9" x14ac:dyDescent="0.3">
      <c r="A12" s="310" t="s">
        <v>42</v>
      </c>
      <c r="B12" s="310"/>
      <c r="C12" s="310"/>
      <c r="D12" s="13"/>
      <c r="H12" s="21"/>
      <c r="I12" s="21"/>
    </row>
    <row r="13" spans="1:9" x14ac:dyDescent="0.3">
      <c r="A13" s="310" t="s">
        <v>44</v>
      </c>
      <c r="B13" s="310"/>
      <c r="C13" s="310"/>
      <c r="D13" s="13"/>
      <c r="H13" s="21"/>
      <c r="I13" s="21"/>
    </row>
    <row r="14" spans="1:9" x14ac:dyDescent="0.3">
      <c r="A14" s="310" t="s">
        <v>11</v>
      </c>
      <c r="B14" s="310" t="s">
        <v>3</v>
      </c>
      <c r="C14" s="310" t="s">
        <v>3</v>
      </c>
      <c r="D14" s="13"/>
      <c r="H14" s="21"/>
      <c r="I14" s="21"/>
    </row>
    <row r="15" spans="1:9" x14ac:dyDescent="0.3">
      <c r="A15" s="300" t="s">
        <v>53</v>
      </c>
      <c r="B15" s="300"/>
      <c r="C15" s="300"/>
      <c r="D15" s="13">
        <v>5534433</v>
      </c>
      <c r="H15" s="21"/>
      <c r="I15" s="21"/>
    </row>
    <row r="16" spans="1:9" x14ac:dyDescent="0.3">
      <c r="A16" s="310" t="s">
        <v>23</v>
      </c>
      <c r="B16" s="310"/>
      <c r="C16" s="310"/>
      <c r="D16" s="13"/>
      <c r="H16" s="21"/>
      <c r="I16" s="21"/>
    </row>
    <row r="17" spans="1:9" x14ac:dyDescent="0.3">
      <c r="A17" s="310" t="s">
        <v>24</v>
      </c>
      <c r="B17" s="310"/>
      <c r="C17" s="310"/>
      <c r="D17" s="13"/>
      <c r="H17" s="21"/>
      <c r="I17" s="21"/>
    </row>
    <row r="18" spans="1:9" x14ac:dyDescent="0.3">
      <c r="A18" s="310" t="s">
        <v>25</v>
      </c>
      <c r="B18" s="310"/>
      <c r="C18" s="310"/>
      <c r="D18" s="13"/>
      <c r="H18" s="21"/>
      <c r="I18" s="21"/>
    </row>
    <row r="19" spans="1:9" x14ac:dyDescent="0.3">
      <c r="A19" s="300" t="s">
        <v>53</v>
      </c>
      <c r="B19" s="300"/>
      <c r="C19" s="300"/>
      <c r="D19" s="13">
        <f>D15-D16</f>
        <v>5534433</v>
      </c>
      <c r="H19" s="21"/>
      <c r="I19" s="21"/>
    </row>
    <row r="20" spans="1:9" x14ac:dyDescent="0.3">
      <c r="A20" s="300" t="s">
        <v>39</v>
      </c>
      <c r="B20" s="300"/>
      <c r="C20" s="300"/>
      <c r="D20" s="13"/>
      <c r="H20" s="21"/>
      <c r="I20" s="21"/>
    </row>
    <row r="21" spans="1:9" x14ac:dyDescent="0.3">
      <c r="A21" s="300" t="s">
        <v>48</v>
      </c>
      <c r="B21" s="300"/>
      <c r="C21" s="300"/>
      <c r="D21" s="13">
        <f>D19-D20</f>
        <v>5534433</v>
      </c>
      <c r="H21" s="21"/>
      <c r="I21" s="21"/>
    </row>
    <row r="22" spans="1:9" x14ac:dyDescent="0.3">
      <c r="A22" s="300" t="s">
        <v>37</v>
      </c>
      <c r="B22" s="300"/>
      <c r="C22" s="300"/>
      <c r="D22" s="13"/>
      <c r="H22" s="21"/>
      <c r="I22" s="21"/>
    </row>
    <row r="23" spans="1:9" x14ac:dyDescent="0.3">
      <c r="A23" s="300" t="s">
        <v>47</v>
      </c>
      <c r="B23" s="300"/>
      <c r="C23" s="300"/>
      <c r="D23" s="13">
        <f>D21*5%</f>
        <v>276721.65000000002</v>
      </c>
      <c r="H23" s="21"/>
      <c r="I23" s="21"/>
    </row>
    <row r="24" spans="1:9" x14ac:dyDescent="0.3">
      <c r="A24" s="300" t="s">
        <v>38</v>
      </c>
      <c r="B24" s="300"/>
      <c r="C24" s="300"/>
      <c r="D24" s="13">
        <f>D21*8%</f>
        <v>442754.64</v>
      </c>
      <c r="H24" s="21"/>
      <c r="I24" s="21"/>
    </row>
    <row r="25" spans="1:9" x14ac:dyDescent="0.3">
      <c r="A25" s="300" t="s">
        <v>40</v>
      </c>
      <c r="B25" s="300"/>
      <c r="C25" s="300"/>
      <c r="D25" s="13">
        <f>SUM(D22:D24)</f>
        <v>719476.29</v>
      </c>
      <c r="H25" s="21"/>
      <c r="I25" s="21"/>
    </row>
    <row r="26" spans="1:9" x14ac:dyDescent="0.3">
      <c r="A26" s="301" t="s">
        <v>41</v>
      </c>
      <c r="B26" s="301"/>
      <c r="C26" s="301"/>
      <c r="D26" s="14">
        <f>D21-D25</f>
        <v>4814956.71</v>
      </c>
      <c r="H26" s="21"/>
      <c r="I26" s="21"/>
    </row>
    <row r="27" spans="1:9" x14ac:dyDescent="0.3">
      <c r="D27" s="21"/>
      <c r="H27" s="21"/>
      <c r="I27" s="21"/>
    </row>
    <row r="28" spans="1:9" x14ac:dyDescent="0.3">
      <c r="A28" s="311" t="s">
        <v>54</v>
      </c>
      <c r="B28" s="312"/>
      <c r="C28" s="313"/>
      <c r="D28" s="15"/>
      <c r="H28" s="21"/>
      <c r="I28" s="21"/>
    </row>
    <row r="29" spans="1:9" x14ac:dyDescent="0.3">
      <c r="A29" s="310" t="s">
        <v>3</v>
      </c>
      <c r="B29" s="310"/>
      <c r="C29" s="310"/>
      <c r="D29" s="13">
        <v>1687986</v>
      </c>
      <c r="H29" s="21"/>
      <c r="I29" s="21"/>
    </row>
    <row r="30" spans="1:9" x14ac:dyDescent="0.3">
      <c r="A30" s="310" t="s">
        <v>4</v>
      </c>
      <c r="B30" s="310" t="s">
        <v>3</v>
      </c>
      <c r="C30" s="310" t="s">
        <v>3</v>
      </c>
      <c r="D30" s="13">
        <v>72284</v>
      </c>
      <c r="H30" s="21"/>
      <c r="I30" s="21"/>
    </row>
    <row r="31" spans="1:9" x14ac:dyDescent="0.3">
      <c r="A31" s="310" t="s">
        <v>5</v>
      </c>
      <c r="B31" s="310" t="s">
        <v>5</v>
      </c>
      <c r="C31" s="310" t="s">
        <v>5</v>
      </c>
      <c r="D31" s="13"/>
      <c r="H31" s="21"/>
      <c r="I31" s="21"/>
    </row>
    <row r="32" spans="1:9" x14ac:dyDescent="0.3">
      <c r="A32" s="310" t="s">
        <v>31</v>
      </c>
      <c r="B32" s="310" t="s">
        <v>5</v>
      </c>
      <c r="C32" s="310" t="s">
        <v>5</v>
      </c>
      <c r="D32" s="13"/>
      <c r="H32" s="21"/>
      <c r="I32" s="21"/>
    </row>
    <row r="33" spans="1:9" x14ac:dyDescent="0.3">
      <c r="A33" s="310" t="s">
        <v>30</v>
      </c>
      <c r="B33" s="310" t="s">
        <v>5</v>
      </c>
      <c r="C33" s="310" t="s">
        <v>5</v>
      </c>
      <c r="D33" s="13"/>
      <c r="H33" s="21"/>
      <c r="I33" s="21"/>
    </row>
    <row r="34" spans="1:9" x14ac:dyDescent="0.3">
      <c r="A34" s="310" t="s">
        <v>42</v>
      </c>
      <c r="B34" s="310"/>
      <c r="C34" s="310"/>
      <c r="D34" s="13">
        <v>1080781</v>
      </c>
      <c r="H34" s="21"/>
      <c r="I34" s="21"/>
    </row>
    <row r="35" spans="1:9" x14ac:dyDescent="0.3">
      <c r="A35" s="310" t="s">
        <v>44</v>
      </c>
      <c r="B35" s="310"/>
      <c r="C35" s="310"/>
      <c r="D35" s="13"/>
      <c r="H35" s="21"/>
      <c r="I35" s="21"/>
    </row>
    <row r="36" spans="1:9" x14ac:dyDescent="0.3">
      <c r="A36" s="310" t="s">
        <v>11</v>
      </c>
      <c r="B36" s="310" t="s">
        <v>3</v>
      </c>
      <c r="C36" s="310" t="s">
        <v>3</v>
      </c>
      <c r="D36" s="13"/>
      <c r="H36" s="21"/>
      <c r="I36" s="21"/>
    </row>
    <row r="37" spans="1:9" x14ac:dyDescent="0.3">
      <c r="A37" s="300" t="s">
        <v>58</v>
      </c>
      <c r="B37" s="300"/>
      <c r="C37" s="300"/>
      <c r="D37" s="13">
        <f>SUM(D29:D36)</f>
        <v>2841051</v>
      </c>
      <c r="H37" s="21"/>
      <c r="I37" s="21"/>
    </row>
    <row r="38" spans="1:9" x14ac:dyDescent="0.3">
      <c r="A38" s="310" t="s">
        <v>23</v>
      </c>
      <c r="B38" s="310"/>
      <c r="C38" s="310"/>
      <c r="D38" s="13"/>
      <c r="H38" s="21"/>
      <c r="I38" s="21"/>
    </row>
    <row r="39" spans="1:9" x14ac:dyDescent="0.3">
      <c r="A39" s="310" t="s">
        <v>24</v>
      </c>
      <c r="B39" s="310"/>
      <c r="C39" s="310"/>
      <c r="D39" s="13"/>
      <c r="H39" s="21"/>
      <c r="I39" s="21"/>
    </row>
    <row r="40" spans="1:9" x14ac:dyDescent="0.3">
      <c r="A40" s="310" t="s">
        <v>25</v>
      </c>
      <c r="B40" s="310"/>
      <c r="C40" s="310"/>
      <c r="D40" s="13"/>
      <c r="H40" s="21"/>
      <c r="I40" s="21"/>
    </row>
    <row r="41" spans="1:9" x14ac:dyDescent="0.3">
      <c r="A41" s="300" t="s">
        <v>58</v>
      </c>
      <c r="B41" s="300"/>
      <c r="C41" s="300"/>
      <c r="D41" s="13">
        <f>D37-D38</f>
        <v>2841051</v>
      </c>
      <c r="H41" s="21"/>
      <c r="I41" s="21"/>
    </row>
    <row r="42" spans="1:9" x14ac:dyDescent="0.3">
      <c r="A42" s="300" t="s">
        <v>37</v>
      </c>
      <c r="B42" s="300"/>
      <c r="C42" s="300"/>
      <c r="D42" s="13"/>
      <c r="H42" s="21"/>
      <c r="I42" s="21"/>
    </row>
    <row r="43" spans="1:9" x14ac:dyDescent="0.3">
      <c r="A43" s="300" t="s">
        <v>47</v>
      </c>
      <c r="B43" s="300"/>
      <c r="C43" s="300"/>
      <c r="D43" s="13">
        <f>D41*5%</f>
        <v>142052.55000000002</v>
      </c>
      <c r="H43" s="21"/>
      <c r="I43" s="21"/>
    </row>
    <row r="44" spans="1:9" x14ac:dyDescent="0.3">
      <c r="A44" s="300" t="s">
        <v>38</v>
      </c>
      <c r="B44" s="300"/>
      <c r="C44" s="300"/>
      <c r="D44" s="13">
        <f>D41*8%</f>
        <v>227284.08000000002</v>
      </c>
      <c r="H44" s="21"/>
      <c r="I44" s="21"/>
    </row>
    <row r="45" spans="1:9" x14ac:dyDescent="0.3">
      <c r="A45" s="300" t="s">
        <v>39</v>
      </c>
      <c r="B45" s="300"/>
      <c r="C45" s="300"/>
      <c r="D45" s="13">
        <f>D41*7.5%</f>
        <v>213078.82499999998</v>
      </c>
      <c r="H45" s="21"/>
      <c r="I45" s="21"/>
    </row>
    <row r="46" spans="1:9" x14ac:dyDescent="0.3">
      <c r="A46" s="300" t="s">
        <v>40</v>
      </c>
      <c r="B46" s="300"/>
      <c r="C46" s="300"/>
      <c r="D46" s="13">
        <f>SUM(D42:D45)</f>
        <v>582415.45499999996</v>
      </c>
      <c r="H46" s="21"/>
      <c r="I46" s="21"/>
    </row>
    <row r="47" spans="1:9" x14ac:dyDescent="0.3">
      <c r="A47" s="301" t="s">
        <v>41</v>
      </c>
      <c r="B47" s="301"/>
      <c r="C47" s="301"/>
      <c r="D47" s="14">
        <f>D41-D46</f>
        <v>2258635.5449999999</v>
      </c>
      <c r="H47" s="21"/>
      <c r="I47" s="21"/>
    </row>
    <row r="48" spans="1:9" x14ac:dyDescent="0.3">
      <c r="A48" s="301" t="s">
        <v>59</v>
      </c>
      <c r="B48" s="301"/>
      <c r="C48" s="301"/>
      <c r="D48" s="14">
        <f>D47*70%</f>
        <v>1581044.8814999999</v>
      </c>
      <c r="H48" s="21"/>
      <c r="I48" s="21"/>
    </row>
    <row r="49" spans="1:9" x14ac:dyDescent="0.3">
      <c r="B49" s="373" t="s">
        <v>61</v>
      </c>
      <c r="C49" s="373"/>
      <c r="D49" s="22">
        <v>1291617</v>
      </c>
      <c r="H49" s="21"/>
      <c r="I49" s="21"/>
    </row>
    <row r="50" spans="1:9" x14ac:dyDescent="0.3">
      <c r="B50" s="373" t="s">
        <v>62</v>
      </c>
      <c r="C50" s="373"/>
      <c r="D50" s="22">
        <v>231879</v>
      </c>
      <c r="E50" s="34"/>
      <c r="H50" s="21"/>
      <c r="I50" s="21"/>
    </row>
    <row r="51" spans="1:9" x14ac:dyDescent="0.3">
      <c r="B51" s="373" t="s">
        <v>60</v>
      </c>
      <c r="C51" s="373"/>
      <c r="D51" s="22">
        <f>D48-D49-D50</f>
        <v>57548.881499999901</v>
      </c>
      <c r="E51" s="34"/>
      <c r="H51" s="21"/>
      <c r="I51" s="21"/>
    </row>
    <row r="52" spans="1:9" x14ac:dyDescent="0.3">
      <c r="B52" s="373" t="s">
        <v>89</v>
      </c>
      <c r="C52" s="373"/>
      <c r="D52" s="22">
        <f>D51+D50+D49</f>
        <v>1581044.8814999999</v>
      </c>
      <c r="E52" s="34"/>
      <c r="H52" s="21"/>
      <c r="I52" s="21"/>
    </row>
    <row r="53" spans="1:9" x14ac:dyDescent="0.3">
      <c r="B53" s="121"/>
      <c r="C53" s="121"/>
      <c r="D53" s="21"/>
      <c r="H53" s="21"/>
      <c r="I53" s="21"/>
    </row>
    <row r="54" spans="1:9" x14ac:dyDescent="0.3">
      <c r="A54" s="311" t="s">
        <v>76</v>
      </c>
      <c r="B54" s="312"/>
      <c r="C54" s="313"/>
      <c r="D54" s="15"/>
      <c r="H54" s="21"/>
      <c r="I54" s="21"/>
    </row>
    <row r="55" spans="1:9" x14ac:dyDescent="0.3">
      <c r="A55" s="310" t="s">
        <v>3</v>
      </c>
      <c r="B55" s="310"/>
      <c r="C55" s="310"/>
      <c r="D55" s="13">
        <v>1921680</v>
      </c>
      <c r="H55" s="21"/>
      <c r="I55" s="21"/>
    </row>
    <row r="56" spans="1:9" x14ac:dyDescent="0.3">
      <c r="A56" s="310" t="s">
        <v>4</v>
      </c>
      <c r="B56" s="310" t="s">
        <v>3</v>
      </c>
      <c r="C56" s="310" t="s">
        <v>3</v>
      </c>
      <c r="D56" s="13">
        <v>72284</v>
      </c>
      <c r="H56" s="21"/>
      <c r="I56" s="21"/>
    </row>
    <row r="57" spans="1:9" x14ac:dyDescent="0.3">
      <c r="A57" s="310" t="s">
        <v>5</v>
      </c>
      <c r="B57" s="310" t="s">
        <v>5</v>
      </c>
      <c r="C57" s="310" t="s">
        <v>5</v>
      </c>
      <c r="D57" s="13"/>
      <c r="H57" s="21"/>
      <c r="I57" s="21"/>
    </row>
    <row r="58" spans="1:9" x14ac:dyDescent="0.3">
      <c r="A58" s="310" t="s">
        <v>31</v>
      </c>
      <c r="B58" s="310" t="s">
        <v>5</v>
      </c>
      <c r="C58" s="310" t="s">
        <v>5</v>
      </c>
      <c r="D58" s="13"/>
      <c r="H58" s="21"/>
      <c r="I58" s="21"/>
    </row>
    <row r="59" spans="1:9" x14ac:dyDescent="0.3">
      <c r="A59" s="310" t="s">
        <v>30</v>
      </c>
      <c r="B59" s="310" t="s">
        <v>5</v>
      </c>
      <c r="C59" s="310" t="s">
        <v>5</v>
      </c>
      <c r="D59" s="13"/>
      <c r="H59" s="21"/>
      <c r="I59" s="21"/>
    </row>
    <row r="60" spans="1:9" x14ac:dyDescent="0.3">
      <c r="A60" s="310" t="s">
        <v>42</v>
      </c>
      <c r="B60" s="310"/>
      <c r="C60" s="310"/>
      <c r="D60" s="13">
        <v>1047919</v>
      </c>
      <c r="H60" s="21"/>
      <c r="I60" s="21"/>
    </row>
    <row r="61" spans="1:9" x14ac:dyDescent="0.3">
      <c r="A61" s="310" t="s">
        <v>44</v>
      </c>
      <c r="B61" s="310"/>
      <c r="C61" s="310"/>
      <c r="D61" s="13">
        <v>118703</v>
      </c>
      <c r="H61" s="21"/>
      <c r="I61" s="21"/>
    </row>
    <row r="62" spans="1:9" ht="24.6" customHeight="1" x14ac:dyDescent="0.3">
      <c r="A62" s="310" t="s">
        <v>11</v>
      </c>
      <c r="B62" s="310" t="s">
        <v>3</v>
      </c>
      <c r="C62" s="310" t="s">
        <v>3</v>
      </c>
      <c r="D62" s="13"/>
      <c r="H62" s="21"/>
      <c r="I62" s="21"/>
    </row>
    <row r="63" spans="1:9" x14ac:dyDescent="0.3">
      <c r="A63" s="300" t="s">
        <v>58</v>
      </c>
      <c r="B63" s="300"/>
      <c r="C63" s="300"/>
      <c r="D63" s="13">
        <f>SUM(D55:D62)</f>
        <v>3160586</v>
      </c>
      <c r="H63" s="21"/>
      <c r="I63" s="21"/>
    </row>
    <row r="64" spans="1:9" x14ac:dyDescent="0.3">
      <c r="A64" s="310" t="s">
        <v>23</v>
      </c>
      <c r="B64" s="310"/>
      <c r="C64" s="310"/>
      <c r="D64" s="13"/>
      <c r="H64" s="21"/>
      <c r="I64" s="21"/>
    </row>
    <row r="65" spans="1:9" x14ac:dyDescent="0.3">
      <c r="A65" s="310" t="s">
        <v>24</v>
      </c>
      <c r="B65" s="310"/>
      <c r="C65" s="310"/>
      <c r="D65" s="13"/>
      <c r="H65" s="21"/>
      <c r="I65" s="21"/>
    </row>
    <row r="66" spans="1:9" x14ac:dyDescent="0.3">
      <c r="A66" s="310" t="s">
        <v>25</v>
      </c>
      <c r="B66" s="310"/>
      <c r="C66" s="310"/>
      <c r="D66" s="13"/>
      <c r="H66" s="21"/>
      <c r="I66" s="21"/>
    </row>
    <row r="67" spans="1:9" x14ac:dyDescent="0.3">
      <c r="A67" s="277" t="s">
        <v>58</v>
      </c>
      <c r="B67" s="277"/>
      <c r="C67" s="277"/>
      <c r="D67" s="13">
        <f>D63-D64</f>
        <v>3160586</v>
      </c>
      <c r="H67" s="21"/>
      <c r="I67" s="21"/>
    </row>
    <row r="68" spans="1:9" x14ac:dyDescent="0.3">
      <c r="A68" s="277" t="s">
        <v>37</v>
      </c>
      <c r="B68" s="277"/>
      <c r="C68" s="277"/>
      <c r="D68" s="13"/>
      <c r="H68" s="21"/>
      <c r="I68" s="21"/>
    </row>
    <row r="69" spans="1:9" x14ac:dyDescent="0.3">
      <c r="A69" s="277" t="s">
        <v>47</v>
      </c>
      <c r="B69" s="277"/>
      <c r="C69" s="277"/>
      <c r="D69" s="13">
        <f>D67*5%</f>
        <v>158029.30000000002</v>
      </c>
      <c r="H69" s="21"/>
      <c r="I69" s="21"/>
    </row>
    <row r="70" spans="1:9" x14ac:dyDescent="0.3">
      <c r="A70" s="277" t="s">
        <v>38</v>
      </c>
      <c r="B70" s="277"/>
      <c r="C70" s="277"/>
      <c r="D70" s="13">
        <f>D67*8%</f>
        <v>252846.88</v>
      </c>
      <c r="H70" s="21"/>
      <c r="I70" s="21"/>
    </row>
    <row r="71" spans="1:9" x14ac:dyDescent="0.3">
      <c r="A71" s="277" t="s">
        <v>39</v>
      </c>
      <c r="B71" s="277"/>
      <c r="C71" s="277"/>
      <c r="D71" s="13">
        <f>D67*7.5%</f>
        <v>237043.94999999998</v>
      </c>
      <c r="H71" s="21"/>
      <c r="I71" s="21"/>
    </row>
    <row r="72" spans="1:9" x14ac:dyDescent="0.3">
      <c r="A72" s="277" t="s">
        <v>40</v>
      </c>
      <c r="B72" s="277"/>
      <c r="C72" s="277"/>
      <c r="D72" s="13">
        <f>SUM(D68:D71)</f>
        <v>647920.13</v>
      </c>
      <c r="H72" s="21"/>
      <c r="I72" s="21"/>
    </row>
    <row r="73" spans="1:9" x14ac:dyDescent="0.3">
      <c r="A73" s="335" t="s">
        <v>41</v>
      </c>
      <c r="B73" s="335"/>
      <c r="C73" s="335"/>
      <c r="D73" s="14">
        <f>D67-D72</f>
        <v>2512665.87</v>
      </c>
      <c r="H73" s="21"/>
      <c r="I73" s="21"/>
    </row>
    <row r="74" spans="1:9" x14ac:dyDescent="0.3">
      <c r="A74" s="335" t="s">
        <v>83</v>
      </c>
      <c r="B74" s="335"/>
      <c r="C74" s="335"/>
      <c r="D74" s="14">
        <v>1581045</v>
      </c>
      <c r="H74" s="21"/>
      <c r="I74" s="21"/>
    </row>
    <row r="75" spans="1:9" x14ac:dyDescent="0.3">
      <c r="A75" s="342" t="s">
        <v>84</v>
      </c>
      <c r="B75" s="343"/>
      <c r="C75" s="344"/>
      <c r="D75" s="14">
        <f>D73-D74</f>
        <v>931620.87000000011</v>
      </c>
      <c r="H75" s="21"/>
      <c r="I75" s="21"/>
    </row>
    <row r="76" spans="1:9" x14ac:dyDescent="0.3">
      <c r="A76" s="113"/>
      <c r="B76" s="328" t="s">
        <v>87</v>
      </c>
      <c r="C76" s="328"/>
      <c r="D76" s="22">
        <v>700169</v>
      </c>
      <c r="H76" s="21"/>
      <c r="I76" s="21"/>
    </row>
    <row r="77" spans="1:9" x14ac:dyDescent="0.3">
      <c r="A77" s="113"/>
      <c r="B77" s="328" t="s">
        <v>87</v>
      </c>
      <c r="C77" s="328"/>
      <c r="D77" s="22">
        <v>700000</v>
      </c>
      <c r="E77" s="34"/>
      <c r="H77" s="21"/>
      <c r="I77" s="21"/>
    </row>
    <row r="78" spans="1:9" x14ac:dyDescent="0.3">
      <c r="A78" s="113"/>
      <c r="B78" s="328" t="s">
        <v>85</v>
      </c>
      <c r="C78" s="328"/>
      <c r="D78" s="22">
        <v>200000</v>
      </c>
      <c r="E78" s="34"/>
      <c r="H78" s="21"/>
      <c r="I78" s="21"/>
    </row>
    <row r="79" spans="1:9" x14ac:dyDescent="0.3">
      <c r="A79" s="113"/>
      <c r="B79" s="328" t="s">
        <v>86</v>
      </c>
      <c r="C79" s="328"/>
      <c r="D79" s="22">
        <f>D75-D76-D77-D78</f>
        <v>-668548.12999999989</v>
      </c>
      <c r="E79" s="20" t="s">
        <v>201</v>
      </c>
      <c r="H79" s="21"/>
      <c r="I79" s="21"/>
    </row>
    <row r="82" spans="1:9" x14ac:dyDescent="0.3">
      <c r="A82" s="307" t="s">
        <v>170</v>
      </c>
      <c r="B82" s="308"/>
      <c r="C82" s="309"/>
      <c r="D82" s="32"/>
      <c r="H82" s="21"/>
      <c r="I82" s="21"/>
    </row>
    <row r="83" spans="1:9" x14ac:dyDescent="0.3">
      <c r="A83" s="310" t="s">
        <v>3</v>
      </c>
      <c r="B83" s="310"/>
      <c r="C83" s="310"/>
      <c r="D83" s="32"/>
      <c r="H83" s="21"/>
      <c r="I83" s="21"/>
    </row>
    <row r="84" spans="1:9" x14ac:dyDescent="0.3">
      <c r="A84" s="310" t="s">
        <v>4</v>
      </c>
      <c r="B84" s="310" t="s">
        <v>3</v>
      </c>
      <c r="C84" s="310" t="s">
        <v>3</v>
      </c>
      <c r="D84" s="32"/>
      <c r="H84" s="21"/>
      <c r="I84" s="21"/>
    </row>
    <row r="85" spans="1:9" x14ac:dyDescent="0.3">
      <c r="A85" s="310" t="s">
        <v>5</v>
      </c>
      <c r="B85" s="310" t="s">
        <v>5</v>
      </c>
      <c r="C85" s="310" t="s">
        <v>5</v>
      </c>
      <c r="D85" s="32"/>
      <c r="H85" s="21"/>
      <c r="I85" s="21"/>
    </row>
    <row r="86" spans="1:9" x14ac:dyDescent="0.3">
      <c r="A86" s="310" t="s">
        <v>31</v>
      </c>
      <c r="B86" s="310" t="s">
        <v>5</v>
      </c>
      <c r="C86" s="310" t="s">
        <v>5</v>
      </c>
      <c r="D86" s="32"/>
      <c r="H86" s="21"/>
      <c r="I86" s="21"/>
    </row>
    <row r="87" spans="1:9" x14ac:dyDescent="0.3">
      <c r="A87" s="310" t="s">
        <v>30</v>
      </c>
      <c r="B87" s="310" t="s">
        <v>5</v>
      </c>
      <c r="C87" s="310" t="s">
        <v>5</v>
      </c>
      <c r="D87" s="32"/>
      <c r="H87" s="21"/>
      <c r="I87" s="21"/>
    </row>
    <row r="88" spans="1:9" x14ac:dyDescent="0.3">
      <c r="A88" s="310" t="s">
        <v>42</v>
      </c>
      <c r="B88" s="310"/>
      <c r="C88" s="310"/>
      <c r="D88" s="51">
        <v>1459846.96</v>
      </c>
      <c r="H88" s="21"/>
      <c r="I88" s="21"/>
    </row>
    <row r="89" spans="1:9" x14ac:dyDescent="0.3">
      <c r="A89" s="310" t="s">
        <v>44</v>
      </c>
      <c r="B89" s="310"/>
      <c r="C89" s="310"/>
      <c r="D89" s="32"/>
      <c r="H89" s="21"/>
      <c r="I89" s="21"/>
    </row>
    <row r="90" spans="1:9" x14ac:dyDescent="0.3">
      <c r="A90" s="310" t="s">
        <v>11</v>
      </c>
      <c r="B90" s="310" t="s">
        <v>3</v>
      </c>
      <c r="C90" s="310" t="s">
        <v>3</v>
      </c>
      <c r="D90" s="32"/>
      <c r="H90" s="21"/>
      <c r="I90" s="21"/>
    </row>
    <row r="91" spans="1:9" x14ac:dyDescent="0.3">
      <c r="A91" s="300" t="s">
        <v>81</v>
      </c>
      <c r="B91" s="300"/>
      <c r="C91" s="300"/>
      <c r="D91" s="51">
        <f>SUM(D83:D90)</f>
        <v>1459846.96</v>
      </c>
      <c r="H91" s="21"/>
      <c r="I91" s="21"/>
    </row>
    <row r="92" spans="1:9" x14ac:dyDescent="0.3">
      <c r="A92" s="310" t="s">
        <v>23</v>
      </c>
      <c r="B92" s="310"/>
      <c r="C92" s="310"/>
      <c r="D92" s="32"/>
      <c r="H92" s="21"/>
      <c r="I92" s="21"/>
    </row>
    <row r="93" spans="1:9" x14ac:dyDescent="0.3">
      <c r="A93" s="310" t="s">
        <v>24</v>
      </c>
      <c r="B93" s="310"/>
      <c r="C93" s="310"/>
      <c r="D93" s="32"/>
      <c r="H93" s="21"/>
      <c r="I93" s="21"/>
    </row>
    <row r="94" spans="1:9" x14ac:dyDescent="0.3">
      <c r="A94" s="310" t="s">
        <v>25</v>
      </c>
      <c r="B94" s="310"/>
      <c r="C94" s="310"/>
      <c r="D94" s="32"/>
      <c r="H94" s="21"/>
      <c r="I94" s="21"/>
    </row>
    <row r="95" spans="1:9" x14ac:dyDescent="0.3">
      <c r="A95" s="277" t="s">
        <v>82</v>
      </c>
      <c r="B95" s="277"/>
      <c r="C95" s="277"/>
      <c r="D95" s="51">
        <f>D91-D92</f>
        <v>1459846.96</v>
      </c>
      <c r="H95" s="21"/>
      <c r="I95" s="21"/>
    </row>
    <row r="96" spans="1:9" x14ac:dyDescent="0.3">
      <c r="A96" s="277" t="s">
        <v>37</v>
      </c>
      <c r="B96" s="277"/>
      <c r="C96" s="277"/>
      <c r="D96" s="32"/>
      <c r="H96" s="21"/>
      <c r="I96" s="21"/>
    </row>
    <row r="97" spans="1:9" x14ac:dyDescent="0.3">
      <c r="A97" s="277" t="s">
        <v>47</v>
      </c>
      <c r="B97" s="277"/>
      <c r="C97" s="277"/>
      <c r="D97" s="32">
        <f>D91*5%</f>
        <v>72992.347999999998</v>
      </c>
      <c r="H97" s="21"/>
      <c r="I97" s="21"/>
    </row>
    <row r="98" spans="1:9" x14ac:dyDescent="0.3">
      <c r="A98" s="277" t="s">
        <v>38</v>
      </c>
      <c r="B98" s="277"/>
      <c r="C98" s="277"/>
      <c r="D98" s="32">
        <f>D95*8%</f>
        <v>116787.7568</v>
      </c>
      <c r="H98" s="21"/>
      <c r="I98" s="21"/>
    </row>
    <row r="99" spans="1:9" x14ac:dyDescent="0.3">
      <c r="A99" s="277" t="s">
        <v>39</v>
      </c>
      <c r="B99" s="277"/>
      <c r="C99" s="277"/>
      <c r="D99" s="32">
        <f>D95*7.5%</f>
        <v>109488.522</v>
      </c>
      <c r="H99" s="21"/>
      <c r="I99" s="21"/>
    </row>
    <row r="100" spans="1:9" x14ac:dyDescent="0.3">
      <c r="A100" s="277" t="s">
        <v>40</v>
      </c>
      <c r="B100" s="277"/>
      <c r="C100" s="277"/>
      <c r="D100" s="32">
        <f>SUM(D96:D99)</f>
        <v>299268.62679999997</v>
      </c>
      <c r="H100" s="21"/>
      <c r="I100" s="21"/>
    </row>
    <row r="101" spans="1:9" x14ac:dyDescent="0.3">
      <c r="A101" s="277" t="s">
        <v>41</v>
      </c>
      <c r="B101" s="277"/>
      <c r="C101" s="277"/>
      <c r="D101" s="51">
        <f>D95-D100</f>
        <v>1160578.3332</v>
      </c>
      <c r="H101" s="21"/>
      <c r="I101" s="21"/>
    </row>
    <row r="102" spans="1:9" x14ac:dyDescent="0.3">
      <c r="A102" s="107"/>
      <c r="B102" s="107"/>
      <c r="C102" s="107"/>
      <c r="D102" s="51"/>
      <c r="H102" s="21"/>
      <c r="I102" s="21"/>
    </row>
    <row r="103" spans="1:9" x14ac:dyDescent="0.3">
      <c r="A103" s="107"/>
      <c r="B103" s="107"/>
      <c r="C103" s="107"/>
      <c r="D103" s="51"/>
      <c r="H103" s="21"/>
      <c r="I103" s="21"/>
    </row>
    <row r="104" spans="1:9" ht="23.45" customHeight="1" x14ac:dyDescent="0.3">
      <c r="A104" s="355" t="s">
        <v>94</v>
      </c>
      <c r="B104" s="355"/>
      <c r="C104" s="355"/>
      <c r="D104" s="355"/>
      <c r="H104" s="21"/>
      <c r="I104" s="21"/>
    </row>
    <row r="105" spans="1:9" x14ac:dyDescent="0.3">
      <c r="B105" s="373" t="s">
        <v>104</v>
      </c>
      <c r="C105" s="373"/>
      <c r="D105" s="22">
        <v>500000</v>
      </c>
      <c r="H105" s="21"/>
      <c r="I105" s="21"/>
    </row>
    <row r="106" spans="1:9" x14ac:dyDescent="0.3">
      <c r="B106" s="373" t="s">
        <v>102</v>
      </c>
      <c r="C106" s="373"/>
      <c r="D106" s="22">
        <v>312244</v>
      </c>
      <c r="H106" s="21"/>
      <c r="I106" s="21"/>
    </row>
    <row r="107" spans="1:9" x14ac:dyDescent="0.3">
      <c r="B107" s="373" t="s">
        <v>69</v>
      </c>
      <c r="C107" s="373"/>
      <c r="D107" s="22">
        <v>150000</v>
      </c>
      <c r="H107" s="21"/>
      <c r="I107" s="21"/>
    </row>
    <row r="108" spans="1:9" x14ac:dyDescent="0.3">
      <c r="B108" s="373" t="s">
        <v>63</v>
      </c>
      <c r="C108" s="373"/>
      <c r="D108" s="22">
        <v>100000</v>
      </c>
      <c r="H108" s="21"/>
      <c r="I108" s="21"/>
    </row>
    <row r="109" spans="1:9" x14ac:dyDescent="0.3">
      <c r="B109" s="373" t="s">
        <v>103</v>
      </c>
      <c r="C109" s="373"/>
      <c r="D109" s="22">
        <f>D101-D105-D106-D107-D108</f>
        <v>98334.333199999994</v>
      </c>
      <c r="F109" s="129"/>
      <c r="H109" s="21"/>
      <c r="I109" s="21"/>
    </row>
    <row r="111" spans="1:9" x14ac:dyDescent="0.3">
      <c r="A111" s="307" t="s">
        <v>171</v>
      </c>
      <c r="B111" s="308"/>
      <c r="C111" s="309"/>
      <c r="D111" s="32"/>
      <c r="H111" s="21"/>
      <c r="I111" s="21"/>
    </row>
    <row r="112" spans="1:9" x14ac:dyDescent="0.3">
      <c r="A112" s="310" t="s">
        <v>3</v>
      </c>
      <c r="B112" s="310"/>
      <c r="C112" s="310"/>
      <c r="D112" s="32"/>
      <c r="H112" s="21"/>
      <c r="I112" s="21"/>
    </row>
    <row r="113" spans="1:12" x14ac:dyDescent="0.3">
      <c r="A113" s="310" t="s">
        <v>4</v>
      </c>
      <c r="B113" s="310" t="s">
        <v>3</v>
      </c>
      <c r="C113" s="310" t="s">
        <v>3</v>
      </c>
      <c r="D113" s="32">
        <v>1884653</v>
      </c>
      <c r="H113" s="21"/>
      <c r="I113" s="21"/>
    </row>
    <row r="114" spans="1:12" x14ac:dyDescent="0.3">
      <c r="A114" s="310" t="s">
        <v>5</v>
      </c>
      <c r="B114" s="310" t="s">
        <v>5</v>
      </c>
      <c r="C114" s="310" t="s">
        <v>5</v>
      </c>
      <c r="D114" s="32">
        <v>820047</v>
      </c>
      <c r="H114" s="21"/>
      <c r="I114" s="21"/>
    </row>
    <row r="115" spans="1:12" x14ac:dyDescent="0.3">
      <c r="A115" s="310" t="s">
        <v>31</v>
      </c>
      <c r="B115" s="310" t="s">
        <v>5</v>
      </c>
      <c r="C115" s="310" t="s">
        <v>5</v>
      </c>
      <c r="D115" s="32"/>
      <c r="H115" s="21"/>
      <c r="I115" s="21"/>
    </row>
    <row r="116" spans="1:12" x14ac:dyDescent="0.3">
      <c r="A116" s="310" t="s">
        <v>30</v>
      </c>
      <c r="B116" s="310" t="s">
        <v>5</v>
      </c>
      <c r="C116" s="310" t="s">
        <v>5</v>
      </c>
      <c r="D116" s="32"/>
      <c r="H116" s="21"/>
      <c r="I116" s="21"/>
    </row>
    <row r="117" spans="1:12" x14ac:dyDescent="0.3">
      <c r="A117" s="310" t="s">
        <v>42</v>
      </c>
      <c r="B117" s="310"/>
      <c r="C117" s="310"/>
      <c r="D117" s="51">
        <v>1936970</v>
      </c>
      <c r="H117" s="21"/>
      <c r="I117" s="21"/>
    </row>
    <row r="118" spans="1:12" x14ac:dyDescent="0.3">
      <c r="A118" s="310" t="s">
        <v>44</v>
      </c>
      <c r="B118" s="310"/>
      <c r="C118" s="310"/>
      <c r="D118" s="32"/>
      <c r="H118" s="21"/>
      <c r="I118" s="21"/>
    </row>
    <row r="119" spans="1:12" x14ac:dyDescent="0.3">
      <c r="A119" s="310" t="s">
        <v>172</v>
      </c>
      <c r="B119" s="310" t="s">
        <v>3</v>
      </c>
      <c r="C119" s="310" t="s">
        <v>3</v>
      </c>
      <c r="D119" s="32">
        <v>584792</v>
      </c>
      <c r="H119" s="21"/>
      <c r="I119" s="21"/>
    </row>
    <row r="120" spans="1:12" x14ac:dyDescent="0.3">
      <c r="A120" s="300" t="s">
        <v>81</v>
      </c>
      <c r="B120" s="300"/>
      <c r="C120" s="300"/>
      <c r="D120" s="51">
        <f>SUM(D112:D119)</f>
        <v>5226462</v>
      </c>
      <c r="H120" s="21"/>
      <c r="I120" s="21"/>
    </row>
    <row r="121" spans="1:12" x14ac:dyDescent="0.3">
      <c r="A121" s="310" t="s">
        <v>23</v>
      </c>
      <c r="B121" s="310"/>
      <c r="C121" s="310"/>
      <c r="D121" s="32"/>
      <c r="H121" s="21"/>
      <c r="I121" s="21"/>
    </row>
    <row r="122" spans="1:12" x14ac:dyDescent="0.3">
      <c r="A122" s="310" t="s">
        <v>24</v>
      </c>
      <c r="B122" s="310"/>
      <c r="C122" s="310"/>
      <c r="D122" s="32"/>
      <c r="H122" s="21"/>
      <c r="I122" s="21"/>
    </row>
    <row r="123" spans="1:12" x14ac:dyDescent="0.3">
      <c r="A123" s="310" t="s">
        <v>25</v>
      </c>
      <c r="B123" s="310"/>
      <c r="C123" s="310"/>
      <c r="D123" s="32"/>
      <c r="H123" s="21"/>
      <c r="I123" s="21"/>
    </row>
    <row r="124" spans="1:12" x14ac:dyDescent="0.3">
      <c r="A124" s="277" t="s">
        <v>82</v>
      </c>
      <c r="B124" s="277"/>
      <c r="C124" s="277"/>
      <c r="D124" s="51">
        <f>D120-D121</f>
        <v>5226462</v>
      </c>
      <c r="H124" s="21"/>
      <c r="I124" s="21"/>
    </row>
    <row r="125" spans="1:12" x14ac:dyDescent="0.3">
      <c r="A125" s="277" t="s">
        <v>37</v>
      </c>
      <c r="B125" s="277"/>
      <c r="C125" s="277"/>
      <c r="D125" s="32"/>
      <c r="H125" s="21"/>
      <c r="I125" s="21"/>
    </row>
    <row r="126" spans="1:12" ht="23.25" x14ac:dyDescent="0.35">
      <c r="A126" s="277" t="s">
        <v>47</v>
      </c>
      <c r="B126" s="277"/>
      <c r="C126" s="277"/>
      <c r="D126" s="32">
        <f>D120*5%</f>
        <v>261323.1</v>
      </c>
      <c r="H126" s="21"/>
      <c r="I126" s="21"/>
      <c r="K126" s="384" t="s">
        <v>230</v>
      </c>
      <c r="L126" s="384"/>
    </row>
    <row r="127" spans="1:12" x14ac:dyDescent="0.3">
      <c r="A127" s="277" t="s">
        <v>38</v>
      </c>
      <c r="B127" s="277"/>
      <c r="C127" s="277"/>
      <c r="D127" s="32">
        <f>D124*8%</f>
        <v>418116.96</v>
      </c>
      <c r="H127" s="21"/>
      <c r="I127" s="21"/>
      <c r="K127" s="140" t="s">
        <v>234</v>
      </c>
      <c r="L127" s="22">
        <v>98334</v>
      </c>
    </row>
    <row r="128" spans="1:12" x14ac:dyDescent="0.3">
      <c r="A128" s="277" t="s">
        <v>39</v>
      </c>
      <c r="B128" s="277"/>
      <c r="C128" s="277"/>
      <c r="D128" s="32">
        <f>D124*7.5%</f>
        <v>391984.64999999997</v>
      </c>
      <c r="H128" s="21"/>
      <c r="I128" s="21"/>
      <c r="K128" s="140" t="s">
        <v>231</v>
      </c>
      <c r="L128" s="22">
        <f>L127/0.925</f>
        <v>106307.02702702703</v>
      </c>
    </row>
    <row r="129" spans="1:12" x14ac:dyDescent="0.3">
      <c r="A129" s="277" t="s">
        <v>40</v>
      </c>
      <c r="B129" s="277"/>
      <c r="C129" s="277"/>
      <c r="D129" s="32">
        <f>SUM(D125:D128)</f>
        <v>1071424.71</v>
      </c>
      <c r="H129" s="21"/>
      <c r="I129" s="21"/>
      <c r="K129" s="141">
        <v>7.4999999999999997E-2</v>
      </c>
      <c r="L129" s="22">
        <f>L128*7.5%</f>
        <v>7973.0270270270266</v>
      </c>
    </row>
    <row r="130" spans="1:12" x14ac:dyDescent="0.3">
      <c r="A130" s="277" t="s">
        <v>41</v>
      </c>
      <c r="B130" s="277"/>
      <c r="C130" s="277"/>
      <c r="D130" s="51">
        <f>D124-D129</f>
        <v>4155037.29</v>
      </c>
      <c r="H130" s="21"/>
      <c r="I130" s="21"/>
      <c r="K130" s="140" t="s">
        <v>232</v>
      </c>
      <c r="L130" s="22">
        <f>L129/2</f>
        <v>3986.5135135135133</v>
      </c>
    </row>
    <row r="131" spans="1:12" x14ac:dyDescent="0.3">
      <c r="A131" s="107"/>
      <c r="B131" s="107"/>
      <c r="C131" s="107"/>
      <c r="D131" s="51"/>
      <c r="H131" s="21"/>
      <c r="I131" s="21"/>
    </row>
    <row r="132" spans="1:12" x14ac:dyDescent="0.3">
      <c r="A132" s="355" t="s">
        <v>94</v>
      </c>
      <c r="B132" s="355"/>
      <c r="C132" s="355"/>
      <c r="D132" s="355"/>
      <c r="H132" s="21"/>
      <c r="I132" s="21"/>
    </row>
    <row r="133" spans="1:12" ht="23.25" x14ac:dyDescent="0.35">
      <c r="A133" s="277"/>
      <c r="B133" s="277"/>
      <c r="C133" s="277"/>
      <c r="D133" s="22"/>
      <c r="H133" s="21"/>
      <c r="I133" s="21"/>
      <c r="K133" s="384" t="s">
        <v>230</v>
      </c>
      <c r="L133" s="384"/>
    </row>
    <row r="134" spans="1:12" x14ac:dyDescent="0.3">
      <c r="A134" s="277" t="s">
        <v>183</v>
      </c>
      <c r="B134" s="277"/>
      <c r="C134" s="277"/>
      <c r="D134" s="22">
        <v>900000</v>
      </c>
      <c r="H134" s="21"/>
      <c r="I134" s="21"/>
      <c r="K134" s="140" t="s">
        <v>229</v>
      </c>
      <c r="L134" s="22">
        <v>2063000</v>
      </c>
    </row>
    <row r="135" spans="1:12" x14ac:dyDescent="0.3">
      <c r="A135" s="277" t="s">
        <v>184</v>
      </c>
      <c r="B135" s="277"/>
      <c r="C135" s="277"/>
      <c r="D135" s="110">
        <v>1000069</v>
      </c>
      <c r="H135" s="21"/>
      <c r="I135" s="21"/>
      <c r="K135" s="140" t="s">
        <v>231</v>
      </c>
      <c r="L135" s="22">
        <f>L134/0.925</f>
        <v>2230270.2702702703</v>
      </c>
    </row>
    <row r="136" spans="1:12" x14ac:dyDescent="0.3">
      <c r="A136" s="277" t="s">
        <v>185</v>
      </c>
      <c r="B136" s="277"/>
      <c r="C136" s="277"/>
      <c r="D136" s="110">
        <v>300000</v>
      </c>
      <c r="H136" s="21"/>
      <c r="I136" s="21"/>
      <c r="K136" s="141">
        <v>7.4999999999999997E-2</v>
      </c>
      <c r="L136" s="22">
        <f>L135*7.5%</f>
        <v>167270.27027027027</v>
      </c>
    </row>
    <row r="137" spans="1:12" x14ac:dyDescent="0.3">
      <c r="A137" s="277" t="s">
        <v>186</v>
      </c>
      <c r="B137" s="277"/>
      <c r="C137" s="277"/>
      <c r="D137" s="110">
        <v>200000</v>
      </c>
      <c r="H137" s="21"/>
      <c r="I137" s="21"/>
      <c r="K137" s="140" t="s">
        <v>232</v>
      </c>
      <c r="L137" s="22">
        <f>L136/2</f>
        <v>83635.135135135133</v>
      </c>
    </row>
    <row r="138" spans="1:12" x14ac:dyDescent="0.3">
      <c r="A138" s="277" t="s">
        <v>187</v>
      </c>
      <c r="B138" s="277"/>
      <c r="C138" s="277"/>
      <c r="D138" s="110">
        <v>200000</v>
      </c>
      <c r="H138" s="21"/>
      <c r="I138" s="21"/>
      <c r="K138" s="34"/>
    </row>
    <row r="139" spans="1:12" x14ac:dyDescent="0.3">
      <c r="A139" s="277" t="s">
        <v>188</v>
      </c>
      <c r="B139" s="277"/>
      <c r="C139" s="277"/>
      <c r="D139" s="110">
        <v>400000</v>
      </c>
      <c r="H139" s="21"/>
      <c r="I139" s="21"/>
    </row>
    <row r="140" spans="1:12" x14ac:dyDescent="0.3">
      <c r="A140" s="277" t="s">
        <v>188</v>
      </c>
      <c r="B140" s="277"/>
      <c r="C140" s="277"/>
      <c r="D140" s="110">
        <v>463000</v>
      </c>
      <c r="H140" s="21"/>
      <c r="I140" s="21"/>
    </row>
    <row r="141" spans="1:12" x14ac:dyDescent="0.3">
      <c r="A141" s="277" t="s">
        <v>189</v>
      </c>
      <c r="B141" s="277"/>
      <c r="C141" s="277"/>
      <c r="D141" s="110">
        <v>300000</v>
      </c>
      <c r="H141" s="21"/>
      <c r="I141" s="21"/>
    </row>
    <row r="142" spans="1:12" ht="23.25" x14ac:dyDescent="0.35">
      <c r="A142" s="277" t="s">
        <v>218</v>
      </c>
      <c r="B142" s="277"/>
      <c r="C142" s="277"/>
      <c r="D142" s="110">
        <v>83635</v>
      </c>
      <c r="H142" s="21"/>
      <c r="I142" s="21"/>
      <c r="K142" s="384" t="s">
        <v>230</v>
      </c>
      <c r="L142" s="384"/>
    </row>
    <row r="143" spans="1:12" x14ac:dyDescent="0.3">
      <c r="A143" s="277" t="s">
        <v>219</v>
      </c>
      <c r="B143" s="277"/>
      <c r="C143" s="277"/>
      <c r="D143" s="110">
        <v>3987</v>
      </c>
      <c r="H143" s="21"/>
      <c r="I143" s="21"/>
      <c r="K143" s="140" t="s">
        <v>233</v>
      </c>
      <c r="L143" s="22">
        <v>6000000</v>
      </c>
    </row>
    <row r="144" spans="1:12" x14ac:dyDescent="0.3">
      <c r="A144" s="374" t="s">
        <v>160</v>
      </c>
      <c r="B144" s="374"/>
      <c r="C144" s="374"/>
      <c r="D144" s="122">
        <f>SUM(D134:D143)</f>
        <v>3850691</v>
      </c>
      <c r="H144" s="21"/>
      <c r="I144" s="21"/>
      <c r="K144" s="140" t="s">
        <v>231</v>
      </c>
      <c r="L144" s="22">
        <f>L143/0.925</f>
        <v>6486486.4864864862</v>
      </c>
    </row>
    <row r="145" spans="1:12" x14ac:dyDescent="0.3">
      <c r="A145" s="374" t="s">
        <v>164</v>
      </c>
      <c r="B145" s="374"/>
      <c r="C145" s="374"/>
      <c r="D145" s="111">
        <f>D130-D144</f>
        <v>304346.29000000004</v>
      </c>
      <c r="E145" s="20" t="s">
        <v>200</v>
      </c>
      <c r="K145" s="141">
        <v>7.4999999999999997E-2</v>
      </c>
      <c r="L145" s="22">
        <f>L144*7.5%</f>
        <v>486486.48648648645</v>
      </c>
    </row>
    <row r="146" spans="1:12" x14ac:dyDescent="0.3">
      <c r="H146" s="21"/>
      <c r="I146" s="21"/>
      <c r="K146" s="140" t="s">
        <v>232</v>
      </c>
      <c r="L146" s="22">
        <f>L145/2</f>
        <v>243243.24324324323</v>
      </c>
    </row>
    <row r="147" spans="1:12" x14ac:dyDescent="0.3">
      <c r="A147" s="307" t="s">
        <v>190</v>
      </c>
      <c r="B147" s="308"/>
      <c r="C147" s="309"/>
      <c r="D147" s="32"/>
      <c r="H147" s="21"/>
      <c r="I147" s="21"/>
      <c r="K147" s="34"/>
    </row>
    <row r="148" spans="1:12" x14ac:dyDescent="0.3">
      <c r="A148" s="310" t="s">
        <v>3</v>
      </c>
      <c r="B148" s="310"/>
      <c r="C148" s="310"/>
      <c r="D148" s="32"/>
      <c r="H148" s="21"/>
      <c r="I148" s="21"/>
    </row>
    <row r="149" spans="1:12" x14ac:dyDescent="0.3">
      <c r="A149" s="310" t="s">
        <v>4</v>
      </c>
      <c r="B149" s="310" t="s">
        <v>3</v>
      </c>
      <c r="C149" s="310" t="s">
        <v>3</v>
      </c>
      <c r="D149" s="32">
        <v>1104253</v>
      </c>
      <c r="H149" s="21"/>
      <c r="I149" s="21"/>
      <c r="L149" s="150"/>
    </row>
    <row r="150" spans="1:12" x14ac:dyDescent="0.3">
      <c r="A150" s="310" t="s">
        <v>5</v>
      </c>
      <c r="B150" s="310" t="s">
        <v>5</v>
      </c>
      <c r="C150" s="310" t="s">
        <v>5</v>
      </c>
      <c r="D150" s="32"/>
      <c r="H150" s="21"/>
      <c r="I150" s="21"/>
    </row>
    <row r="151" spans="1:12" x14ac:dyDescent="0.3">
      <c r="A151" s="310" t="s">
        <v>31</v>
      </c>
      <c r="B151" s="310" t="s">
        <v>5</v>
      </c>
      <c r="C151" s="310" t="s">
        <v>5</v>
      </c>
      <c r="D151" s="32"/>
      <c r="H151" s="21"/>
      <c r="I151" s="21"/>
    </row>
    <row r="152" spans="1:12" x14ac:dyDescent="0.3">
      <c r="A152" s="310" t="s">
        <v>30</v>
      </c>
      <c r="B152" s="310" t="s">
        <v>5</v>
      </c>
      <c r="C152" s="310" t="s">
        <v>5</v>
      </c>
      <c r="D152" s="32"/>
      <c r="H152" s="21"/>
      <c r="I152" s="21"/>
    </row>
    <row r="153" spans="1:12" x14ac:dyDescent="0.3">
      <c r="A153" s="310" t="s">
        <v>42</v>
      </c>
      <c r="B153" s="310"/>
      <c r="C153" s="310"/>
      <c r="D153" s="51"/>
      <c r="H153" s="21"/>
      <c r="I153" s="21"/>
    </row>
    <row r="154" spans="1:12" x14ac:dyDescent="0.3">
      <c r="A154" s="310" t="s">
        <v>44</v>
      </c>
      <c r="B154" s="310"/>
      <c r="C154" s="310"/>
      <c r="D154" s="32"/>
      <c r="H154" s="21"/>
      <c r="I154" s="21"/>
    </row>
    <row r="155" spans="1:12" x14ac:dyDescent="0.3">
      <c r="A155" s="310" t="s">
        <v>172</v>
      </c>
      <c r="B155" s="310" t="s">
        <v>3</v>
      </c>
      <c r="C155" s="310" t="s">
        <v>3</v>
      </c>
      <c r="D155" s="32"/>
      <c r="H155" s="21"/>
      <c r="I155" s="21"/>
    </row>
    <row r="156" spans="1:12" x14ac:dyDescent="0.3">
      <c r="A156" s="300" t="s">
        <v>81</v>
      </c>
      <c r="B156" s="300"/>
      <c r="C156" s="300"/>
      <c r="D156" s="51">
        <f>SUM(D148:D155)</f>
        <v>1104253</v>
      </c>
      <c r="H156" s="21"/>
      <c r="I156" s="21"/>
    </row>
    <row r="157" spans="1:12" x14ac:dyDescent="0.3">
      <c r="A157" s="310" t="s">
        <v>23</v>
      </c>
      <c r="B157" s="310"/>
      <c r="C157" s="310"/>
      <c r="D157" s="32"/>
      <c r="H157" s="21"/>
      <c r="I157" s="21"/>
    </row>
    <row r="158" spans="1:12" x14ac:dyDescent="0.3">
      <c r="A158" s="310" t="s">
        <v>24</v>
      </c>
      <c r="B158" s="310"/>
      <c r="C158" s="310"/>
      <c r="D158" s="32"/>
      <c r="H158" s="21"/>
      <c r="I158" s="21"/>
    </row>
    <row r="159" spans="1:12" x14ac:dyDescent="0.3">
      <c r="A159" s="310" t="s">
        <v>25</v>
      </c>
      <c r="B159" s="310"/>
      <c r="C159" s="310"/>
      <c r="D159" s="32"/>
      <c r="H159" s="21"/>
      <c r="I159" s="21"/>
    </row>
    <row r="160" spans="1:12" x14ac:dyDescent="0.3">
      <c r="A160" s="277" t="s">
        <v>82</v>
      </c>
      <c r="B160" s="277"/>
      <c r="C160" s="277"/>
      <c r="D160" s="51">
        <f>D156-D157</f>
        <v>1104253</v>
      </c>
      <c r="H160" s="21"/>
      <c r="I160" s="21"/>
    </row>
    <row r="161" spans="1:11" x14ac:dyDescent="0.3">
      <c r="A161" s="277" t="s">
        <v>37</v>
      </c>
      <c r="B161" s="277"/>
      <c r="C161" s="277"/>
      <c r="D161" s="32">
        <v>0</v>
      </c>
      <c r="H161" s="21"/>
      <c r="I161" s="21"/>
    </row>
    <row r="162" spans="1:11" x14ac:dyDescent="0.3">
      <c r="A162" s="277" t="s">
        <v>47</v>
      </c>
      <c r="B162" s="277"/>
      <c r="C162" s="277"/>
      <c r="D162" s="14">
        <f>D160*5%</f>
        <v>55212.65</v>
      </c>
      <c r="H162" s="21"/>
      <c r="I162" s="21"/>
    </row>
    <row r="163" spans="1:11" x14ac:dyDescent="0.3">
      <c r="A163" s="277" t="s">
        <v>38</v>
      </c>
      <c r="B163" s="277"/>
      <c r="C163" s="277"/>
      <c r="D163" s="32">
        <f>D160*8%</f>
        <v>88340.24</v>
      </c>
      <c r="H163" s="21"/>
      <c r="I163" s="21"/>
    </row>
    <row r="164" spans="1:11" x14ac:dyDescent="0.3">
      <c r="A164" s="277" t="s">
        <v>39</v>
      </c>
      <c r="B164" s="277"/>
      <c r="C164" s="277"/>
      <c r="D164" s="32">
        <f>D160*7.5%</f>
        <v>82818.974999999991</v>
      </c>
      <c r="H164" s="21"/>
      <c r="I164" s="21"/>
    </row>
    <row r="165" spans="1:11" x14ac:dyDescent="0.3">
      <c r="A165" s="277" t="s">
        <v>40</v>
      </c>
      <c r="B165" s="277"/>
      <c r="C165" s="277"/>
      <c r="D165" s="32">
        <f>SUM(D161:D164)</f>
        <v>226371.86499999999</v>
      </c>
      <c r="H165" s="21"/>
      <c r="I165" s="21"/>
    </row>
    <row r="166" spans="1:11" x14ac:dyDescent="0.3">
      <c r="A166" s="277" t="s">
        <v>41</v>
      </c>
      <c r="B166" s="277"/>
      <c r="C166" s="277"/>
      <c r="D166" s="51">
        <f>D160-D165</f>
        <v>877881.13500000001</v>
      </c>
      <c r="H166" s="21"/>
      <c r="I166" s="21"/>
    </row>
    <row r="167" spans="1:11" x14ac:dyDescent="0.3">
      <c r="A167" s="107"/>
      <c r="B167" s="107"/>
      <c r="C167" s="107"/>
      <c r="D167" s="51"/>
      <c r="H167" s="21"/>
      <c r="I167" s="21"/>
    </row>
    <row r="168" spans="1:11" x14ac:dyDescent="0.3">
      <c r="A168" s="355" t="s">
        <v>94</v>
      </c>
      <c r="B168" s="355"/>
      <c r="C168" s="355"/>
      <c r="D168" s="355"/>
      <c r="H168" s="21"/>
      <c r="I168" s="21"/>
      <c r="K168" s="21"/>
    </row>
    <row r="169" spans="1:11" x14ac:dyDescent="0.3">
      <c r="A169" s="378" t="s">
        <v>196</v>
      </c>
      <c r="B169" s="378"/>
      <c r="C169" s="378"/>
      <c r="D169" s="123">
        <v>400000</v>
      </c>
      <c r="H169" s="21"/>
      <c r="I169" s="21"/>
    </row>
    <row r="170" spans="1:11" x14ac:dyDescent="0.3">
      <c r="A170" s="277" t="s">
        <v>197</v>
      </c>
      <c r="B170" s="277"/>
      <c r="C170" s="277"/>
      <c r="D170" s="123">
        <v>400000</v>
      </c>
      <c r="F170" s="129"/>
      <c r="H170" s="21"/>
      <c r="I170" s="21"/>
    </row>
    <row r="171" spans="1:11" x14ac:dyDescent="0.3">
      <c r="A171" s="277" t="s">
        <v>198</v>
      </c>
      <c r="B171" s="277"/>
      <c r="C171" s="277"/>
      <c r="D171" s="112">
        <v>100000</v>
      </c>
      <c r="H171" s="21"/>
      <c r="I171" s="21"/>
    </row>
    <row r="172" spans="1:11" x14ac:dyDescent="0.3">
      <c r="A172" s="277" t="s">
        <v>203</v>
      </c>
      <c r="B172" s="277"/>
      <c r="C172" s="277"/>
      <c r="D172" s="112">
        <f>900000*3.75%</f>
        <v>33750</v>
      </c>
      <c r="F172" s="128" t="s">
        <v>204</v>
      </c>
      <c r="H172" s="21"/>
      <c r="I172" s="21"/>
    </row>
    <row r="173" spans="1:11" x14ac:dyDescent="0.3">
      <c r="A173" s="364" t="s">
        <v>164</v>
      </c>
      <c r="B173" s="364"/>
      <c r="C173" s="364"/>
      <c r="D173" s="124">
        <f>D166-D169-D170-D171-D172</f>
        <v>-55868.864999999991</v>
      </c>
    </row>
    <row r="174" spans="1:11" x14ac:dyDescent="0.3">
      <c r="H174" s="21"/>
      <c r="I174" s="21"/>
    </row>
    <row r="175" spans="1:11" x14ac:dyDescent="0.3">
      <c r="A175" s="307" t="s">
        <v>202</v>
      </c>
      <c r="B175" s="308"/>
      <c r="C175" s="309"/>
      <c r="D175" s="32"/>
      <c r="H175" s="21"/>
      <c r="I175" s="21"/>
    </row>
    <row r="176" spans="1:11" x14ac:dyDescent="0.3">
      <c r="A176" s="310" t="s">
        <v>3</v>
      </c>
      <c r="B176" s="310"/>
      <c r="C176" s="310"/>
      <c r="D176" s="32">
        <v>35200</v>
      </c>
      <c r="H176" s="21"/>
      <c r="I176" s="21"/>
    </row>
    <row r="177" spans="1:11" x14ac:dyDescent="0.3">
      <c r="A177" s="310" t="s">
        <v>4</v>
      </c>
      <c r="B177" s="310" t="s">
        <v>3</v>
      </c>
      <c r="C177" s="310" t="s">
        <v>3</v>
      </c>
      <c r="D177" s="32">
        <v>356165</v>
      </c>
      <c r="H177" s="21"/>
      <c r="I177" s="21"/>
    </row>
    <row r="178" spans="1:11" x14ac:dyDescent="0.3">
      <c r="A178" s="310" t="s">
        <v>5</v>
      </c>
      <c r="B178" s="310" t="s">
        <v>5</v>
      </c>
      <c r="C178" s="310" t="s">
        <v>5</v>
      </c>
      <c r="D178" s="32">
        <v>1546832</v>
      </c>
      <c r="H178" s="21"/>
      <c r="I178" s="21"/>
    </row>
    <row r="179" spans="1:11" x14ac:dyDescent="0.3">
      <c r="A179" s="310" t="s">
        <v>31</v>
      </c>
      <c r="B179" s="310" t="s">
        <v>5</v>
      </c>
      <c r="C179" s="310" t="s">
        <v>5</v>
      </c>
      <c r="D179" s="32"/>
      <c r="H179" s="21"/>
      <c r="I179" s="21"/>
    </row>
    <row r="180" spans="1:11" x14ac:dyDescent="0.3">
      <c r="A180" s="310" t="s">
        <v>30</v>
      </c>
      <c r="B180" s="310" t="s">
        <v>5</v>
      </c>
      <c r="C180" s="310" t="s">
        <v>5</v>
      </c>
      <c r="D180" s="32"/>
      <c r="H180" s="21"/>
      <c r="I180" s="21"/>
    </row>
    <row r="181" spans="1:11" x14ac:dyDescent="0.3">
      <c r="A181" s="310" t="s">
        <v>42</v>
      </c>
      <c r="B181" s="310"/>
      <c r="C181" s="310"/>
      <c r="D181" s="32">
        <v>51566</v>
      </c>
      <c r="H181" s="21"/>
      <c r="I181" s="21"/>
    </row>
    <row r="182" spans="1:11" x14ac:dyDescent="0.3">
      <c r="A182" s="310" t="s">
        <v>44</v>
      </c>
      <c r="B182" s="310"/>
      <c r="C182" s="310"/>
      <c r="D182" s="32">
        <v>70993</v>
      </c>
      <c r="H182" s="21"/>
      <c r="I182" s="21"/>
    </row>
    <row r="183" spans="1:11" x14ac:dyDescent="0.3">
      <c r="A183" s="310" t="s">
        <v>172</v>
      </c>
      <c r="B183" s="310" t="s">
        <v>3</v>
      </c>
      <c r="C183" s="310" t="s">
        <v>3</v>
      </c>
      <c r="D183" s="32"/>
      <c r="H183" s="21"/>
      <c r="I183" s="21"/>
    </row>
    <row r="184" spans="1:11" x14ac:dyDescent="0.3">
      <c r="A184" s="300" t="s">
        <v>81</v>
      </c>
      <c r="B184" s="300"/>
      <c r="C184" s="300"/>
      <c r="D184" s="51">
        <f>SUM(D176:D183)</f>
        <v>2060756</v>
      </c>
      <c r="H184" s="21"/>
      <c r="I184" s="21"/>
    </row>
    <row r="185" spans="1:11" x14ac:dyDescent="0.3">
      <c r="A185" s="310" t="s">
        <v>23</v>
      </c>
      <c r="B185" s="310"/>
      <c r="C185" s="310"/>
      <c r="D185" s="32"/>
      <c r="H185" s="21"/>
      <c r="I185" s="21"/>
    </row>
    <row r="186" spans="1:11" x14ac:dyDescent="0.3">
      <c r="A186" s="310" t="s">
        <v>24</v>
      </c>
      <c r="B186" s="310"/>
      <c r="C186" s="310"/>
      <c r="D186" s="32"/>
      <c r="H186" s="21"/>
      <c r="I186" s="21"/>
    </row>
    <row r="187" spans="1:11" x14ac:dyDescent="0.3">
      <c r="A187" s="310" t="s">
        <v>25</v>
      </c>
      <c r="B187" s="310"/>
      <c r="C187" s="310"/>
      <c r="D187" s="32"/>
      <c r="F187" s="129"/>
      <c r="H187" s="21"/>
      <c r="I187" s="21"/>
    </row>
    <row r="188" spans="1:11" x14ac:dyDescent="0.3">
      <c r="A188" s="277" t="s">
        <v>82</v>
      </c>
      <c r="B188" s="277"/>
      <c r="C188" s="277"/>
      <c r="D188" s="51">
        <f>D184-D185</f>
        <v>2060756</v>
      </c>
      <c r="F188" s="129"/>
      <c r="H188" s="21"/>
      <c r="I188" s="21"/>
    </row>
    <row r="189" spans="1:11" x14ac:dyDescent="0.3">
      <c r="A189" s="277" t="s">
        <v>37</v>
      </c>
      <c r="B189" s="277"/>
      <c r="C189" s="277"/>
      <c r="D189" s="32">
        <v>0</v>
      </c>
      <c r="F189" s="129"/>
      <c r="H189" s="21"/>
      <c r="I189" s="21"/>
      <c r="K189" s="21"/>
    </row>
    <row r="190" spans="1:11" x14ac:dyDescent="0.3">
      <c r="A190" s="277" t="s">
        <v>47</v>
      </c>
      <c r="B190" s="277"/>
      <c r="C190" s="277"/>
      <c r="D190" s="32">
        <f>D188*5%</f>
        <v>103037.8</v>
      </c>
      <c r="F190" s="129"/>
      <c r="H190" s="21"/>
      <c r="I190" s="21"/>
    </row>
    <row r="191" spans="1:11" x14ac:dyDescent="0.3">
      <c r="A191" s="277" t="s">
        <v>38</v>
      </c>
      <c r="B191" s="277"/>
      <c r="C191" s="277"/>
      <c r="D191" s="32">
        <f>D188*8%</f>
        <v>164860.48000000001</v>
      </c>
      <c r="F191" s="129"/>
      <c r="H191" s="21"/>
      <c r="I191" s="21"/>
    </row>
    <row r="192" spans="1:11" x14ac:dyDescent="0.3">
      <c r="A192" s="277" t="s">
        <v>39</v>
      </c>
      <c r="B192" s="277"/>
      <c r="C192" s="277"/>
      <c r="D192" s="32">
        <f>D188*7.5%</f>
        <v>154556.69999999998</v>
      </c>
      <c r="F192" s="129"/>
      <c r="H192" s="21"/>
      <c r="I192" s="21"/>
    </row>
    <row r="193" spans="1:9" x14ac:dyDescent="0.3">
      <c r="A193" s="278" t="s">
        <v>40</v>
      </c>
      <c r="B193" s="279"/>
      <c r="C193" s="280"/>
      <c r="D193" s="32">
        <f>D192+D191+D190</f>
        <v>422454.98</v>
      </c>
      <c r="F193" s="129"/>
      <c r="H193" s="21"/>
      <c r="I193" s="21"/>
    </row>
    <row r="194" spans="1:9" x14ac:dyDescent="0.3">
      <c r="A194" s="114"/>
      <c r="B194" s="115"/>
      <c r="C194" s="116"/>
      <c r="D194" s="32"/>
      <c r="F194" s="129"/>
      <c r="H194" s="21"/>
      <c r="I194" s="21"/>
    </row>
    <row r="195" spans="1:9" x14ac:dyDescent="0.3">
      <c r="A195" s="278" t="s">
        <v>41</v>
      </c>
      <c r="B195" s="279"/>
      <c r="C195" s="280"/>
      <c r="D195" s="51">
        <f>D188-D193</f>
        <v>1638301.02</v>
      </c>
      <c r="F195" s="129"/>
      <c r="H195" s="21"/>
      <c r="I195" s="21"/>
    </row>
    <row r="196" spans="1:9" x14ac:dyDescent="0.3">
      <c r="A196" s="385" t="s">
        <v>59</v>
      </c>
      <c r="B196" s="386"/>
      <c r="C196" s="387"/>
      <c r="D196" s="163">
        <f>D195*70%</f>
        <v>1146810.7139999999</v>
      </c>
      <c r="F196" s="129"/>
      <c r="H196" s="21"/>
      <c r="I196" s="21"/>
    </row>
    <row r="197" spans="1:9" x14ac:dyDescent="0.3">
      <c r="A197" s="114"/>
      <c r="B197" s="115"/>
      <c r="C197" s="116"/>
      <c r="D197" s="51"/>
      <c r="F197" s="129"/>
      <c r="H197" s="21"/>
      <c r="I197" s="21"/>
    </row>
    <row r="198" spans="1:9" ht="51" customHeight="1" x14ac:dyDescent="0.3">
      <c r="A198" s="355" t="s">
        <v>94</v>
      </c>
      <c r="B198" s="355"/>
      <c r="C198" s="355"/>
      <c r="D198" s="355"/>
      <c r="F198" s="129"/>
      <c r="H198" s="21"/>
      <c r="I198" s="21"/>
    </row>
    <row r="199" spans="1:9" x14ac:dyDescent="0.3">
      <c r="A199" s="379" t="s">
        <v>210</v>
      </c>
      <c r="B199" s="379"/>
      <c r="C199" s="379"/>
      <c r="D199" s="131">
        <v>1107698</v>
      </c>
      <c r="F199" s="129"/>
      <c r="H199" s="21"/>
      <c r="I199" s="21"/>
    </row>
    <row r="200" spans="1:9" x14ac:dyDescent="0.3">
      <c r="A200" s="277"/>
      <c r="B200" s="277"/>
      <c r="C200" s="277"/>
      <c r="D200" s="123"/>
      <c r="F200" s="151"/>
      <c r="H200" s="21"/>
      <c r="I200" s="21"/>
    </row>
    <row r="201" spans="1:9" x14ac:dyDescent="0.3">
      <c r="A201" s="364" t="s">
        <v>164</v>
      </c>
      <c r="B201" s="364"/>
      <c r="C201" s="364"/>
      <c r="D201" s="130">
        <f>D195-D196</f>
        <v>491490.3060000001</v>
      </c>
      <c r="F201" s="129"/>
    </row>
    <row r="202" spans="1:9" x14ac:dyDescent="0.3">
      <c r="F202" s="129"/>
    </row>
    <row r="203" spans="1:9" x14ac:dyDescent="0.3">
      <c r="A203" s="379" t="s">
        <v>211</v>
      </c>
      <c r="B203" s="379"/>
      <c r="C203" s="379"/>
      <c r="D203" s="131">
        <v>150000</v>
      </c>
      <c r="H203" s="21"/>
      <c r="I203" s="21"/>
    </row>
    <row r="204" spans="1:9" x14ac:dyDescent="0.3">
      <c r="A204" s="381"/>
      <c r="B204" s="382"/>
      <c r="C204" s="383"/>
      <c r="D204" s="131"/>
      <c r="F204" s="151"/>
    </row>
    <row r="205" spans="1:9" ht="28.5" x14ac:dyDescent="0.3">
      <c r="A205" s="380" t="s">
        <v>164</v>
      </c>
      <c r="B205" s="380"/>
      <c r="C205" s="380"/>
      <c r="D205" s="132">
        <f>D201-D203</f>
        <v>341490.3060000001</v>
      </c>
      <c r="F205" s="128" t="s">
        <v>223</v>
      </c>
      <c r="G205" s="21">
        <v>-1288250</v>
      </c>
    </row>
    <row r="206" spans="1:9" x14ac:dyDescent="0.3">
      <c r="F206" s="128" t="s">
        <v>224</v>
      </c>
      <c r="G206" s="21">
        <v>-568779</v>
      </c>
    </row>
    <row r="207" spans="1:9" x14ac:dyDescent="0.3">
      <c r="F207" s="128" t="s">
        <v>225</v>
      </c>
      <c r="G207" s="21">
        <v>304347</v>
      </c>
    </row>
    <row r="208" spans="1:9" x14ac:dyDescent="0.3">
      <c r="A208" s="307" t="s">
        <v>265</v>
      </c>
      <c r="B208" s="308"/>
      <c r="C208" s="309"/>
      <c r="D208" s="32"/>
      <c r="F208" s="128" t="s">
        <v>226</v>
      </c>
      <c r="G208" s="21">
        <v>-55868</v>
      </c>
    </row>
    <row r="209" spans="1:7" x14ac:dyDescent="0.3">
      <c r="A209" s="310" t="s">
        <v>3</v>
      </c>
      <c r="B209" s="310"/>
      <c r="C209" s="310"/>
      <c r="D209" s="32"/>
      <c r="F209" s="128" t="s">
        <v>227</v>
      </c>
      <c r="G209" s="21">
        <v>341490</v>
      </c>
    </row>
    <row r="210" spans="1:7" x14ac:dyDescent="0.3">
      <c r="A210" s="310" t="s">
        <v>4</v>
      </c>
      <c r="B210" s="310" t="s">
        <v>3</v>
      </c>
      <c r="C210" s="310" t="s">
        <v>3</v>
      </c>
      <c r="D210" s="32"/>
    </row>
    <row r="211" spans="1:7" x14ac:dyDescent="0.3">
      <c r="A211" s="310" t="s">
        <v>5</v>
      </c>
      <c r="B211" s="310" t="s">
        <v>5</v>
      </c>
      <c r="C211" s="310" t="s">
        <v>5</v>
      </c>
      <c r="D211" s="32"/>
      <c r="F211" s="128" t="s">
        <v>228</v>
      </c>
      <c r="G211" s="21">
        <f>SUM(G205:G210)</f>
        <v>-1267060</v>
      </c>
    </row>
    <row r="212" spans="1:7" x14ac:dyDescent="0.3">
      <c r="A212" s="310" t="s">
        <v>30</v>
      </c>
      <c r="B212" s="310" t="s">
        <v>5</v>
      </c>
      <c r="C212" s="310" t="s">
        <v>5</v>
      </c>
      <c r="D212" s="32"/>
    </row>
    <row r="213" spans="1:7" x14ac:dyDescent="0.3">
      <c r="A213" s="310" t="s">
        <v>172</v>
      </c>
      <c r="B213" s="310" t="s">
        <v>3</v>
      </c>
      <c r="C213" s="310" t="s">
        <v>3</v>
      </c>
      <c r="D213" s="32"/>
    </row>
    <row r="214" spans="1:7" x14ac:dyDescent="0.3">
      <c r="A214" s="300" t="s">
        <v>81</v>
      </c>
      <c r="B214" s="300"/>
      <c r="C214" s="300"/>
      <c r="D214" s="51">
        <v>2325902</v>
      </c>
    </row>
    <row r="215" spans="1:7" x14ac:dyDescent="0.3">
      <c r="A215" s="310" t="s">
        <v>23</v>
      </c>
      <c r="B215" s="310"/>
      <c r="C215" s="310"/>
      <c r="D215" s="32"/>
    </row>
    <row r="216" spans="1:7" x14ac:dyDescent="0.3">
      <c r="A216" s="310" t="s">
        <v>24</v>
      </c>
      <c r="B216" s="310"/>
      <c r="C216" s="310"/>
      <c r="D216" s="32"/>
    </row>
    <row r="217" spans="1:7" x14ac:dyDescent="0.3">
      <c r="A217" s="310" t="s">
        <v>25</v>
      </c>
      <c r="B217" s="310"/>
      <c r="C217" s="310"/>
      <c r="D217" s="32"/>
    </row>
    <row r="218" spans="1:7" x14ac:dyDescent="0.3">
      <c r="A218" s="277" t="s">
        <v>82</v>
      </c>
      <c r="B218" s="277"/>
      <c r="C218" s="277"/>
      <c r="D218" s="51">
        <f>D214-D215</f>
        <v>2325902</v>
      </c>
    </row>
    <row r="219" spans="1:7" x14ac:dyDescent="0.3">
      <c r="A219" s="277" t="s">
        <v>37</v>
      </c>
      <c r="B219" s="277"/>
      <c r="C219" s="277"/>
      <c r="D219" s="32">
        <v>0</v>
      </c>
    </row>
    <row r="220" spans="1:7" x14ac:dyDescent="0.3">
      <c r="A220" s="277" t="s">
        <v>47</v>
      </c>
      <c r="B220" s="277"/>
      <c r="C220" s="277"/>
      <c r="D220" s="32">
        <f>D218*5%</f>
        <v>116295.1</v>
      </c>
    </row>
    <row r="221" spans="1:7" x14ac:dyDescent="0.3">
      <c r="A221" s="277" t="s">
        <v>38</v>
      </c>
      <c r="B221" s="277"/>
      <c r="C221" s="277"/>
      <c r="D221" s="32">
        <f>D218*8%</f>
        <v>186072.16</v>
      </c>
    </row>
    <row r="222" spans="1:7" x14ac:dyDescent="0.3">
      <c r="A222" s="277" t="s">
        <v>39</v>
      </c>
      <c r="B222" s="277"/>
      <c r="C222" s="277"/>
      <c r="D222" s="32">
        <f>D218*7.5%</f>
        <v>174442.65</v>
      </c>
    </row>
    <row r="223" spans="1:7" x14ac:dyDescent="0.3">
      <c r="A223" s="278" t="s">
        <v>40</v>
      </c>
      <c r="B223" s="279"/>
      <c r="C223" s="280"/>
      <c r="D223" s="32">
        <f>D222+D221+D220</f>
        <v>476809.91000000003</v>
      </c>
    </row>
    <row r="224" spans="1:7" x14ac:dyDescent="0.3">
      <c r="A224" s="114"/>
      <c r="B224" s="115"/>
      <c r="C224" s="116"/>
      <c r="D224" s="32"/>
    </row>
    <row r="225" spans="1:6" x14ac:dyDescent="0.3">
      <c r="A225" s="278" t="s">
        <v>41</v>
      </c>
      <c r="B225" s="279"/>
      <c r="C225" s="280"/>
      <c r="D225" s="51">
        <f>D218-D223</f>
        <v>1849092.0899999999</v>
      </c>
    </row>
    <row r="226" spans="1:6" x14ac:dyDescent="0.3">
      <c r="A226" s="114"/>
      <c r="B226" s="115"/>
      <c r="C226" s="116"/>
      <c r="D226" s="51"/>
    </row>
    <row r="227" spans="1:6" x14ac:dyDescent="0.3">
      <c r="A227" s="355" t="s">
        <v>94</v>
      </c>
      <c r="B227" s="355"/>
      <c r="C227" s="355"/>
      <c r="D227" s="355"/>
    </row>
    <row r="228" spans="1:6" x14ac:dyDescent="0.3">
      <c r="A228" s="379" t="s">
        <v>266</v>
      </c>
      <c r="B228" s="379"/>
      <c r="C228" s="379"/>
      <c r="D228" s="131">
        <v>1500000</v>
      </c>
      <c r="F228" s="151">
        <f>D228/92.5%</f>
        <v>1621621.6216216215</v>
      </c>
    </row>
    <row r="229" spans="1:6" x14ac:dyDescent="0.3">
      <c r="A229" s="379" t="s">
        <v>283</v>
      </c>
      <c r="B229" s="379"/>
      <c r="C229" s="379"/>
      <c r="D229" s="131">
        <v>60812</v>
      </c>
      <c r="F229" s="151"/>
    </row>
    <row r="230" spans="1:6" x14ac:dyDescent="0.3">
      <c r="A230" s="381"/>
      <c r="B230" s="382"/>
      <c r="C230" s="383"/>
      <c r="D230" s="131"/>
      <c r="F230" s="151"/>
    </row>
    <row r="231" spans="1:6" x14ac:dyDescent="0.3">
      <c r="A231" s="381" t="s">
        <v>288</v>
      </c>
      <c r="B231" s="382"/>
      <c r="C231" s="383"/>
      <c r="D231" s="131">
        <f>SUM(D228:D230)</f>
        <v>1560812</v>
      </c>
      <c r="F231" s="151"/>
    </row>
    <row r="232" spans="1:6" x14ac:dyDescent="0.3">
      <c r="A232" s="277"/>
      <c r="B232" s="277"/>
      <c r="C232" s="277"/>
      <c r="D232" s="123"/>
      <c r="F232" s="151">
        <f>F228*7.5%</f>
        <v>121621.62162162161</v>
      </c>
    </row>
    <row r="233" spans="1:6" ht="28.5" x14ac:dyDescent="0.3">
      <c r="A233" s="380" t="s">
        <v>164</v>
      </c>
      <c r="B233" s="380"/>
      <c r="C233" s="380"/>
      <c r="D233" s="132">
        <f>D225-D231</f>
        <v>288280.08999999985</v>
      </c>
      <c r="F233" s="151">
        <f>F232/2</f>
        <v>60810.810810810806</v>
      </c>
    </row>
    <row r="234" spans="1:6" ht="66.75" customHeight="1" x14ac:dyDescent="0.3">
      <c r="E234" s="149">
        <f>D228*3.5%</f>
        <v>52500.000000000007</v>
      </c>
    </row>
  </sheetData>
  <mergeCells count="218">
    <mergeCell ref="A228:C228"/>
    <mergeCell ref="A232:C232"/>
    <mergeCell ref="A233:C233"/>
    <mergeCell ref="A214:C214"/>
    <mergeCell ref="A215:C215"/>
    <mergeCell ref="A216:C216"/>
    <mergeCell ref="A217:C217"/>
    <mergeCell ref="A218:C218"/>
    <mergeCell ref="A219:C219"/>
    <mergeCell ref="A220:C220"/>
    <mergeCell ref="A221:C221"/>
    <mergeCell ref="A222:C222"/>
    <mergeCell ref="A229:C229"/>
    <mergeCell ref="A231:C231"/>
    <mergeCell ref="A230:C230"/>
    <mergeCell ref="A208:C208"/>
    <mergeCell ref="A209:C209"/>
    <mergeCell ref="A210:C210"/>
    <mergeCell ref="A211:C211"/>
    <mergeCell ref="A212:C212"/>
    <mergeCell ref="A213:C213"/>
    <mergeCell ref="A223:C223"/>
    <mergeCell ref="A225:C225"/>
    <mergeCell ref="A227:D227"/>
    <mergeCell ref="K133:L133"/>
    <mergeCell ref="K142:L142"/>
    <mergeCell ref="K126:L126"/>
    <mergeCell ref="A201:C201"/>
    <mergeCell ref="A196:C196"/>
    <mergeCell ref="A195:C195"/>
    <mergeCell ref="A198:D198"/>
    <mergeCell ref="A199:C199"/>
    <mergeCell ref="A200:C200"/>
    <mergeCell ref="A188:C188"/>
    <mergeCell ref="A189:C189"/>
    <mergeCell ref="A190:C190"/>
    <mergeCell ref="A191:C191"/>
    <mergeCell ref="A192:C192"/>
    <mergeCell ref="A193:C193"/>
    <mergeCell ref="A155:C155"/>
    <mergeCell ref="A156:C156"/>
    <mergeCell ref="A157:C157"/>
    <mergeCell ref="A145:C145"/>
    <mergeCell ref="A147:C147"/>
    <mergeCell ref="A148:C148"/>
    <mergeCell ref="A149:C149"/>
    <mergeCell ref="A150:C150"/>
    <mergeCell ref="A151:C151"/>
    <mergeCell ref="A203:C203"/>
    <mergeCell ref="A205:C205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204:C204"/>
    <mergeCell ref="A1:D1"/>
    <mergeCell ref="A2:D2"/>
    <mergeCell ref="A4:D4"/>
    <mergeCell ref="A5:D5"/>
    <mergeCell ref="A3:D3"/>
    <mergeCell ref="A175:C175"/>
    <mergeCell ref="A173:C173"/>
    <mergeCell ref="A165:C165"/>
    <mergeCell ref="A166:C166"/>
    <mergeCell ref="A168:D168"/>
    <mergeCell ref="A169:C169"/>
    <mergeCell ref="A170:C170"/>
    <mergeCell ref="A171:C171"/>
    <mergeCell ref="A172:C172"/>
    <mergeCell ref="A164:C164"/>
    <mergeCell ref="A158:C158"/>
    <mergeCell ref="A159:C159"/>
    <mergeCell ref="A160:C160"/>
    <mergeCell ref="A161:C161"/>
    <mergeCell ref="A162:C162"/>
    <mergeCell ref="A163:C163"/>
    <mergeCell ref="A152:C152"/>
    <mergeCell ref="A153:C153"/>
    <mergeCell ref="A154:C154"/>
    <mergeCell ref="A130:C130"/>
    <mergeCell ref="A139:C139"/>
    <mergeCell ref="A140:C140"/>
    <mergeCell ref="A141:C141"/>
    <mergeCell ref="A143:C143"/>
    <mergeCell ref="A144:C144"/>
    <mergeCell ref="A127:C127"/>
    <mergeCell ref="A128:C128"/>
    <mergeCell ref="A135:C135"/>
    <mergeCell ref="A136:C136"/>
    <mergeCell ref="A137:C137"/>
    <mergeCell ref="A138:C138"/>
    <mergeCell ref="A132:D132"/>
    <mergeCell ref="A133:C133"/>
    <mergeCell ref="A134:C134"/>
    <mergeCell ref="A129:C129"/>
    <mergeCell ref="A142:C142"/>
    <mergeCell ref="A121:C121"/>
    <mergeCell ref="A122:C122"/>
    <mergeCell ref="A123:C123"/>
    <mergeCell ref="A124:C124"/>
    <mergeCell ref="A125:C125"/>
    <mergeCell ref="A126:C126"/>
    <mergeCell ref="A115:C115"/>
    <mergeCell ref="A116:C116"/>
    <mergeCell ref="A117:C117"/>
    <mergeCell ref="A118:C118"/>
    <mergeCell ref="A119:C119"/>
    <mergeCell ref="A120:C120"/>
    <mergeCell ref="A111:C111"/>
    <mergeCell ref="A112:C112"/>
    <mergeCell ref="A113:C113"/>
    <mergeCell ref="A114:C114"/>
    <mergeCell ref="A93:C93"/>
    <mergeCell ref="A94:C94"/>
    <mergeCell ref="A95:C95"/>
    <mergeCell ref="A96:C96"/>
    <mergeCell ref="A97:C97"/>
    <mergeCell ref="B107:C107"/>
    <mergeCell ref="B108:C108"/>
    <mergeCell ref="B109:C109"/>
    <mergeCell ref="A98:C98"/>
    <mergeCell ref="A99:C99"/>
    <mergeCell ref="A100:C100"/>
    <mergeCell ref="A101:C101"/>
    <mergeCell ref="A104:D104"/>
    <mergeCell ref="B105:C105"/>
    <mergeCell ref="B106:C106"/>
    <mergeCell ref="A90:C90"/>
    <mergeCell ref="A91:C91"/>
    <mergeCell ref="A92:C92"/>
    <mergeCell ref="A74:C74"/>
    <mergeCell ref="B76:C76"/>
    <mergeCell ref="B77:C77"/>
    <mergeCell ref="B78:C78"/>
    <mergeCell ref="B79:C79"/>
    <mergeCell ref="A75:C75"/>
    <mergeCell ref="A82:C82"/>
    <mergeCell ref="A83:C83"/>
    <mergeCell ref="A84:C84"/>
    <mergeCell ref="A85:C85"/>
    <mergeCell ref="A86:C86"/>
    <mergeCell ref="A62:C62"/>
    <mergeCell ref="A63:C63"/>
    <mergeCell ref="A64:C64"/>
    <mergeCell ref="A87:C87"/>
    <mergeCell ref="A88:C88"/>
    <mergeCell ref="A71:C71"/>
    <mergeCell ref="A72:C72"/>
    <mergeCell ref="A73:C73"/>
    <mergeCell ref="A89:C89"/>
    <mergeCell ref="A65:C65"/>
    <mergeCell ref="A66:C66"/>
    <mergeCell ref="A67:C67"/>
    <mergeCell ref="A68:C68"/>
    <mergeCell ref="A69:C69"/>
    <mergeCell ref="A70:C70"/>
    <mergeCell ref="A6:C6"/>
    <mergeCell ref="A54:C54"/>
    <mergeCell ref="A55:C55"/>
    <mergeCell ref="A56:C56"/>
    <mergeCell ref="A57:C57"/>
    <mergeCell ref="A58:C58"/>
    <mergeCell ref="A37:C37"/>
    <mergeCell ref="A38:C38"/>
    <mergeCell ref="A39:C39"/>
    <mergeCell ref="A40:C40"/>
    <mergeCell ref="A41:C41"/>
    <mergeCell ref="A28:C28"/>
    <mergeCell ref="A29:C29"/>
    <mergeCell ref="A30:C30"/>
    <mergeCell ref="A31:C31"/>
    <mergeCell ref="A32:C32"/>
    <mergeCell ref="B49:C49"/>
    <mergeCell ref="B50:C50"/>
    <mergeCell ref="B51:C51"/>
    <mergeCell ref="A42:C42"/>
    <mergeCell ref="A43:C43"/>
    <mergeCell ref="A44:C44"/>
    <mergeCell ref="A45:C45"/>
    <mergeCell ref="A46:C46"/>
    <mergeCell ref="A7:C7"/>
    <mergeCell ref="A8:C8"/>
    <mergeCell ref="A9:C9"/>
    <mergeCell ref="A10:C10"/>
    <mergeCell ref="A11:C11"/>
    <mergeCell ref="A12:C12"/>
    <mergeCell ref="A13:C13"/>
    <mergeCell ref="A33:C33"/>
    <mergeCell ref="A34:C34"/>
    <mergeCell ref="A19:C19"/>
    <mergeCell ref="A20:C20"/>
    <mergeCell ref="A21:C21"/>
    <mergeCell ref="A22:C22"/>
    <mergeCell ref="A23:C23"/>
    <mergeCell ref="A59:C59"/>
    <mergeCell ref="A60:C60"/>
    <mergeCell ref="A61:C61"/>
    <mergeCell ref="B52:C52"/>
    <mergeCell ref="A48:C48"/>
    <mergeCell ref="A14:C14"/>
    <mergeCell ref="A24:C24"/>
    <mergeCell ref="A25:C25"/>
    <mergeCell ref="A26:C26"/>
    <mergeCell ref="A15:C15"/>
    <mergeCell ref="A16:C16"/>
    <mergeCell ref="A17:C17"/>
    <mergeCell ref="A18:C18"/>
    <mergeCell ref="A47:C47"/>
    <mergeCell ref="A36:C36"/>
    <mergeCell ref="A35:C3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70"/>
  <sheetViews>
    <sheetView topLeftCell="A52" workbookViewId="0">
      <selection activeCell="D58" sqref="D58"/>
    </sheetView>
  </sheetViews>
  <sheetFormatPr defaultRowHeight="15" x14ac:dyDescent="0.25"/>
  <cols>
    <col min="1" max="3" width="19.28515625" customWidth="1"/>
    <col min="4" max="4" width="29.5703125" customWidth="1"/>
    <col min="6" max="6" width="17.42578125" customWidth="1"/>
    <col min="9" max="9" width="11.5703125" style="49" bestFit="1" customWidth="1"/>
  </cols>
  <sheetData>
    <row r="1" spans="1:9" s="2" customFormat="1" x14ac:dyDescent="0.25">
      <c r="A1" s="389" t="s">
        <v>168</v>
      </c>
      <c r="B1" s="389"/>
      <c r="C1" s="389"/>
      <c r="D1" s="389"/>
      <c r="H1" s="10"/>
      <c r="I1" s="10"/>
    </row>
    <row r="2" spans="1:9" s="2" customFormat="1" x14ac:dyDescent="0.25">
      <c r="A2" s="390"/>
      <c r="B2" s="390"/>
      <c r="C2" s="390"/>
      <c r="D2" s="390"/>
      <c r="H2" s="10"/>
      <c r="I2" s="10"/>
    </row>
    <row r="3" spans="1:9" s="2" customFormat="1" ht="34.15" customHeight="1" x14ac:dyDescent="0.55000000000000004">
      <c r="A3" s="388" t="s">
        <v>212</v>
      </c>
      <c r="B3" s="388"/>
      <c r="C3" s="388"/>
      <c r="D3" s="102">
        <f>1343553*60%</f>
        <v>806131.79999999993</v>
      </c>
      <c r="F3" s="29"/>
      <c r="H3" s="10"/>
      <c r="I3" s="10"/>
    </row>
    <row r="4" spans="1:9" s="2" customFormat="1" ht="26.25" x14ac:dyDescent="0.25">
      <c r="A4" s="276" t="s">
        <v>94</v>
      </c>
      <c r="B4" s="276"/>
      <c r="C4" s="276"/>
      <c r="D4" s="276"/>
      <c r="H4" s="10"/>
      <c r="I4" s="10"/>
    </row>
    <row r="5" spans="1:9" s="2" customFormat="1" ht="23.25" x14ac:dyDescent="0.3">
      <c r="A5" s="277" t="s">
        <v>182</v>
      </c>
      <c r="B5" s="277"/>
      <c r="C5" s="277"/>
      <c r="D5" s="105">
        <v>400000</v>
      </c>
      <c r="H5" s="10"/>
      <c r="I5" s="10"/>
    </row>
    <row r="6" spans="1:9" s="2" customFormat="1" ht="23.25" x14ac:dyDescent="0.3">
      <c r="A6" s="277" t="s">
        <v>182</v>
      </c>
      <c r="B6" s="277"/>
      <c r="C6" s="277"/>
      <c r="D6" s="105">
        <v>437000</v>
      </c>
      <c r="H6" s="10"/>
      <c r="I6" s="10"/>
    </row>
    <row r="7" spans="1:9" s="2" customFormat="1" ht="21" x14ac:dyDescent="0.3">
      <c r="A7" s="277"/>
      <c r="B7" s="277"/>
      <c r="C7" s="277"/>
      <c r="D7" s="101"/>
      <c r="H7" s="10"/>
      <c r="I7" s="10"/>
    </row>
    <row r="8" spans="1:9" s="2" customFormat="1" ht="23.25" x14ac:dyDescent="0.3">
      <c r="A8" s="277"/>
      <c r="B8" s="277"/>
      <c r="C8" s="277"/>
      <c r="D8" s="105"/>
      <c r="H8" s="10"/>
      <c r="I8" s="10"/>
    </row>
    <row r="9" spans="1:9" s="2" customFormat="1" ht="23.25" x14ac:dyDescent="0.25">
      <c r="A9" s="274" t="s">
        <v>160</v>
      </c>
      <c r="B9" s="274"/>
      <c r="C9" s="274"/>
      <c r="D9" s="106">
        <f>SUM(D5:D8)</f>
        <v>837000</v>
      </c>
      <c r="H9" s="10"/>
      <c r="I9" s="10"/>
    </row>
    <row r="10" spans="1:9" s="2" customFormat="1" ht="23.25" x14ac:dyDescent="0.25">
      <c r="A10" s="274" t="s">
        <v>164</v>
      </c>
      <c r="B10" s="274"/>
      <c r="C10" s="274"/>
      <c r="D10" s="96">
        <f>1395000-D9</f>
        <v>558000</v>
      </c>
      <c r="H10" s="10"/>
      <c r="I10" s="10"/>
    </row>
    <row r="13" spans="1:9" ht="18.75" x14ac:dyDescent="0.3">
      <c r="A13" s="307" t="s">
        <v>269</v>
      </c>
      <c r="B13" s="308"/>
      <c r="C13" s="309"/>
      <c r="D13" s="32"/>
    </row>
    <row r="14" spans="1:9" ht="18.75" x14ac:dyDescent="0.3">
      <c r="A14" s="310" t="s">
        <v>3</v>
      </c>
      <c r="B14" s="310"/>
      <c r="C14" s="310"/>
      <c r="D14" s="32"/>
    </row>
    <row r="15" spans="1:9" ht="18.75" x14ac:dyDescent="0.3">
      <c r="A15" s="310" t="s">
        <v>4</v>
      </c>
      <c r="B15" s="310" t="s">
        <v>3</v>
      </c>
      <c r="C15" s="310" t="s">
        <v>3</v>
      </c>
      <c r="D15" s="32"/>
    </row>
    <row r="16" spans="1:9" ht="18.75" x14ac:dyDescent="0.3">
      <c r="A16" s="310" t="s">
        <v>5</v>
      </c>
      <c r="B16" s="310" t="s">
        <v>5</v>
      </c>
      <c r="C16" s="310" t="s">
        <v>5</v>
      </c>
      <c r="D16" s="32">
        <v>1343553</v>
      </c>
    </row>
    <row r="17" spans="1:6" ht="18.75" x14ac:dyDescent="0.3">
      <c r="A17" s="310" t="s">
        <v>31</v>
      </c>
      <c r="B17" s="310" t="s">
        <v>5</v>
      </c>
      <c r="C17" s="310" t="s">
        <v>5</v>
      </c>
      <c r="D17" s="32"/>
    </row>
    <row r="18" spans="1:6" ht="18.75" x14ac:dyDescent="0.3">
      <c r="A18" s="310" t="s">
        <v>30</v>
      </c>
      <c r="B18" s="310" t="s">
        <v>5</v>
      </c>
      <c r="C18" s="310" t="s">
        <v>5</v>
      </c>
      <c r="D18" s="32"/>
    </row>
    <row r="19" spans="1:6" ht="18.75" x14ac:dyDescent="0.3">
      <c r="A19" s="310" t="s">
        <v>42</v>
      </c>
      <c r="B19" s="310"/>
      <c r="C19" s="310"/>
      <c r="D19" s="32"/>
    </row>
    <row r="20" spans="1:6" ht="18.75" x14ac:dyDescent="0.3">
      <c r="A20" s="310" t="s">
        <v>44</v>
      </c>
      <c r="B20" s="310"/>
      <c r="C20" s="310"/>
      <c r="D20" s="32"/>
    </row>
    <row r="21" spans="1:6" ht="18.75" x14ac:dyDescent="0.3">
      <c r="A21" s="310" t="s">
        <v>172</v>
      </c>
      <c r="B21" s="310" t="s">
        <v>3</v>
      </c>
      <c r="C21" s="310" t="s">
        <v>3</v>
      </c>
      <c r="D21" s="32"/>
    </row>
    <row r="22" spans="1:6" ht="18.75" x14ac:dyDescent="0.3">
      <c r="A22" s="300" t="s">
        <v>81</v>
      </c>
      <c r="B22" s="300"/>
      <c r="C22" s="300"/>
      <c r="D22" s="51">
        <f>SUM(D14:D21)</f>
        <v>1343553</v>
      </c>
    </row>
    <row r="23" spans="1:6" ht="18.75" x14ac:dyDescent="0.3">
      <c r="A23" s="310" t="s">
        <v>23</v>
      </c>
      <c r="B23" s="310"/>
      <c r="C23" s="310"/>
      <c r="D23" s="32"/>
    </row>
    <row r="24" spans="1:6" ht="18.75" x14ac:dyDescent="0.3">
      <c r="A24" s="310" t="s">
        <v>24</v>
      </c>
      <c r="B24" s="310"/>
      <c r="C24" s="310"/>
      <c r="D24" s="32"/>
    </row>
    <row r="25" spans="1:6" ht="18.75" x14ac:dyDescent="0.3">
      <c r="A25" s="310" t="s">
        <v>25</v>
      </c>
      <c r="B25" s="310"/>
      <c r="C25" s="310"/>
      <c r="D25" s="32"/>
    </row>
    <row r="26" spans="1:6" ht="18.75" x14ac:dyDescent="0.3">
      <c r="A26" s="277" t="s">
        <v>82</v>
      </c>
      <c r="B26" s="277"/>
      <c r="C26" s="277"/>
      <c r="D26" s="51">
        <f>D22-D23</f>
        <v>1343553</v>
      </c>
      <c r="F26" s="51">
        <v>1343553</v>
      </c>
    </row>
    <row r="27" spans="1:6" ht="18.75" x14ac:dyDescent="0.3">
      <c r="A27" s="277" t="s">
        <v>37</v>
      </c>
      <c r="B27" s="277"/>
      <c r="C27" s="277"/>
      <c r="D27" s="32">
        <v>0</v>
      </c>
      <c r="F27" s="32">
        <v>0</v>
      </c>
    </row>
    <row r="28" spans="1:6" ht="18.75" x14ac:dyDescent="0.3">
      <c r="A28" s="277" t="s">
        <v>47</v>
      </c>
      <c r="B28" s="277"/>
      <c r="C28" s="277"/>
      <c r="D28" s="32"/>
      <c r="F28" s="32"/>
    </row>
    <row r="29" spans="1:6" ht="18.75" x14ac:dyDescent="0.3">
      <c r="A29" s="277" t="s">
        <v>38</v>
      </c>
      <c r="B29" s="277"/>
      <c r="C29" s="277"/>
      <c r="D29" s="32"/>
      <c r="F29" s="32">
        <f>F26*8%</f>
        <v>107484.24</v>
      </c>
    </row>
    <row r="30" spans="1:6" ht="18.75" x14ac:dyDescent="0.3">
      <c r="A30" s="277" t="s">
        <v>39</v>
      </c>
      <c r="B30" s="277"/>
      <c r="C30" s="277"/>
      <c r="D30" s="32"/>
      <c r="F30" s="32">
        <f>F26*7.5%</f>
        <v>100766.47499999999</v>
      </c>
    </row>
    <row r="31" spans="1:6" ht="18.75" x14ac:dyDescent="0.3">
      <c r="A31" s="278" t="s">
        <v>40</v>
      </c>
      <c r="B31" s="279"/>
      <c r="C31" s="280"/>
      <c r="D31" s="32"/>
      <c r="F31" s="32"/>
    </row>
    <row r="32" spans="1:6" ht="18.75" x14ac:dyDescent="0.3">
      <c r="A32" s="114"/>
      <c r="B32" s="115"/>
      <c r="C32" s="116"/>
      <c r="D32" s="32"/>
      <c r="F32" s="32"/>
    </row>
    <row r="33" spans="1:9" ht="18.75" x14ac:dyDescent="0.3">
      <c r="A33" s="278" t="s">
        <v>41</v>
      </c>
      <c r="B33" s="279"/>
      <c r="C33" s="280"/>
      <c r="D33" s="51">
        <f>D26-D31</f>
        <v>1343553</v>
      </c>
      <c r="F33" s="51">
        <f>F26-F28-F29-F30</f>
        <v>1135302.2849999999</v>
      </c>
    </row>
    <row r="34" spans="1:9" ht="18.75" x14ac:dyDescent="0.3">
      <c r="A34" s="114"/>
      <c r="B34" s="115"/>
      <c r="C34" s="116"/>
      <c r="D34" s="51"/>
    </row>
    <row r="35" spans="1:9" ht="18.75" x14ac:dyDescent="0.25">
      <c r="A35" s="355" t="s">
        <v>94</v>
      </c>
      <c r="B35" s="355"/>
      <c r="C35" s="355"/>
      <c r="D35" s="355"/>
    </row>
    <row r="36" spans="1:9" s="2" customFormat="1" ht="23.25" x14ac:dyDescent="0.3">
      <c r="A36" s="277" t="s">
        <v>182</v>
      </c>
      <c r="B36" s="277"/>
      <c r="C36" s="277"/>
      <c r="D36" s="105">
        <v>400000</v>
      </c>
      <c r="F36" s="2">
        <v>400000</v>
      </c>
      <c r="H36" s="10"/>
      <c r="I36" s="10"/>
    </row>
    <row r="37" spans="1:9" s="2" customFormat="1" ht="23.25" x14ac:dyDescent="0.3">
      <c r="A37" s="277" t="s">
        <v>182</v>
      </c>
      <c r="B37" s="277"/>
      <c r="C37" s="277"/>
      <c r="D37" s="105">
        <v>437000</v>
      </c>
      <c r="F37" s="2">
        <v>437000</v>
      </c>
      <c r="H37" s="10"/>
      <c r="I37" s="10"/>
    </row>
    <row r="38" spans="1:9" ht="23.25" x14ac:dyDescent="0.25">
      <c r="A38" s="364" t="s">
        <v>164</v>
      </c>
      <c r="B38" s="364"/>
      <c r="C38" s="364"/>
      <c r="D38" s="133">
        <f>D33-D36-D37</f>
        <v>506553</v>
      </c>
      <c r="F38" s="48">
        <f>F33-F36-F37</f>
        <v>298302.28499999992</v>
      </c>
    </row>
    <row r="39" spans="1:9" s="20" customFormat="1" ht="18.75" x14ac:dyDescent="0.3">
      <c r="A39" s="379" t="s">
        <v>216</v>
      </c>
      <c r="B39" s="379"/>
      <c r="C39" s="379"/>
      <c r="D39" s="131">
        <v>506553</v>
      </c>
      <c r="F39" s="128"/>
      <c r="I39" s="21"/>
    </row>
    <row r="40" spans="1:9" s="20" customFormat="1" ht="28.5" x14ac:dyDescent="0.3">
      <c r="A40" s="380" t="s">
        <v>164</v>
      </c>
      <c r="B40" s="380"/>
      <c r="C40" s="380"/>
      <c r="D40" s="132" t="s">
        <v>215</v>
      </c>
      <c r="F40" s="129"/>
      <c r="H40" s="21"/>
      <c r="I40" s="21"/>
    </row>
    <row r="43" spans="1:9" ht="18.75" x14ac:dyDescent="0.3">
      <c r="A43" s="307" t="s">
        <v>270</v>
      </c>
      <c r="B43" s="308"/>
      <c r="C43" s="309"/>
      <c r="D43" s="32"/>
    </row>
    <row r="44" spans="1:9" ht="18.75" x14ac:dyDescent="0.3">
      <c r="A44" s="310" t="s">
        <v>3</v>
      </c>
      <c r="B44" s="310"/>
      <c r="C44" s="310"/>
      <c r="D44" s="32"/>
    </row>
    <row r="45" spans="1:9" ht="18.75" x14ac:dyDescent="0.3">
      <c r="A45" s="310" t="s">
        <v>4</v>
      </c>
      <c r="B45" s="310" t="s">
        <v>3</v>
      </c>
      <c r="C45" s="310" t="s">
        <v>3</v>
      </c>
      <c r="D45" s="32"/>
    </row>
    <row r="46" spans="1:9" ht="18.75" x14ac:dyDescent="0.3">
      <c r="A46" s="310" t="s">
        <v>5</v>
      </c>
      <c r="B46" s="310" t="s">
        <v>5</v>
      </c>
      <c r="C46" s="310" t="s">
        <v>5</v>
      </c>
      <c r="D46" s="32">
        <v>803067</v>
      </c>
    </row>
    <row r="47" spans="1:9" ht="18.75" x14ac:dyDescent="0.3">
      <c r="A47" s="310" t="s">
        <v>31</v>
      </c>
      <c r="B47" s="310" t="s">
        <v>5</v>
      </c>
      <c r="C47" s="310" t="s">
        <v>5</v>
      </c>
      <c r="D47" s="32"/>
    </row>
    <row r="48" spans="1:9" ht="18.75" x14ac:dyDescent="0.3">
      <c r="A48" s="310" t="s">
        <v>30</v>
      </c>
      <c r="B48" s="310" t="s">
        <v>5</v>
      </c>
      <c r="C48" s="310" t="s">
        <v>5</v>
      </c>
      <c r="D48" s="32"/>
    </row>
    <row r="49" spans="1:9" ht="18.75" x14ac:dyDescent="0.3">
      <c r="A49" s="310" t="s">
        <v>42</v>
      </c>
      <c r="B49" s="310"/>
      <c r="C49" s="310"/>
      <c r="D49" s="32"/>
    </row>
    <row r="50" spans="1:9" ht="18.75" x14ac:dyDescent="0.3">
      <c r="A50" s="310" t="s">
        <v>44</v>
      </c>
      <c r="B50" s="310"/>
      <c r="C50" s="310"/>
      <c r="D50" s="32"/>
    </row>
    <row r="51" spans="1:9" ht="18.75" x14ac:dyDescent="0.3">
      <c r="A51" s="310" t="s">
        <v>172</v>
      </c>
      <c r="B51" s="310" t="s">
        <v>3</v>
      </c>
      <c r="C51" s="310" t="s">
        <v>3</v>
      </c>
      <c r="D51" s="32"/>
    </row>
    <row r="52" spans="1:9" ht="18.75" x14ac:dyDescent="0.3">
      <c r="A52" s="300" t="s">
        <v>81</v>
      </c>
      <c r="B52" s="300"/>
      <c r="C52" s="300"/>
      <c r="D52" s="51">
        <f>SUM(D44:D51)</f>
        <v>803067</v>
      </c>
    </row>
    <row r="53" spans="1:9" ht="18.75" x14ac:dyDescent="0.3">
      <c r="A53" s="310" t="s">
        <v>23</v>
      </c>
      <c r="B53" s="310"/>
      <c r="C53" s="310"/>
      <c r="D53" s="32"/>
    </row>
    <row r="54" spans="1:9" ht="18.75" x14ac:dyDescent="0.3">
      <c r="A54" s="310" t="s">
        <v>24</v>
      </c>
      <c r="B54" s="310"/>
      <c r="C54" s="310"/>
      <c r="D54" s="32"/>
    </row>
    <row r="55" spans="1:9" ht="18.75" x14ac:dyDescent="0.3">
      <c r="A55" s="310" t="s">
        <v>25</v>
      </c>
      <c r="B55" s="310"/>
      <c r="C55" s="310"/>
      <c r="D55" s="32"/>
    </row>
    <row r="56" spans="1:9" ht="18.75" x14ac:dyDescent="0.3">
      <c r="A56" s="277" t="s">
        <v>82</v>
      </c>
      <c r="B56" s="277"/>
      <c r="C56" s="277"/>
      <c r="D56" s="51">
        <f>D52-D53</f>
        <v>803067</v>
      </c>
    </row>
    <row r="57" spans="1:9" ht="18.75" x14ac:dyDescent="0.3">
      <c r="A57" s="277" t="s">
        <v>37</v>
      </c>
      <c r="B57" s="277"/>
      <c r="C57" s="277"/>
      <c r="D57" s="32">
        <v>0</v>
      </c>
      <c r="I57" s="49">
        <v>102107</v>
      </c>
    </row>
    <row r="58" spans="1:9" ht="18.75" x14ac:dyDescent="0.3">
      <c r="A58" s="277" t="s">
        <v>47</v>
      </c>
      <c r="B58" s="277"/>
      <c r="C58" s="277"/>
      <c r="D58" s="32">
        <f>D56*5%</f>
        <v>40153.350000000006</v>
      </c>
      <c r="I58" s="49">
        <f>'Food Court'!D233</f>
        <v>288280.08999999985</v>
      </c>
    </row>
    <row r="59" spans="1:9" ht="18.75" x14ac:dyDescent="0.3">
      <c r="A59" s="335" t="s">
        <v>38</v>
      </c>
      <c r="B59" s="335"/>
      <c r="C59" s="335"/>
      <c r="D59" s="32">
        <f>D56*8%</f>
        <v>64245.36</v>
      </c>
      <c r="I59" s="49">
        <f>'Main Building'!D583</f>
        <v>325317.16500000004</v>
      </c>
    </row>
    <row r="60" spans="1:9" ht="18.75" x14ac:dyDescent="0.3">
      <c r="A60" s="277" t="s">
        <v>39</v>
      </c>
      <c r="B60" s="277"/>
      <c r="C60" s="277"/>
      <c r="D60" s="32">
        <f>D56*7.5%</f>
        <v>60230.024999999994</v>
      </c>
      <c r="I60" s="49">
        <f>SUM(I57:I59)</f>
        <v>715704.25499999989</v>
      </c>
    </row>
    <row r="61" spans="1:9" ht="18.75" x14ac:dyDescent="0.3">
      <c r="A61" s="278" t="s">
        <v>40</v>
      </c>
      <c r="B61" s="279"/>
      <c r="C61" s="280"/>
      <c r="D61" s="32">
        <f>D60+D59+D58</f>
        <v>164628.73499999999</v>
      </c>
    </row>
    <row r="62" spans="1:9" ht="18.75" x14ac:dyDescent="0.3">
      <c r="A62" s="114"/>
      <c r="B62" s="115"/>
      <c r="C62" s="116"/>
      <c r="D62" s="32"/>
    </row>
    <row r="63" spans="1:9" ht="18.75" x14ac:dyDescent="0.3">
      <c r="A63" s="278" t="s">
        <v>41</v>
      </c>
      <c r="B63" s="279"/>
      <c r="C63" s="280"/>
      <c r="D63" s="51">
        <f>D56-D61</f>
        <v>638438.26500000001</v>
      </c>
    </row>
    <row r="64" spans="1:9" ht="18.75" x14ac:dyDescent="0.3">
      <c r="A64" s="114"/>
      <c r="B64" s="115"/>
      <c r="C64" s="116"/>
      <c r="D64" s="51"/>
    </row>
    <row r="65" spans="1:6" ht="18.75" x14ac:dyDescent="0.25">
      <c r="A65" s="355" t="s">
        <v>94</v>
      </c>
      <c r="B65" s="355"/>
      <c r="C65" s="355"/>
      <c r="D65" s="355"/>
    </row>
    <row r="66" spans="1:6" ht="23.25" x14ac:dyDescent="0.3">
      <c r="A66" s="277" t="s">
        <v>271</v>
      </c>
      <c r="B66" s="277"/>
      <c r="C66" s="277"/>
      <c r="D66" s="105">
        <v>500000</v>
      </c>
      <c r="F66" s="152">
        <f>D66/92.5%</f>
        <v>540540.54054054047</v>
      </c>
    </row>
    <row r="67" spans="1:6" ht="23.25" x14ac:dyDescent="0.3">
      <c r="A67" s="277" t="s">
        <v>282</v>
      </c>
      <c r="B67" s="277"/>
      <c r="C67" s="277"/>
      <c r="D67" s="105">
        <v>20270</v>
      </c>
      <c r="F67" s="152">
        <f>F66*7.5%</f>
        <v>40540.540540540533</v>
      </c>
    </row>
    <row r="68" spans="1:6" ht="23.25" x14ac:dyDescent="0.3">
      <c r="A68" s="364"/>
      <c r="B68" s="364"/>
      <c r="C68" s="364"/>
      <c r="D68" s="133"/>
      <c r="F68" s="152">
        <f>F67/2</f>
        <v>20270.270270270266</v>
      </c>
    </row>
    <row r="69" spans="1:6" ht="18.75" x14ac:dyDescent="0.25">
      <c r="A69" s="379"/>
      <c r="B69" s="379"/>
      <c r="C69" s="379"/>
      <c r="D69" s="131"/>
    </row>
    <row r="70" spans="1:6" ht="28.5" x14ac:dyDescent="0.25">
      <c r="A70" s="380" t="s">
        <v>164</v>
      </c>
      <c r="B70" s="380"/>
      <c r="C70" s="380"/>
      <c r="D70" s="132">
        <f>D63-D66-D67</f>
        <v>118168.26500000001</v>
      </c>
    </row>
  </sheetData>
  <mergeCells count="61">
    <mergeCell ref="A39:C39"/>
    <mergeCell ref="A40:C40"/>
    <mergeCell ref="A38:C38"/>
    <mergeCell ref="A33:C33"/>
    <mergeCell ref="A35:D35"/>
    <mergeCell ref="A36:C36"/>
    <mergeCell ref="A37:C37"/>
    <mergeCell ref="A28:C28"/>
    <mergeCell ref="A29:C29"/>
    <mergeCell ref="A30:C30"/>
    <mergeCell ref="A31:C31"/>
    <mergeCell ref="A23:C23"/>
    <mergeCell ref="A24:C24"/>
    <mergeCell ref="A25:C25"/>
    <mergeCell ref="A26:C26"/>
    <mergeCell ref="A27:C27"/>
    <mergeCell ref="A18:C18"/>
    <mergeCell ref="A19:C19"/>
    <mergeCell ref="A20:C20"/>
    <mergeCell ref="A21:C21"/>
    <mergeCell ref="A22:C22"/>
    <mergeCell ref="A13:C13"/>
    <mergeCell ref="A14:C14"/>
    <mergeCell ref="A15:C15"/>
    <mergeCell ref="A16:C16"/>
    <mergeCell ref="A17:C17"/>
    <mergeCell ref="A10:C10"/>
    <mergeCell ref="A3:C3"/>
    <mergeCell ref="A1:D2"/>
    <mergeCell ref="A4:D4"/>
    <mergeCell ref="A5:C5"/>
    <mergeCell ref="A6:C6"/>
    <mergeCell ref="A7:C7"/>
    <mergeCell ref="A8:C8"/>
    <mergeCell ref="A9:C9"/>
    <mergeCell ref="A43:C43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61:C61"/>
    <mergeCell ref="A63:C63"/>
    <mergeCell ref="A70:C70"/>
    <mergeCell ref="A65:D65"/>
    <mergeCell ref="A66:C66"/>
    <mergeCell ref="A67:C67"/>
    <mergeCell ref="A68:C68"/>
    <mergeCell ref="A69:C69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1"/>
  <sheetViews>
    <sheetView workbookViewId="0">
      <selection activeCell="D30" sqref="D30"/>
    </sheetView>
  </sheetViews>
  <sheetFormatPr defaultRowHeight="15" x14ac:dyDescent="0.25"/>
  <cols>
    <col min="1" max="3" width="23.42578125" customWidth="1"/>
    <col min="4" max="4" width="19.42578125" customWidth="1"/>
  </cols>
  <sheetData>
    <row r="1" spans="1:9" s="2" customFormat="1" ht="18.75" x14ac:dyDescent="0.3">
      <c r="A1" s="391" t="s">
        <v>65</v>
      </c>
      <c r="B1" s="392"/>
      <c r="C1" s="393"/>
      <c r="D1" s="35"/>
      <c r="H1" s="10"/>
      <c r="I1" s="10"/>
    </row>
    <row r="2" spans="1:9" s="2" customFormat="1" ht="18.75" x14ac:dyDescent="0.3">
      <c r="A2" s="394" t="s">
        <v>3</v>
      </c>
      <c r="B2" s="310"/>
      <c r="C2" s="310"/>
      <c r="D2" s="36">
        <v>1309247</v>
      </c>
      <c r="H2" s="10"/>
      <c r="I2" s="10"/>
    </row>
    <row r="3" spans="1:9" s="2" customFormat="1" ht="18.75" x14ac:dyDescent="0.3">
      <c r="A3" s="394" t="s">
        <v>4</v>
      </c>
      <c r="B3" s="310" t="s">
        <v>3</v>
      </c>
      <c r="C3" s="310" t="s">
        <v>3</v>
      </c>
      <c r="D3" s="36"/>
      <c r="H3" s="10"/>
      <c r="I3" s="10"/>
    </row>
    <row r="4" spans="1:9" s="2" customFormat="1" ht="18.75" x14ac:dyDescent="0.3">
      <c r="A4" s="394" t="s">
        <v>5</v>
      </c>
      <c r="B4" s="310" t="s">
        <v>5</v>
      </c>
      <c r="C4" s="310" t="s">
        <v>5</v>
      </c>
      <c r="D4" s="36"/>
      <c r="H4" s="10"/>
      <c r="I4" s="10"/>
    </row>
    <row r="5" spans="1:9" s="2" customFormat="1" ht="18.75" x14ac:dyDescent="0.3">
      <c r="A5" s="394" t="s">
        <v>31</v>
      </c>
      <c r="B5" s="310" t="s">
        <v>5</v>
      </c>
      <c r="C5" s="310" t="s">
        <v>5</v>
      </c>
      <c r="D5" s="36"/>
      <c r="H5" s="10"/>
      <c r="I5" s="10"/>
    </row>
    <row r="6" spans="1:9" s="2" customFormat="1" ht="18.75" x14ac:dyDescent="0.3">
      <c r="A6" s="394" t="s">
        <v>30</v>
      </c>
      <c r="B6" s="310" t="s">
        <v>5</v>
      </c>
      <c r="C6" s="310" t="s">
        <v>5</v>
      </c>
      <c r="D6" s="36"/>
      <c r="H6" s="10"/>
      <c r="I6" s="10"/>
    </row>
    <row r="7" spans="1:9" s="2" customFormat="1" ht="18.75" x14ac:dyDescent="0.3">
      <c r="A7" s="394" t="s">
        <v>42</v>
      </c>
      <c r="B7" s="310"/>
      <c r="C7" s="310"/>
      <c r="D7" s="36"/>
      <c r="H7" s="10"/>
      <c r="I7" s="10"/>
    </row>
    <row r="8" spans="1:9" s="2" customFormat="1" ht="18.75" x14ac:dyDescent="0.3">
      <c r="A8" s="394" t="s">
        <v>44</v>
      </c>
      <c r="B8" s="310"/>
      <c r="C8" s="310"/>
      <c r="D8" s="36"/>
      <c r="H8" s="10"/>
      <c r="I8" s="10"/>
    </row>
    <row r="9" spans="1:9" s="2" customFormat="1" ht="18.75" x14ac:dyDescent="0.3">
      <c r="A9" s="394" t="s">
        <v>11</v>
      </c>
      <c r="B9" s="310" t="s">
        <v>3</v>
      </c>
      <c r="C9" s="310" t="s">
        <v>3</v>
      </c>
      <c r="D9" s="36"/>
      <c r="H9" s="10"/>
      <c r="I9" s="10"/>
    </row>
    <row r="10" spans="1:9" s="2" customFormat="1" ht="18.75" x14ac:dyDescent="0.3">
      <c r="A10" s="395" t="s">
        <v>66</v>
      </c>
      <c r="B10" s="300"/>
      <c r="C10" s="300"/>
      <c r="D10" s="36">
        <f>SUM(D2:D9)</f>
        <v>1309247</v>
      </c>
      <c r="H10" s="10"/>
      <c r="I10" s="10"/>
    </row>
    <row r="11" spans="1:9" s="2" customFormat="1" ht="18.75" x14ac:dyDescent="0.3">
      <c r="A11" s="394" t="s">
        <v>23</v>
      </c>
      <c r="B11" s="310"/>
      <c r="C11" s="310"/>
      <c r="D11" s="36"/>
      <c r="H11" s="10"/>
      <c r="I11" s="10"/>
    </row>
    <row r="12" spans="1:9" s="2" customFormat="1" ht="18.75" x14ac:dyDescent="0.3">
      <c r="A12" s="394" t="s">
        <v>24</v>
      </c>
      <c r="B12" s="310"/>
      <c r="C12" s="310"/>
      <c r="D12" s="36"/>
      <c r="H12" s="10"/>
      <c r="I12" s="10"/>
    </row>
    <row r="13" spans="1:9" s="2" customFormat="1" ht="18.75" x14ac:dyDescent="0.3">
      <c r="A13" s="394" t="s">
        <v>25</v>
      </c>
      <c r="B13" s="310"/>
      <c r="C13" s="310"/>
      <c r="D13" s="36"/>
      <c r="H13" s="10"/>
      <c r="I13" s="10"/>
    </row>
    <row r="14" spans="1:9" s="2" customFormat="1" ht="18.75" x14ac:dyDescent="0.3">
      <c r="A14" s="395" t="s">
        <v>67</v>
      </c>
      <c r="B14" s="300"/>
      <c r="C14" s="300"/>
      <c r="D14" s="36">
        <f>D10-D11</f>
        <v>1309247</v>
      </c>
      <c r="H14" s="10"/>
      <c r="I14" s="10"/>
    </row>
    <row r="15" spans="1:9" s="2" customFormat="1" ht="18.75" x14ac:dyDescent="0.3">
      <c r="A15" s="395" t="s">
        <v>37</v>
      </c>
      <c r="B15" s="300"/>
      <c r="C15" s="300"/>
      <c r="D15" s="36"/>
      <c r="H15" s="10"/>
      <c r="I15" s="10"/>
    </row>
    <row r="16" spans="1:9" s="2" customFormat="1" ht="18.75" x14ac:dyDescent="0.3">
      <c r="A16" s="395" t="s">
        <v>47</v>
      </c>
      <c r="B16" s="300"/>
      <c r="C16" s="300"/>
      <c r="D16" s="36"/>
      <c r="H16" s="10"/>
      <c r="I16" s="10"/>
    </row>
    <row r="17" spans="1:9" s="2" customFormat="1" ht="18.75" x14ac:dyDescent="0.3">
      <c r="A17" s="395" t="s">
        <v>38</v>
      </c>
      <c r="B17" s="300"/>
      <c r="C17" s="300"/>
      <c r="D17" s="36">
        <f>D14*8%</f>
        <v>104739.76000000001</v>
      </c>
      <c r="H17" s="10"/>
      <c r="I17" s="10"/>
    </row>
    <row r="18" spans="1:9" s="2" customFormat="1" ht="18.75" x14ac:dyDescent="0.3">
      <c r="A18" s="395" t="s">
        <v>39</v>
      </c>
      <c r="B18" s="300"/>
      <c r="C18" s="300"/>
      <c r="D18" s="36">
        <f>D14*7.5%</f>
        <v>98193.524999999994</v>
      </c>
      <c r="H18" s="10"/>
      <c r="I18" s="10"/>
    </row>
    <row r="19" spans="1:9" s="2" customFormat="1" ht="18.75" x14ac:dyDescent="0.3">
      <c r="A19" s="395" t="s">
        <v>40</v>
      </c>
      <c r="B19" s="300"/>
      <c r="C19" s="300"/>
      <c r="D19" s="36">
        <f>SUM(D15:D18)</f>
        <v>202933.285</v>
      </c>
      <c r="H19" s="10"/>
      <c r="I19" s="10"/>
    </row>
    <row r="20" spans="1:9" s="2" customFormat="1" ht="18.75" x14ac:dyDescent="0.3">
      <c r="A20" s="398" t="s">
        <v>41</v>
      </c>
      <c r="B20" s="301"/>
      <c r="C20" s="301"/>
      <c r="D20" s="37">
        <f>D14-D19</f>
        <v>1106313.7150000001</v>
      </c>
      <c r="H20" s="10"/>
      <c r="I20" s="10"/>
    </row>
    <row r="21" spans="1:9" s="2" customFormat="1" x14ac:dyDescent="0.25">
      <c r="A21" s="38"/>
      <c r="D21" s="39"/>
      <c r="H21" s="10"/>
      <c r="I21" s="10"/>
    </row>
    <row r="22" spans="1:9" s="2" customFormat="1" x14ac:dyDescent="0.25">
      <c r="A22" s="38"/>
      <c r="D22" s="39"/>
      <c r="H22" s="10"/>
      <c r="I22" s="10"/>
    </row>
    <row r="23" spans="1:9" s="2" customFormat="1" ht="21" x14ac:dyDescent="0.35">
      <c r="A23" s="396" t="s">
        <v>68</v>
      </c>
      <c r="B23" s="397"/>
      <c r="C23" s="397"/>
      <c r="D23" s="46">
        <v>43426</v>
      </c>
      <c r="H23" s="10"/>
      <c r="I23" s="10"/>
    </row>
    <row r="24" spans="1:9" s="2" customFormat="1" ht="21" x14ac:dyDescent="0.35">
      <c r="A24" s="396" t="s">
        <v>69</v>
      </c>
      <c r="B24" s="397"/>
      <c r="C24" s="397"/>
      <c r="D24" s="40">
        <v>500000</v>
      </c>
      <c r="H24" s="10"/>
      <c r="I24" s="10"/>
    </row>
    <row r="25" spans="1:9" s="2" customFormat="1" ht="21" x14ac:dyDescent="0.35">
      <c r="A25" s="396" t="s">
        <v>63</v>
      </c>
      <c r="B25" s="397"/>
      <c r="C25" s="397"/>
      <c r="D25" s="40">
        <v>300000</v>
      </c>
      <c r="H25" s="10"/>
      <c r="I25" s="10"/>
    </row>
    <row r="26" spans="1:9" s="2" customFormat="1" ht="21" x14ac:dyDescent="0.35">
      <c r="A26" s="396" t="s">
        <v>64</v>
      </c>
      <c r="B26" s="397"/>
      <c r="C26" s="397"/>
      <c r="D26" s="40">
        <v>43775</v>
      </c>
      <c r="H26" s="10"/>
      <c r="I26" s="10"/>
    </row>
    <row r="27" spans="1:9" s="2" customFormat="1" ht="21" x14ac:dyDescent="0.35">
      <c r="A27" s="396" t="s">
        <v>64</v>
      </c>
      <c r="B27" s="397"/>
      <c r="C27" s="397"/>
      <c r="D27" s="40">
        <v>33516</v>
      </c>
      <c r="H27" s="10"/>
      <c r="I27" s="10"/>
    </row>
    <row r="28" spans="1:9" s="2" customFormat="1" ht="21" x14ac:dyDescent="0.35">
      <c r="A28" s="396" t="s">
        <v>64</v>
      </c>
      <c r="B28" s="397"/>
      <c r="C28" s="397"/>
      <c r="D28" s="40">
        <v>6973</v>
      </c>
      <c r="H28" s="10"/>
      <c r="I28" s="10"/>
    </row>
    <row r="29" spans="1:9" s="2" customFormat="1" ht="21" x14ac:dyDescent="0.35">
      <c r="A29" s="396" t="s">
        <v>73</v>
      </c>
      <c r="B29" s="397"/>
      <c r="C29" s="397"/>
      <c r="D29" s="40">
        <f>D20-D23-D24-D25-D26-D27-D28</f>
        <v>178623.71500000008</v>
      </c>
      <c r="H29" s="10"/>
      <c r="I29" s="10"/>
    </row>
    <row r="30" spans="1:9" s="2" customFormat="1" ht="21" x14ac:dyDescent="0.35">
      <c r="A30" s="41"/>
      <c r="B30" s="42"/>
      <c r="C30" s="42"/>
      <c r="D30" s="40"/>
      <c r="H30" s="10"/>
      <c r="I30" s="10"/>
    </row>
    <row r="31" spans="1:9" s="2" customFormat="1" ht="21.75" thickBot="1" x14ac:dyDescent="0.4">
      <c r="A31" s="43"/>
      <c r="B31" s="44"/>
      <c r="C31" s="44"/>
      <c r="D31" s="45"/>
      <c r="H31" s="10"/>
      <c r="I31" s="10"/>
    </row>
  </sheetData>
  <mergeCells count="27">
    <mergeCell ref="A24:C24"/>
    <mergeCell ref="A8:C8"/>
    <mergeCell ref="A9:C9"/>
    <mergeCell ref="A29:C29"/>
    <mergeCell ref="A10:C10"/>
    <mergeCell ref="A11:C11"/>
    <mergeCell ref="A12:C12"/>
    <mergeCell ref="A13:C13"/>
    <mergeCell ref="A14:C14"/>
    <mergeCell ref="A15:C15"/>
    <mergeCell ref="A16:C16"/>
    <mergeCell ref="A26:C26"/>
    <mergeCell ref="A27:C27"/>
    <mergeCell ref="A28:C28"/>
    <mergeCell ref="A25:C25"/>
    <mergeCell ref="A17:C17"/>
    <mergeCell ref="A18:C18"/>
    <mergeCell ref="A23:C23"/>
    <mergeCell ref="A19:C19"/>
    <mergeCell ref="A6:C6"/>
    <mergeCell ref="A7:C7"/>
    <mergeCell ref="A20:C20"/>
    <mergeCell ref="A1:C1"/>
    <mergeCell ref="A2:C2"/>
    <mergeCell ref="A3:C3"/>
    <mergeCell ref="A4:C4"/>
    <mergeCell ref="A5:C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95"/>
  <sheetViews>
    <sheetView topLeftCell="A12" zoomScale="90" zoomScaleNormal="90" workbookViewId="0">
      <selection activeCell="E33" sqref="E33"/>
    </sheetView>
  </sheetViews>
  <sheetFormatPr defaultRowHeight="15" x14ac:dyDescent="0.25"/>
  <cols>
    <col min="1" max="1" width="16.5703125" customWidth="1"/>
    <col min="2" max="2" width="1.42578125" hidden="1" customWidth="1"/>
    <col min="3" max="3" width="22" customWidth="1"/>
    <col min="4" max="5" width="26.140625" customWidth="1"/>
    <col min="6" max="6" width="1" hidden="1" customWidth="1"/>
    <col min="7" max="7" width="19.28515625" hidden="1" customWidth="1"/>
    <col min="8" max="8" width="18.28515625" hidden="1" customWidth="1"/>
    <col min="9" max="9" width="14.7109375" hidden="1" customWidth="1"/>
    <col min="10" max="10" width="15.7109375" hidden="1" customWidth="1"/>
    <col min="11" max="11" width="0" hidden="1" customWidth="1"/>
    <col min="15" max="15" width="18.140625" customWidth="1"/>
  </cols>
  <sheetData>
    <row r="1" spans="1:14" ht="34.5" thickBot="1" x14ac:dyDescent="0.55000000000000004">
      <c r="A1" s="402" t="s">
        <v>131</v>
      </c>
      <c r="B1" s="403"/>
      <c r="C1" s="403"/>
      <c r="D1" s="403"/>
      <c r="E1" s="404"/>
      <c r="F1" s="80"/>
      <c r="G1" s="80"/>
      <c r="H1" s="80"/>
      <c r="I1" s="80"/>
      <c r="J1" s="81"/>
    </row>
    <row r="2" spans="1:14" ht="31.5" x14ac:dyDescent="0.5">
      <c r="A2" s="405" t="s">
        <v>143</v>
      </c>
      <c r="B2" s="406"/>
      <c r="C2" s="406"/>
      <c r="D2" s="406"/>
      <c r="E2" s="407"/>
      <c r="F2" s="82"/>
      <c r="G2" s="88" t="s">
        <v>88</v>
      </c>
      <c r="H2" s="88"/>
      <c r="I2" s="88"/>
      <c r="J2" s="88"/>
    </row>
    <row r="3" spans="1:14" ht="31.5" x14ac:dyDescent="0.5">
      <c r="A3" s="405" t="s">
        <v>193</v>
      </c>
      <c r="B3" s="406"/>
      <c r="C3" s="406"/>
      <c r="D3" s="406"/>
      <c r="E3" s="407"/>
      <c r="F3" s="82"/>
      <c r="G3" s="88" t="s">
        <v>88</v>
      </c>
      <c r="H3" s="88"/>
      <c r="I3" s="88"/>
      <c r="J3" s="88"/>
    </row>
    <row r="4" spans="1:14" s="71" customFormat="1" ht="50.45" customHeight="1" x14ac:dyDescent="0.25">
      <c r="A4" s="72" t="s">
        <v>109</v>
      </c>
      <c r="B4" s="73" t="s">
        <v>130</v>
      </c>
      <c r="C4" s="73" t="s">
        <v>153</v>
      </c>
      <c r="D4" s="73" t="s">
        <v>145</v>
      </c>
      <c r="E4" s="73" t="s">
        <v>144</v>
      </c>
      <c r="F4" s="83"/>
      <c r="G4" s="72" t="s">
        <v>109</v>
      </c>
      <c r="H4" s="73" t="s">
        <v>130</v>
      </c>
      <c r="I4" s="73" t="s">
        <v>127</v>
      </c>
      <c r="J4" s="73" t="s">
        <v>110</v>
      </c>
    </row>
    <row r="5" spans="1:14" ht="23.25" x14ac:dyDescent="0.35">
      <c r="A5" s="74" t="s">
        <v>111</v>
      </c>
      <c r="B5" s="60">
        <f>'Main Building'!D11</f>
        <v>9793201</v>
      </c>
      <c r="C5" s="60">
        <f>'Main Building'!D17</f>
        <v>7295934.7450000001</v>
      </c>
      <c r="D5" s="60">
        <f>'Main Building'!D12</f>
        <v>489660.05000000005</v>
      </c>
      <c r="E5" s="60">
        <f>'Main Building'!D13</f>
        <v>489660.05000000005</v>
      </c>
      <c r="F5" s="84"/>
      <c r="G5" s="76" t="s">
        <v>136</v>
      </c>
      <c r="H5" s="77">
        <f>'Food Court'!D19</f>
        <v>5534433</v>
      </c>
      <c r="I5" s="77">
        <f>'Food Court'!D22</f>
        <v>0</v>
      </c>
      <c r="J5" s="77">
        <f>'Food Court'!D23</f>
        <v>276721.65000000002</v>
      </c>
      <c r="K5" s="78"/>
      <c r="L5" s="78"/>
      <c r="M5" s="78"/>
      <c r="N5" s="78"/>
    </row>
    <row r="6" spans="1:14" ht="23.25" x14ac:dyDescent="0.35">
      <c r="A6" s="74" t="s">
        <v>112</v>
      </c>
      <c r="B6" s="60">
        <f>'Main Building'!D25</f>
        <v>12363381.07</v>
      </c>
      <c r="C6" s="60">
        <f>'Main Building'!D31</f>
        <v>9210718.8971500006</v>
      </c>
      <c r="D6" s="60">
        <f>'Main Building'!D26</f>
        <v>618169.05350000004</v>
      </c>
      <c r="E6" s="60">
        <f>'Main Building'!D27</f>
        <v>618169.05350000004</v>
      </c>
      <c r="F6" s="84"/>
      <c r="G6" s="76" t="s">
        <v>137</v>
      </c>
      <c r="H6" s="77">
        <f>'Food Court'!D67</f>
        <v>3160586</v>
      </c>
      <c r="I6" s="77">
        <f>'Food Court'!D68</f>
        <v>0</v>
      </c>
      <c r="J6" s="77">
        <f>'Food Court'!D69</f>
        <v>158029.30000000002</v>
      </c>
      <c r="K6" s="78"/>
      <c r="L6" s="78"/>
      <c r="M6" s="78"/>
      <c r="N6" s="78"/>
    </row>
    <row r="7" spans="1:14" ht="23.25" x14ac:dyDescent="0.35">
      <c r="A7" s="74" t="s">
        <v>113</v>
      </c>
      <c r="B7" s="60">
        <f>'Main Building'!D39</f>
        <v>192962.6</v>
      </c>
      <c r="C7" s="60">
        <f>'Main Building'!D45</f>
        <v>143757.13699999999</v>
      </c>
      <c r="D7" s="60">
        <f>'Main Building'!D40</f>
        <v>9648.130000000001</v>
      </c>
      <c r="E7" s="60">
        <f>'Main Building'!D41</f>
        <v>9648.130000000001</v>
      </c>
      <c r="F7" s="84"/>
      <c r="G7" s="76" t="s">
        <v>138</v>
      </c>
      <c r="H7" s="60">
        <f>'Food Court'!D95</f>
        <v>1459846.96</v>
      </c>
      <c r="I7" s="77">
        <v>0</v>
      </c>
      <c r="J7" s="60">
        <f>'Food Court'!D97</f>
        <v>72992.347999999998</v>
      </c>
      <c r="K7" s="78"/>
      <c r="L7" s="78"/>
      <c r="M7" s="78"/>
      <c r="N7" s="78"/>
    </row>
    <row r="8" spans="1:14" ht="23.25" x14ac:dyDescent="0.35">
      <c r="A8" s="74" t="s">
        <v>114</v>
      </c>
      <c r="B8" s="60">
        <f>'Main Building'!D54</f>
        <v>1275475.4099999999</v>
      </c>
      <c r="C8" s="60">
        <f>'Main Building'!D60</f>
        <v>950229.18044999987</v>
      </c>
      <c r="D8" s="60">
        <f>'Main Building'!D55</f>
        <v>63773.770499999999</v>
      </c>
      <c r="E8" s="60">
        <f>'Main Building'!D56</f>
        <v>63773.770499999999</v>
      </c>
      <c r="F8" s="84"/>
      <c r="G8" s="69"/>
      <c r="H8" s="69"/>
      <c r="I8" s="69"/>
      <c r="J8" s="69"/>
      <c r="K8" s="78"/>
      <c r="L8" s="78"/>
      <c r="M8" s="78"/>
      <c r="N8" s="78"/>
    </row>
    <row r="9" spans="1:14" ht="23.25" x14ac:dyDescent="0.35">
      <c r="A9" s="74" t="s">
        <v>115</v>
      </c>
      <c r="B9" s="60">
        <f>'Main Building'!D70</f>
        <v>6142481.7699999996</v>
      </c>
      <c r="C9" s="60">
        <f>'Main Building'!D76</f>
        <v>4576148.9186499994</v>
      </c>
      <c r="D9" s="60">
        <f>'Main Building'!D71</f>
        <v>307124.08850000001</v>
      </c>
      <c r="E9" s="60">
        <f>'Main Building'!D72</f>
        <v>307124.08850000001</v>
      </c>
      <c r="F9" s="84"/>
      <c r="G9" s="87" t="s">
        <v>141</v>
      </c>
      <c r="H9" s="79">
        <f>SUM(H5:H8)</f>
        <v>10154865.960000001</v>
      </c>
      <c r="I9" s="79">
        <f>SUM(I5:I8)</f>
        <v>0</v>
      </c>
      <c r="J9" s="79">
        <f>SUM(J5:J8)</f>
        <v>507743.29800000007</v>
      </c>
      <c r="K9" s="78"/>
      <c r="L9" s="78"/>
      <c r="M9" s="78"/>
      <c r="N9" s="78"/>
    </row>
    <row r="10" spans="1:14" ht="31.5" x14ac:dyDescent="0.5">
      <c r="A10" s="74" t="s">
        <v>116</v>
      </c>
      <c r="B10" s="60">
        <f>'Main Building'!D89</f>
        <v>3157443.3600000003</v>
      </c>
      <c r="C10" s="60">
        <f>'Main Building'!D95</f>
        <v>2352295.3032000004</v>
      </c>
      <c r="D10" s="60">
        <f>'Main Building'!D90</f>
        <v>157872.16800000003</v>
      </c>
      <c r="E10" s="60">
        <f>'Main Building'!D91</f>
        <v>157872.16800000003</v>
      </c>
      <c r="F10" s="84"/>
      <c r="G10" s="401" t="s">
        <v>135</v>
      </c>
      <c r="H10" s="401"/>
      <c r="I10" s="401"/>
      <c r="J10" s="401"/>
      <c r="K10" s="78"/>
      <c r="L10" s="78"/>
      <c r="M10" s="78"/>
      <c r="N10" s="78"/>
    </row>
    <row r="11" spans="1:14" ht="37.5" x14ac:dyDescent="0.35">
      <c r="A11" s="74" t="s">
        <v>117</v>
      </c>
      <c r="B11" s="60">
        <f>'Main Building'!D109</f>
        <v>6719123.0600000005</v>
      </c>
      <c r="C11" s="60">
        <f>'Main Building'!D115</f>
        <v>5005746.6797000002</v>
      </c>
      <c r="D11" s="60">
        <f>'Main Building'!D110</f>
        <v>335956.15300000005</v>
      </c>
      <c r="E11" s="60">
        <f>'Main Building'!D111</f>
        <v>335956.15300000005</v>
      </c>
      <c r="F11" s="84"/>
      <c r="G11" s="72" t="s">
        <v>109</v>
      </c>
      <c r="H11" s="73" t="s">
        <v>130</v>
      </c>
      <c r="I11" s="73" t="s">
        <v>127</v>
      </c>
      <c r="J11" s="73" t="s">
        <v>110</v>
      </c>
      <c r="K11" s="78"/>
      <c r="L11" s="78"/>
      <c r="M11" s="78"/>
      <c r="N11" s="78"/>
    </row>
    <row r="12" spans="1:14" ht="23.25" x14ac:dyDescent="0.35">
      <c r="A12" s="74" t="s">
        <v>118</v>
      </c>
      <c r="B12" s="60">
        <f>'Main Building'!D130</f>
        <v>4692127.8500000006</v>
      </c>
      <c r="C12" s="60">
        <f>'Main Building'!D136</f>
        <v>3495635.2482500002</v>
      </c>
      <c r="D12" s="60">
        <f>'Main Building'!D131</f>
        <v>234606.39250000005</v>
      </c>
      <c r="E12" s="60">
        <f>'Main Building'!D132</f>
        <v>234606.39250000005</v>
      </c>
      <c r="F12" s="84"/>
      <c r="G12" s="76"/>
      <c r="H12" s="77">
        <f>'EYE WARD'!D14</f>
        <v>1309247</v>
      </c>
      <c r="I12" s="77">
        <f>'Food Court'!D31</f>
        <v>0</v>
      </c>
      <c r="J12" s="77">
        <f>'Food Court'!D32</f>
        <v>0</v>
      </c>
      <c r="K12" s="78"/>
      <c r="L12" s="78"/>
      <c r="M12" s="78"/>
      <c r="N12" s="78"/>
    </row>
    <row r="13" spans="1:14" ht="23.25" x14ac:dyDescent="0.35">
      <c r="A13" s="74" t="s">
        <v>119</v>
      </c>
      <c r="B13" s="60">
        <f>'Main Building'!D151</f>
        <v>3776166.5</v>
      </c>
      <c r="C13" s="60">
        <f>'Main Building'!D157</f>
        <v>2813244.0425</v>
      </c>
      <c r="D13" s="60">
        <f>'Main Building'!D152</f>
        <v>188808.32500000001</v>
      </c>
      <c r="E13" s="60">
        <f>'Main Building'!D153</f>
        <v>188808.32500000001</v>
      </c>
      <c r="F13" s="84"/>
      <c r="G13" s="76"/>
      <c r="H13" s="77"/>
      <c r="I13" s="77"/>
      <c r="J13" s="77"/>
      <c r="K13" s="78"/>
      <c r="L13" s="78"/>
      <c r="M13" s="78"/>
      <c r="N13" s="78"/>
    </row>
    <row r="14" spans="1:14" ht="23.25" x14ac:dyDescent="0.35">
      <c r="A14" s="74" t="s">
        <v>120</v>
      </c>
      <c r="B14" s="60">
        <f>'Main Building'!D175</f>
        <v>6248869</v>
      </c>
      <c r="C14" s="60">
        <f>'Main Building'!D182</f>
        <v>4739767.1365</v>
      </c>
      <c r="D14" s="60">
        <f>'Main Building'!D179</f>
        <v>289010.19125000003</v>
      </c>
      <c r="E14" s="60">
        <f>'Main Building'!D178</f>
        <v>289010.19125000003</v>
      </c>
      <c r="F14" s="84"/>
      <c r="G14" s="69"/>
      <c r="H14" s="69"/>
      <c r="I14" s="69"/>
      <c r="J14" s="69"/>
      <c r="K14" s="78"/>
      <c r="L14" s="78"/>
      <c r="M14" s="78"/>
      <c r="N14" s="78"/>
    </row>
    <row r="15" spans="1:14" ht="23.25" x14ac:dyDescent="0.35">
      <c r="A15" s="74" t="s">
        <v>121</v>
      </c>
      <c r="B15" s="60">
        <f>'Main Building'!D197</f>
        <v>377332</v>
      </c>
      <c r="C15" s="60">
        <f>'Main Building'!D204</f>
        <v>286206.32199999999</v>
      </c>
      <c r="D15" s="60">
        <f>'Main Building'!D201</f>
        <v>17451.605</v>
      </c>
      <c r="E15" s="60">
        <f>'Main Building'!D200</f>
        <v>17451.605</v>
      </c>
      <c r="F15" s="84"/>
      <c r="G15" s="75" t="s">
        <v>141</v>
      </c>
      <c r="H15" s="79">
        <f>SUM(H12:H14)</f>
        <v>1309247</v>
      </c>
      <c r="I15" s="79">
        <f>SUM(I12:I14)</f>
        <v>0</v>
      </c>
      <c r="J15" s="79">
        <f>SUM(J12:J14)</f>
        <v>0</v>
      </c>
      <c r="K15" s="78"/>
      <c r="L15" s="78"/>
      <c r="M15" s="78"/>
      <c r="N15" s="78"/>
    </row>
    <row r="16" spans="1:14" ht="23.25" x14ac:dyDescent="0.35">
      <c r="A16" s="74" t="s">
        <v>122</v>
      </c>
      <c r="B16" s="60">
        <f>'Main Building'!D219</f>
        <v>6807460</v>
      </c>
      <c r="C16" s="60">
        <f>'Main Building'!D226</f>
        <v>5163458.41</v>
      </c>
      <c r="D16" s="60">
        <f>'Main Building'!D223</f>
        <v>314845.02500000002</v>
      </c>
      <c r="E16" s="60">
        <f>'Main Building'!D222</f>
        <v>314845.02500000002</v>
      </c>
      <c r="F16" s="84"/>
      <c r="G16" s="69"/>
      <c r="H16" s="69"/>
      <c r="I16" s="69"/>
      <c r="J16" s="69"/>
      <c r="K16" s="78"/>
      <c r="L16" s="78"/>
      <c r="M16" s="78"/>
      <c r="N16" s="78"/>
    </row>
    <row r="17" spans="1:15" ht="31.5" x14ac:dyDescent="0.5">
      <c r="A17" s="74" t="s">
        <v>123</v>
      </c>
      <c r="B17" s="60">
        <f>'Main Building'!D241</f>
        <v>3491607</v>
      </c>
      <c r="C17" s="60">
        <f>'Main Building'!D247</f>
        <v>2601247.2149999999</v>
      </c>
      <c r="D17" s="60">
        <f>'Main Building'!D243</f>
        <v>174580.35</v>
      </c>
      <c r="E17" s="60">
        <f>'Main Building'!D242</f>
        <v>174580.35</v>
      </c>
      <c r="F17" s="84"/>
      <c r="G17" s="401" t="s">
        <v>132</v>
      </c>
      <c r="H17" s="401"/>
      <c r="I17" s="401"/>
      <c r="J17" s="401"/>
      <c r="K17" s="78"/>
      <c r="L17" s="78"/>
      <c r="M17" s="78"/>
      <c r="N17" s="78"/>
    </row>
    <row r="18" spans="1:15" ht="37.5" x14ac:dyDescent="0.35">
      <c r="A18" s="74" t="s">
        <v>124</v>
      </c>
      <c r="B18" s="60">
        <f>'Main Building'!D263</f>
        <v>24353979</v>
      </c>
      <c r="C18" s="60">
        <f>'Main Building'!D271</f>
        <v>15643714.355</v>
      </c>
      <c r="D18" s="60">
        <f>'Main Building'!D265</f>
        <v>1217698.95</v>
      </c>
      <c r="E18" s="60">
        <f>'Main Building'!D264</f>
        <v>1217698.95</v>
      </c>
      <c r="F18" s="84"/>
      <c r="G18" s="72" t="s">
        <v>109</v>
      </c>
      <c r="H18" s="73" t="s">
        <v>130</v>
      </c>
      <c r="I18" s="73" t="s">
        <v>127</v>
      </c>
      <c r="J18" s="73" t="s">
        <v>110</v>
      </c>
      <c r="K18" s="78"/>
      <c r="L18" s="78"/>
      <c r="M18" s="78"/>
      <c r="N18" s="78"/>
    </row>
    <row r="19" spans="1:15" ht="23.25" x14ac:dyDescent="0.35">
      <c r="A19" s="74" t="s">
        <v>125</v>
      </c>
      <c r="B19" s="60">
        <f>'Main Building'!D301</f>
        <v>10867281</v>
      </c>
      <c r="C19" s="60">
        <f>'Main Building'!D307</f>
        <v>7977611.4950000001</v>
      </c>
      <c r="D19" s="60">
        <f>'Main Building'!D303</f>
        <v>661876.9</v>
      </c>
      <c r="E19" s="60">
        <f>'Main Building'!D302</f>
        <v>543364.05000000005</v>
      </c>
      <c r="F19" s="84"/>
      <c r="G19" s="76"/>
      <c r="H19" s="77">
        <v>1360000</v>
      </c>
      <c r="I19" s="77">
        <f>'Food Court'!D38</f>
        <v>0</v>
      </c>
      <c r="J19" s="77">
        <f>'Food Court'!D39</f>
        <v>0</v>
      </c>
      <c r="K19" s="78"/>
      <c r="L19" s="78"/>
      <c r="M19" s="78"/>
      <c r="N19" s="78"/>
    </row>
    <row r="20" spans="1:15" ht="23.25" x14ac:dyDescent="0.35">
      <c r="A20" s="74" t="s">
        <v>126</v>
      </c>
      <c r="B20" s="60">
        <f>'Main Building'!D344</f>
        <v>9232251.7300000004</v>
      </c>
      <c r="C20" s="60">
        <f>'Main Building'!D350</f>
        <v>6878027.5388500001</v>
      </c>
      <c r="D20" s="60">
        <f>'Main Building'!D346</f>
        <v>461612.58650000003</v>
      </c>
      <c r="E20" s="60">
        <f>'Main Building'!D345</f>
        <v>461612.58650000003</v>
      </c>
      <c r="F20" s="84"/>
      <c r="G20" s="76"/>
      <c r="H20" s="77"/>
      <c r="I20" s="77"/>
      <c r="J20" s="77"/>
      <c r="K20" s="78"/>
      <c r="L20" s="78"/>
      <c r="M20" s="78"/>
      <c r="N20" s="78"/>
    </row>
    <row r="21" spans="1:15" ht="23.25" x14ac:dyDescent="0.35">
      <c r="A21" s="74" t="s">
        <v>142</v>
      </c>
      <c r="B21" s="60">
        <v>5650171</v>
      </c>
      <c r="C21" s="60">
        <f>'Main Building'!D388</f>
        <v>4829288.13</v>
      </c>
      <c r="D21" s="99">
        <f>'Main Building'!D384</f>
        <v>332220.30000000005</v>
      </c>
      <c r="E21" s="89" t="s">
        <v>139</v>
      </c>
      <c r="F21" s="85"/>
      <c r="G21" s="69"/>
      <c r="H21" s="69"/>
      <c r="I21" s="69"/>
      <c r="J21" s="69"/>
      <c r="K21" s="78"/>
      <c r="L21" s="78"/>
      <c r="M21" s="78"/>
      <c r="N21" s="78"/>
    </row>
    <row r="22" spans="1:15" ht="23.25" x14ac:dyDescent="0.35">
      <c r="A22" s="74" t="s">
        <v>191</v>
      </c>
      <c r="B22" s="60"/>
      <c r="C22" s="60">
        <f>'Main Building'!D431</f>
        <v>7841449</v>
      </c>
      <c r="D22" s="99">
        <f>'Main Building'!D435</f>
        <v>392072.45</v>
      </c>
      <c r="E22" s="89" t="s">
        <v>139</v>
      </c>
      <c r="F22" s="85"/>
      <c r="G22" s="69"/>
      <c r="H22" s="69"/>
      <c r="I22" s="69"/>
      <c r="J22" s="69"/>
      <c r="K22" s="78"/>
      <c r="L22" s="78"/>
      <c r="M22" s="78"/>
      <c r="N22" s="78"/>
    </row>
    <row r="23" spans="1:15" ht="23.25" x14ac:dyDescent="0.35">
      <c r="A23" s="74" t="s">
        <v>192</v>
      </c>
      <c r="B23" s="60"/>
      <c r="C23" s="60">
        <f>'Main Building'!D468</f>
        <v>1662697</v>
      </c>
      <c r="D23" s="99">
        <f>'Main Building'!D470</f>
        <v>83134.850000000006</v>
      </c>
      <c r="E23" s="89" t="s">
        <v>139</v>
      </c>
      <c r="F23" s="85"/>
      <c r="G23" s="69"/>
      <c r="H23" s="69"/>
      <c r="I23" s="69"/>
      <c r="J23" s="69"/>
      <c r="K23" s="78"/>
      <c r="L23" s="78"/>
      <c r="M23" s="78"/>
      <c r="N23" s="78"/>
    </row>
    <row r="24" spans="1:15" ht="23.25" x14ac:dyDescent="0.35">
      <c r="A24" s="74" t="s">
        <v>274</v>
      </c>
      <c r="B24" s="60"/>
      <c r="C24" s="60">
        <f>'Main Building'!D514</f>
        <v>8517689</v>
      </c>
      <c r="D24" s="99">
        <f>'Main Building'!D518</f>
        <v>425884.45</v>
      </c>
      <c r="E24" s="89" t="s">
        <v>139</v>
      </c>
      <c r="F24" s="85"/>
      <c r="G24" s="69"/>
      <c r="H24" s="69"/>
      <c r="I24" s="69"/>
      <c r="J24" s="69"/>
      <c r="K24" s="78"/>
      <c r="L24" s="78"/>
      <c r="M24" s="78"/>
      <c r="N24" s="78"/>
    </row>
    <row r="25" spans="1:15" ht="23.25" x14ac:dyDescent="0.35">
      <c r="A25" s="74" t="s">
        <v>275</v>
      </c>
      <c r="B25" s="146"/>
      <c r="C25" s="146">
        <f>'Main Building'!D567</f>
        <v>6275375</v>
      </c>
      <c r="D25" s="148">
        <f>'Main Building'!D571</f>
        <v>313768.75</v>
      </c>
      <c r="E25" s="147"/>
      <c r="F25" s="85"/>
      <c r="G25" s="69"/>
      <c r="H25" s="69"/>
      <c r="I25" s="69"/>
      <c r="J25" s="69"/>
      <c r="K25" s="78"/>
      <c r="L25" s="78"/>
      <c r="M25" s="78"/>
      <c r="N25" s="78"/>
    </row>
    <row r="26" spans="1:15" ht="23.25" x14ac:dyDescent="0.35">
      <c r="A26" s="74" t="s">
        <v>302</v>
      </c>
      <c r="B26" s="146"/>
      <c r="C26" s="146">
        <f>'Main Building'!D599</f>
        <v>4182733</v>
      </c>
      <c r="D26" s="148">
        <f>'Main Building'!D601</f>
        <v>209136.65000000002</v>
      </c>
      <c r="E26" s="148">
        <f>'Main Building'!E601</f>
        <v>0</v>
      </c>
      <c r="F26" s="85"/>
      <c r="G26" s="69"/>
      <c r="H26" s="69"/>
      <c r="I26" s="69"/>
      <c r="J26" s="69"/>
      <c r="K26" s="78"/>
      <c r="L26" s="78"/>
      <c r="M26" s="78"/>
      <c r="N26" s="78"/>
    </row>
    <row r="27" spans="1:15" ht="27.75" customHeight="1" x14ac:dyDescent="0.35">
      <c r="A27" s="145" t="s">
        <v>312</v>
      </c>
      <c r="B27" s="146"/>
      <c r="C27" s="146">
        <f>'Main Building'!D633</f>
        <v>523955</v>
      </c>
      <c r="D27" s="148">
        <f>'Main Building'!D635</f>
        <v>0</v>
      </c>
      <c r="E27" s="147"/>
      <c r="F27" s="85"/>
      <c r="G27" s="69"/>
      <c r="H27" s="69"/>
      <c r="I27" s="69"/>
      <c r="J27" s="69"/>
      <c r="K27" s="78"/>
      <c r="L27" s="78"/>
      <c r="M27" s="78"/>
      <c r="N27" s="78"/>
    </row>
    <row r="28" spans="1:15" ht="27.75" customHeight="1" x14ac:dyDescent="0.35">
      <c r="A28" s="74" t="s">
        <v>322</v>
      </c>
      <c r="B28" s="146"/>
      <c r="C28" s="146">
        <f>'Main Building'!D669</f>
        <v>3682160.16</v>
      </c>
      <c r="D28" s="148">
        <f>'Main Building'!D665</f>
        <v>301548.40000000002</v>
      </c>
      <c r="E28" s="147"/>
      <c r="F28" s="85"/>
      <c r="G28" s="69"/>
      <c r="H28" s="69"/>
      <c r="I28" s="69"/>
      <c r="J28" s="69"/>
      <c r="K28" s="78"/>
      <c r="L28" s="78"/>
      <c r="M28" s="78"/>
      <c r="N28" s="78"/>
    </row>
    <row r="29" spans="1:15" ht="45.6" customHeight="1" thickBot="1" x14ac:dyDescent="0.4">
      <c r="A29" s="94" t="s">
        <v>140</v>
      </c>
      <c r="B29" s="95">
        <f>SUM(B5:B21)</f>
        <v>115141313.35000001</v>
      </c>
      <c r="C29" s="95">
        <f>SUM(C5:C28)</f>
        <v>116649088.91425</v>
      </c>
      <c r="D29" s="95">
        <f>SUM(D5:D28)</f>
        <v>7600459.588750002</v>
      </c>
      <c r="E29" s="95">
        <f t="shared" ref="E29" si="0">SUM(E5:E27)</f>
        <v>5424180.8887500009</v>
      </c>
      <c r="F29" s="86"/>
      <c r="G29" s="75" t="s">
        <v>141</v>
      </c>
      <c r="H29" s="79">
        <f>SUM(H19:H21)</f>
        <v>1360000</v>
      </c>
      <c r="I29" s="79">
        <f>SUM(I19:I21)</f>
        <v>0</v>
      </c>
      <c r="J29" s="79">
        <f>SUM(J19:J21)</f>
        <v>0</v>
      </c>
      <c r="K29" s="78"/>
      <c r="L29" s="78"/>
      <c r="M29" s="78"/>
      <c r="N29" s="78"/>
      <c r="O29" s="48"/>
    </row>
    <row r="30" spans="1:15" ht="23.25" x14ac:dyDescent="0.35">
      <c r="A30" s="408" t="s">
        <v>146</v>
      </c>
      <c r="B30" s="409"/>
      <c r="C30" s="409"/>
      <c r="D30" s="409"/>
      <c r="E30" s="90">
        <v>1500000</v>
      </c>
      <c r="G30" s="78"/>
      <c r="H30" s="78"/>
      <c r="I30" s="78"/>
      <c r="J30" s="78"/>
      <c r="K30" s="78"/>
      <c r="L30" s="78"/>
      <c r="M30" s="78"/>
      <c r="N30" s="78"/>
      <c r="O30" s="93"/>
    </row>
    <row r="31" spans="1:15" ht="23.25" x14ac:dyDescent="0.35">
      <c r="A31" s="410" t="s">
        <v>147</v>
      </c>
      <c r="B31" s="411"/>
      <c r="C31" s="411"/>
      <c r="D31" s="411"/>
      <c r="E31" s="91">
        <v>1500000</v>
      </c>
      <c r="G31" s="78"/>
      <c r="H31" s="78"/>
      <c r="I31" s="78"/>
      <c r="J31" s="78"/>
      <c r="K31" s="78"/>
      <c r="L31" s="78"/>
      <c r="M31" s="78"/>
      <c r="N31" s="78"/>
      <c r="O31" s="48"/>
    </row>
    <row r="32" spans="1:15" ht="23.25" x14ac:dyDescent="0.35">
      <c r="A32" s="410" t="s">
        <v>148</v>
      </c>
      <c r="B32" s="411"/>
      <c r="C32" s="411"/>
      <c r="D32" s="411"/>
      <c r="E32" s="91">
        <v>1500000</v>
      </c>
      <c r="G32" s="78"/>
      <c r="H32" s="78"/>
      <c r="I32" s="78"/>
      <c r="J32" s="78"/>
      <c r="K32" s="78"/>
      <c r="L32" s="78"/>
      <c r="M32" s="78"/>
      <c r="N32" s="78"/>
    </row>
    <row r="33" spans="1:14" ht="24" thickBot="1" x14ac:dyDescent="0.4">
      <c r="A33" s="399" t="s">
        <v>149</v>
      </c>
      <c r="B33" s="400"/>
      <c r="C33" s="400"/>
      <c r="D33" s="400"/>
      <c r="E33" s="92">
        <f>E29-E30-E31-E32</f>
        <v>924180.88875000086</v>
      </c>
      <c r="G33" s="78"/>
      <c r="H33" s="78"/>
      <c r="I33" s="78"/>
      <c r="J33" s="78"/>
      <c r="K33" s="78"/>
      <c r="L33" s="78"/>
      <c r="M33" s="78"/>
      <c r="N33" s="78"/>
    </row>
    <row r="34" spans="1:14" ht="23.25" x14ac:dyDescent="0.35">
      <c r="G34" s="78"/>
      <c r="H34" s="78"/>
      <c r="I34" s="78"/>
      <c r="J34" s="78"/>
      <c r="K34" s="78"/>
      <c r="L34" s="78"/>
      <c r="M34" s="78"/>
      <c r="N34" s="78"/>
    </row>
    <row r="35" spans="1:14" ht="23.25" x14ac:dyDescent="0.35">
      <c r="G35" s="78"/>
      <c r="H35" s="78"/>
      <c r="I35" s="78"/>
      <c r="J35" s="78"/>
      <c r="K35" s="78"/>
      <c r="L35" s="78"/>
      <c r="M35" s="78"/>
      <c r="N35" s="78"/>
    </row>
    <row r="36" spans="1:14" ht="23.25" x14ac:dyDescent="0.35">
      <c r="G36" s="78"/>
      <c r="H36" s="78"/>
      <c r="I36" s="78"/>
      <c r="J36" s="78"/>
      <c r="K36" s="78"/>
      <c r="L36" s="78"/>
      <c r="M36" s="78"/>
      <c r="N36" s="78"/>
    </row>
    <row r="37" spans="1:14" ht="23.25" x14ac:dyDescent="0.35">
      <c r="G37" s="78"/>
      <c r="H37" s="78"/>
      <c r="I37" s="78"/>
      <c r="J37" s="78"/>
      <c r="K37" s="78"/>
      <c r="L37" s="78"/>
      <c r="M37" s="78"/>
      <c r="N37" s="78"/>
    </row>
    <row r="38" spans="1:14" ht="23.25" x14ac:dyDescent="0.35">
      <c r="G38" s="78"/>
      <c r="H38" s="78"/>
      <c r="I38" s="78"/>
      <c r="J38" s="78"/>
      <c r="K38" s="78"/>
      <c r="L38" s="78"/>
      <c r="M38" s="78"/>
      <c r="N38" s="78"/>
    </row>
    <row r="39" spans="1:14" ht="23.25" x14ac:dyDescent="0.35">
      <c r="G39" s="78"/>
      <c r="H39" s="78"/>
      <c r="I39" s="78"/>
      <c r="J39" s="78"/>
      <c r="K39" s="78"/>
      <c r="L39" s="78"/>
      <c r="M39" s="78"/>
      <c r="N39" s="78"/>
    </row>
    <row r="40" spans="1:14" ht="23.25" x14ac:dyDescent="0.35">
      <c r="G40" s="78"/>
      <c r="H40" s="78"/>
      <c r="I40" s="78"/>
      <c r="J40" s="78"/>
      <c r="K40" s="78"/>
      <c r="L40" s="78"/>
      <c r="M40" s="78"/>
      <c r="N40" s="78"/>
    </row>
    <row r="41" spans="1:14" ht="23.25" x14ac:dyDescent="0.35">
      <c r="G41" s="78"/>
      <c r="H41" s="78"/>
      <c r="I41" s="78"/>
      <c r="J41" s="78"/>
      <c r="K41" s="78"/>
      <c r="L41" s="78"/>
      <c r="M41" s="78"/>
      <c r="N41" s="78"/>
    </row>
    <row r="42" spans="1:14" ht="23.25" x14ac:dyDescent="0.35">
      <c r="G42" s="78"/>
      <c r="H42" s="78"/>
      <c r="I42" s="78"/>
      <c r="J42" s="78"/>
      <c r="K42" s="78"/>
      <c r="L42" s="78"/>
      <c r="M42" s="78"/>
      <c r="N42" s="78"/>
    </row>
    <row r="43" spans="1:14" ht="23.25" x14ac:dyDescent="0.35">
      <c r="G43" s="78"/>
      <c r="H43" s="78"/>
      <c r="I43" s="78"/>
      <c r="J43" s="78"/>
      <c r="K43" s="78"/>
      <c r="L43" s="78"/>
      <c r="M43" s="78"/>
      <c r="N43" s="78"/>
    </row>
    <row r="44" spans="1:14" ht="23.25" x14ac:dyDescent="0.35">
      <c r="G44" s="78"/>
      <c r="H44" s="78"/>
      <c r="I44" s="78"/>
      <c r="J44" s="78"/>
      <c r="K44" s="78"/>
      <c r="L44" s="78"/>
      <c r="M44" s="78"/>
      <c r="N44" s="78"/>
    </row>
    <row r="45" spans="1:14" ht="23.25" x14ac:dyDescent="0.35">
      <c r="G45" s="78"/>
      <c r="H45" s="78"/>
      <c r="I45" s="78"/>
      <c r="J45" s="78"/>
      <c r="K45" s="78"/>
      <c r="L45" s="78"/>
      <c r="M45" s="78"/>
      <c r="N45" s="78"/>
    </row>
    <row r="46" spans="1:14" ht="23.25" x14ac:dyDescent="0.35">
      <c r="G46" s="78"/>
      <c r="H46" s="78"/>
      <c r="I46" s="78"/>
      <c r="J46" s="78"/>
      <c r="K46" s="78"/>
      <c r="L46" s="78"/>
      <c r="M46" s="78"/>
      <c r="N46" s="78"/>
    </row>
    <row r="47" spans="1:14" ht="23.25" x14ac:dyDescent="0.35">
      <c r="G47" s="78"/>
      <c r="H47" s="78"/>
      <c r="I47" s="78"/>
      <c r="J47" s="78"/>
      <c r="K47" s="78"/>
      <c r="L47" s="78"/>
      <c r="M47" s="78"/>
      <c r="N47" s="78"/>
    </row>
    <row r="48" spans="1:14" ht="23.25" x14ac:dyDescent="0.35">
      <c r="G48" s="78"/>
      <c r="H48" s="78"/>
      <c r="I48" s="78"/>
      <c r="J48" s="78"/>
      <c r="K48" s="78"/>
      <c r="L48" s="78"/>
      <c r="M48" s="78"/>
      <c r="N48" s="78"/>
    </row>
    <row r="49" spans="7:14" ht="23.25" x14ac:dyDescent="0.35">
      <c r="G49" s="78"/>
      <c r="H49" s="78"/>
      <c r="I49" s="78"/>
      <c r="J49" s="78"/>
      <c r="K49" s="78"/>
      <c r="L49" s="78"/>
      <c r="M49" s="78"/>
      <c r="N49" s="78"/>
    </row>
    <row r="50" spans="7:14" ht="23.25" x14ac:dyDescent="0.35">
      <c r="G50" s="78"/>
      <c r="H50" s="78"/>
      <c r="I50" s="78"/>
      <c r="J50" s="78"/>
      <c r="K50" s="78"/>
      <c r="L50" s="78"/>
      <c r="M50" s="78"/>
      <c r="N50" s="78"/>
    </row>
    <row r="51" spans="7:14" ht="23.25" x14ac:dyDescent="0.35">
      <c r="G51" s="78"/>
      <c r="H51" s="78"/>
      <c r="I51" s="78"/>
      <c r="J51" s="78"/>
      <c r="K51" s="78"/>
      <c r="L51" s="78"/>
      <c r="M51" s="78"/>
      <c r="N51" s="78"/>
    </row>
    <row r="52" spans="7:14" ht="23.25" x14ac:dyDescent="0.35">
      <c r="G52" s="78"/>
      <c r="H52" s="78"/>
      <c r="I52" s="78"/>
      <c r="J52" s="78"/>
      <c r="K52" s="78"/>
      <c r="L52" s="78"/>
      <c r="M52" s="78"/>
      <c r="N52" s="78"/>
    </row>
    <row r="53" spans="7:14" ht="23.25" x14ac:dyDescent="0.35">
      <c r="G53" s="78"/>
      <c r="H53" s="78"/>
      <c r="I53" s="78"/>
      <c r="J53" s="78"/>
      <c r="K53" s="78"/>
      <c r="L53" s="78"/>
      <c r="M53" s="78"/>
      <c r="N53" s="78"/>
    </row>
    <row r="54" spans="7:14" ht="23.25" x14ac:dyDescent="0.35">
      <c r="G54" s="78"/>
      <c r="H54" s="78"/>
      <c r="I54" s="78"/>
      <c r="J54" s="78"/>
      <c r="K54" s="78"/>
      <c r="L54" s="78"/>
      <c r="M54" s="78"/>
      <c r="N54" s="78"/>
    </row>
    <row r="55" spans="7:14" ht="23.25" x14ac:dyDescent="0.35">
      <c r="G55" s="78"/>
      <c r="H55" s="78"/>
      <c r="I55" s="78"/>
      <c r="J55" s="78"/>
      <c r="K55" s="78"/>
      <c r="L55" s="78"/>
      <c r="M55" s="78"/>
      <c r="N55" s="78"/>
    </row>
    <row r="56" spans="7:14" ht="23.25" x14ac:dyDescent="0.35">
      <c r="G56" s="78"/>
      <c r="H56" s="78"/>
      <c r="I56" s="78"/>
      <c r="J56" s="78"/>
      <c r="K56" s="78"/>
      <c r="L56" s="78"/>
      <c r="M56" s="78"/>
      <c r="N56" s="78"/>
    </row>
    <row r="57" spans="7:14" ht="23.25" x14ac:dyDescent="0.35">
      <c r="G57" s="78"/>
      <c r="H57" s="78"/>
      <c r="I57" s="78"/>
      <c r="J57" s="78"/>
      <c r="K57" s="78"/>
      <c r="L57" s="78"/>
      <c r="M57" s="78"/>
      <c r="N57" s="78"/>
    </row>
    <row r="58" spans="7:14" ht="23.25" x14ac:dyDescent="0.35">
      <c r="G58" s="78"/>
      <c r="H58" s="78"/>
      <c r="I58" s="78"/>
      <c r="J58" s="78"/>
      <c r="K58" s="78"/>
      <c r="L58" s="78"/>
      <c r="M58" s="78"/>
      <c r="N58" s="78"/>
    </row>
    <row r="59" spans="7:14" ht="23.25" x14ac:dyDescent="0.35">
      <c r="G59" s="78"/>
      <c r="H59" s="78"/>
      <c r="I59" s="78"/>
      <c r="J59" s="78"/>
      <c r="K59" s="78"/>
      <c r="L59" s="78"/>
      <c r="M59" s="78"/>
      <c r="N59" s="78"/>
    </row>
    <row r="60" spans="7:14" ht="23.25" x14ac:dyDescent="0.35">
      <c r="G60" s="78"/>
      <c r="H60" s="78"/>
      <c r="I60" s="78"/>
      <c r="J60" s="78"/>
      <c r="K60" s="78"/>
      <c r="L60" s="78"/>
      <c r="M60" s="78"/>
      <c r="N60" s="78"/>
    </row>
    <row r="61" spans="7:14" ht="23.25" x14ac:dyDescent="0.35">
      <c r="G61" s="78"/>
      <c r="H61" s="78"/>
      <c r="I61" s="78"/>
      <c r="J61" s="78"/>
      <c r="K61" s="78"/>
      <c r="L61" s="78"/>
      <c r="M61" s="78"/>
      <c r="N61" s="78"/>
    </row>
    <row r="62" spans="7:14" ht="23.25" x14ac:dyDescent="0.35">
      <c r="G62" s="78"/>
      <c r="H62" s="78"/>
      <c r="I62" s="78"/>
      <c r="J62" s="78"/>
      <c r="K62" s="78"/>
      <c r="L62" s="78"/>
      <c r="M62" s="78"/>
      <c r="N62" s="78"/>
    </row>
    <row r="63" spans="7:14" ht="23.25" x14ac:dyDescent="0.35">
      <c r="G63" s="78"/>
      <c r="H63" s="78"/>
      <c r="I63" s="78"/>
      <c r="J63" s="78"/>
      <c r="K63" s="78"/>
      <c r="L63" s="78"/>
      <c r="M63" s="78"/>
      <c r="N63" s="78"/>
    </row>
    <row r="64" spans="7:14" ht="23.25" x14ac:dyDescent="0.35">
      <c r="G64" s="78"/>
      <c r="H64" s="78"/>
      <c r="I64" s="78"/>
      <c r="J64" s="78"/>
      <c r="K64" s="78"/>
      <c r="L64" s="78"/>
      <c r="M64" s="78"/>
      <c r="N64" s="78"/>
    </row>
    <row r="65" spans="7:14" ht="23.25" x14ac:dyDescent="0.35">
      <c r="G65" s="78"/>
      <c r="H65" s="78"/>
      <c r="I65" s="78"/>
      <c r="J65" s="78"/>
      <c r="K65" s="78"/>
      <c r="L65" s="78"/>
      <c r="M65" s="78"/>
      <c r="N65" s="78"/>
    </row>
    <row r="66" spans="7:14" ht="23.25" x14ac:dyDescent="0.35">
      <c r="G66" s="78"/>
      <c r="H66" s="78"/>
      <c r="I66" s="78"/>
      <c r="J66" s="78"/>
      <c r="K66" s="78"/>
      <c r="L66" s="78"/>
      <c r="M66" s="78"/>
      <c r="N66" s="78"/>
    </row>
    <row r="67" spans="7:14" ht="23.25" x14ac:dyDescent="0.35">
      <c r="G67" s="78"/>
      <c r="H67" s="78"/>
      <c r="I67" s="78"/>
      <c r="J67" s="78"/>
      <c r="K67" s="78"/>
      <c r="L67" s="78"/>
      <c r="M67" s="78"/>
      <c r="N67" s="78"/>
    </row>
    <row r="68" spans="7:14" ht="23.25" x14ac:dyDescent="0.35">
      <c r="G68" s="78"/>
      <c r="H68" s="78"/>
      <c r="I68" s="78"/>
      <c r="J68" s="78"/>
      <c r="K68" s="78"/>
      <c r="L68" s="78"/>
      <c r="M68" s="78"/>
      <c r="N68" s="78"/>
    </row>
    <row r="69" spans="7:14" ht="23.25" x14ac:dyDescent="0.35">
      <c r="G69" s="78"/>
      <c r="H69" s="78"/>
      <c r="I69" s="78"/>
      <c r="J69" s="78"/>
      <c r="K69" s="78"/>
      <c r="L69" s="78"/>
      <c r="M69" s="78"/>
      <c r="N69" s="78"/>
    </row>
    <row r="70" spans="7:14" ht="23.25" x14ac:dyDescent="0.35">
      <c r="G70" s="78"/>
      <c r="H70" s="78"/>
      <c r="I70" s="78"/>
      <c r="J70" s="78"/>
      <c r="K70" s="78"/>
      <c r="L70" s="78"/>
      <c r="M70" s="78"/>
      <c r="N70" s="78"/>
    </row>
    <row r="71" spans="7:14" ht="23.25" x14ac:dyDescent="0.35">
      <c r="G71" s="78"/>
      <c r="H71" s="78"/>
      <c r="I71" s="78"/>
      <c r="J71" s="78"/>
      <c r="K71" s="78"/>
      <c r="L71" s="78"/>
      <c r="M71" s="78"/>
      <c r="N71" s="78"/>
    </row>
    <row r="72" spans="7:14" ht="23.25" x14ac:dyDescent="0.35">
      <c r="G72" s="78"/>
      <c r="H72" s="78"/>
      <c r="I72" s="78"/>
      <c r="J72" s="78"/>
      <c r="K72" s="78"/>
      <c r="L72" s="78"/>
      <c r="M72" s="78"/>
      <c r="N72" s="78"/>
    </row>
    <row r="73" spans="7:14" ht="23.25" x14ac:dyDescent="0.35">
      <c r="G73" s="78"/>
      <c r="H73" s="78"/>
      <c r="I73" s="78"/>
      <c r="J73" s="78"/>
      <c r="K73" s="78"/>
      <c r="L73" s="78"/>
      <c r="M73" s="78"/>
      <c r="N73" s="78"/>
    </row>
    <row r="74" spans="7:14" ht="23.25" x14ac:dyDescent="0.35">
      <c r="G74" s="78"/>
      <c r="H74" s="78"/>
      <c r="I74" s="78"/>
      <c r="J74" s="78"/>
      <c r="K74" s="78"/>
      <c r="L74" s="78"/>
      <c r="M74" s="78"/>
      <c r="N74" s="78"/>
    </row>
    <row r="75" spans="7:14" ht="23.25" x14ac:dyDescent="0.35">
      <c r="G75" s="78"/>
      <c r="H75" s="78"/>
      <c r="I75" s="78"/>
      <c r="J75" s="78"/>
      <c r="K75" s="78"/>
      <c r="L75" s="78"/>
      <c r="M75" s="78"/>
      <c r="N75" s="78"/>
    </row>
    <row r="76" spans="7:14" ht="23.25" x14ac:dyDescent="0.35">
      <c r="G76" s="78"/>
      <c r="H76" s="78"/>
      <c r="I76" s="78"/>
      <c r="J76" s="78"/>
      <c r="K76" s="78"/>
      <c r="L76" s="78"/>
      <c r="M76" s="78"/>
      <c r="N76" s="78"/>
    </row>
    <row r="77" spans="7:14" ht="23.25" x14ac:dyDescent="0.35">
      <c r="G77" s="78"/>
      <c r="H77" s="78"/>
      <c r="I77" s="78"/>
      <c r="J77" s="78"/>
      <c r="K77" s="78"/>
      <c r="L77" s="78"/>
      <c r="M77" s="78"/>
      <c r="N77" s="78"/>
    </row>
    <row r="78" spans="7:14" ht="23.25" x14ac:dyDescent="0.35">
      <c r="G78" s="78"/>
      <c r="H78" s="78"/>
      <c r="I78" s="78"/>
      <c r="J78" s="78"/>
      <c r="K78" s="78"/>
      <c r="L78" s="78"/>
      <c r="M78" s="78"/>
      <c r="N78" s="78"/>
    </row>
    <row r="79" spans="7:14" ht="23.25" x14ac:dyDescent="0.35">
      <c r="G79" s="78"/>
      <c r="H79" s="78"/>
      <c r="I79" s="78"/>
      <c r="J79" s="78"/>
      <c r="K79" s="78"/>
      <c r="L79" s="78"/>
      <c r="M79" s="78"/>
      <c r="N79" s="78"/>
    </row>
    <row r="80" spans="7:14" ht="23.25" x14ac:dyDescent="0.35">
      <c r="G80" s="78"/>
      <c r="H80" s="78"/>
      <c r="I80" s="78"/>
      <c r="J80" s="78"/>
      <c r="K80" s="78"/>
      <c r="L80" s="78"/>
      <c r="M80" s="78"/>
      <c r="N80" s="78"/>
    </row>
    <row r="81" spans="7:14" ht="23.25" x14ac:dyDescent="0.35">
      <c r="G81" s="78"/>
      <c r="H81" s="78"/>
      <c r="I81" s="78"/>
      <c r="J81" s="78"/>
      <c r="K81" s="78"/>
      <c r="L81" s="78"/>
      <c r="M81" s="78"/>
      <c r="N81" s="78"/>
    </row>
    <row r="82" spans="7:14" ht="23.25" x14ac:dyDescent="0.35">
      <c r="G82" s="78"/>
      <c r="H82" s="78"/>
      <c r="I82" s="78"/>
      <c r="J82" s="78"/>
      <c r="K82" s="78"/>
      <c r="L82" s="78"/>
      <c r="M82" s="78"/>
      <c r="N82" s="78"/>
    </row>
    <row r="83" spans="7:14" ht="23.25" x14ac:dyDescent="0.35">
      <c r="G83" s="78"/>
      <c r="H83" s="78"/>
      <c r="I83" s="78"/>
      <c r="J83" s="78"/>
      <c r="K83" s="78"/>
      <c r="L83" s="78"/>
      <c r="M83" s="78"/>
      <c r="N83" s="78"/>
    </row>
    <row r="84" spans="7:14" ht="23.25" x14ac:dyDescent="0.35">
      <c r="G84" s="78"/>
      <c r="H84" s="78"/>
      <c r="I84" s="78"/>
      <c r="J84" s="78"/>
      <c r="K84" s="78"/>
      <c r="L84" s="78"/>
      <c r="M84" s="78"/>
      <c r="N84" s="78"/>
    </row>
    <row r="85" spans="7:14" ht="23.25" x14ac:dyDescent="0.35">
      <c r="G85" s="78"/>
      <c r="H85" s="78"/>
      <c r="I85" s="78"/>
      <c r="J85" s="78"/>
      <c r="K85" s="78"/>
      <c r="L85" s="78"/>
      <c r="M85" s="78"/>
      <c r="N85" s="78"/>
    </row>
    <row r="86" spans="7:14" ht="23.25" x14ac:dyDescent="0.35">
      <c r="G86" s="78"/>
      <c r="H86" s="78"/>
      <c r="I86" s="78"/>
      <c r="J86" s="78"/>
      <c r="K86" s="78"/>
      <c r="L86" s="78"/>
      <c r="M86" s="78"/>
      <c r="N86" s="78"/>
    </row>
    <row r="87" spans="7:14" ht="23.25" x14ac:dyDescent="0.35">
      <c r="G87" s="78"/>
      <c r="H87" s="78"/>
      <c r="I87" s="78"/>
      <c r="J87" s="78"/>
      <c r="K87" s="78"/>
      <c r="L87" s="78"/>
      <c r="M87" s="78"/>
      <c r="N87" s="78"/>
    </row>
    <row r="88" spans="7:14" ht="23.25" x14ac:dyDescent="0.35">
      <c r="G88" s="78"/>
      <c r="H88" s="78"/>
      <c r="I88" s="78"/>
      <c r="J88" s="78"/>
      <c r="K88" s="78"/>
      <c r="L88" s="78"/>
      <c r="M88" s="78"/>
      <c r="N88" s="78"/>
    </row>
    <row r="89" spans="7:14" ht="23.25" x14ac:dyDescent="0.35">
      <c r="G89" s="78"/>
      <c r="H89" s="78"/>
      <c r="I89" s="78"/>
      <c r="J89" s="78"/>
      <c r="K89" s="78"/>
      <c r="L89" s="78"/>
      <c r="M89" s="78"/>
      <c r="N89" s="78"/>
    </row>
    <row r="90" spans="7:14" ht="23.25" x14ac:dyDescent="0.35">
      <c r="G90" s="78"/>
      <c r="H90" s="78"/>
      <c r="I90" s="78"/>
      <c r="J90" s="78"/>
      <c r="K90" s="78"/>
      <c r="L90" s="78"/>
      <c r="M90" s="78"/>
      <c r="N90" s="78"/>
    </row>
    <row r="91" spans="7:14" ht="23.25" x14ac:dyDescent="0.35">
      <c r="G91" s="78"/>
      <c r="H91" s="78"/>
      <c r="I91" s="78"/>
      <c r="J91" s="78"/>
      <c r="K91" s="78"/>
      <c r="L91" s="78"/>
      <c r="M91" s="78"/>
      <c r="N91" s="78"/>
    </row>
    <row r="92" spans="7:14" ht="23.25" x14ac:dyDescent="0.35">
      <c r="G92" s="78"/>
      <c r="H92" s="78"/>
      <c r="I92" s="78"/>
      <c r="J92" s="78"/>
      <c r="K92" s="78"/>
      <c r="L92" s="78"/>
      <c r="M92" s="78"/>
      <c r="N92" s="78"/>
    </row>
    <row r="93" spans="7:14" ht="23.25" x14ac:dyDescent="0.35">
      <c r="K93" s="78"/>
      <c r="L93" s="78"/>
      <c r="M93" s="78"/>
      <c r="N93" s="78"/>
    </row>
    <row r="94" spans="7:14" ht="23.25" x14ac:dyDescent="0.35">
      <c r="K94" s="78"/>
      <c r="L94" s="78"/>
      <c r="M94" s="78"/>
      <c r="N94" s="78"/>
    </row>
    <row r="95" spans="7:14" ht="23.25" x14ac:dyDescent="0.35">
      <c r="K95" s="78"/>
      <c r="L95" s="78"/>
      <c r="M95" s="78"/>
      <c r="N95" s="78"/>
    </row>
  </sheetData>
  <mergeCells count="9">
    <mergeCell ref="A33:D33"/>
    <mergeCell ref="G10:J10"/>
    <mergeCell ref="G17:J17"/>
    <mergeCell ref="A1:E1"/>
    <mergeCell ref="A2:E2"/>
    <mergeCell ref="A30:D30"/>
    <mergeCell ref="A31:D31"/>
    <mergeCell ref="A32:D32"/>
    <mergeCell ref="A3:E3"/>
  </mergeCells>
  <pageMargins left="0.7" right="0.7" top="0" bottom="0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Main Building</vt:lpstr>
      <vt:lpstr>Psychiatry</vt:lpstr>
      <vt:lpstr>Bills Summary</vt:lpstr>
      <vt:lpstr>Retention</vt:lpstr>
      <vt:lpstr>Food Court</vt:lpstr>
      <vt:lpstr>JPMC MOSQUE</vt:lpstr>
      <vt:lpstr>EYE WARD</vt:lpstr>
      <vt:lpstr>excess ret money amount</vt:lpstr>
      <vt:lpstr>'Food Court'!Print_Area</vt:lpstr>
      <vt:lpstr>'JPMC MOSQUE'!Print_Area</vt:lpstr>
      <vt:lpstr>'Main Building'!Print_Area</vt:lpstr>
      <vt:lpstr>Psychiatry!Print_Area</vt:lpstr>
      <vt:lpstr>Retention!Print_Area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Rehan Aslam</cp:lastModifiedBy>
  <cp:lastPrinted>2023-06-01T12:06:17Z</cp:lastPrinted>
  <dcterms:created xsi:type="dcterms:W3CDTF">2018-05-22T07:27:53Z</dcterms:created>
  <dcterms:modified xsi:type="dcterms:W3CDTF">2024-03-21T11:34:30Z</dcterms:modified>
</cp:coreProperties>
</file>