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heet1" sheetId="1" r:id="rId1"/>
  </sheets>
  <definedNames>
    <definedName name="_xlnm.Print_Area" localSheetId="0">Sheet1!$A$1:$K$83</definedName>
  </definedNames>
  <calcPr calcId="162913"/>
</workbook>
</file>

<file path=xl/calcChain.xml><?xml version="1.0" encoding="utf-8"?>
<calcChain xmlns="http://schemas.openxmlformats.org/spreadsheetml/2006/main">
  <c r="M36" i="1" l="1"/>
  <c r="D24" i="1" l="1"/>
  <c r="D12" i="1" l="1"/>
  <c r="K14" i="1"/>
  <c r="K13" i="1"/>
  <c r="K11" i="1"/>
  <c r="K10" i="1"/>
  <c r="G34" i="1"/>
  <c r="D34" i="1"/>
  <c r="D33" i="1"/>
  <c r="G33" i="1" s="1"/>
  <c r="H33" i="1" s="1"/>
  <c r="G32" i="1"/>
  <c r="D32" i="1"/>
  <c r="C32" i="1"/>
  <c r="G31" i="1"/>
  <c r="D31" i="1"/>
  <c r="C31" i="1"/>
  <c r="H31" i="1" s="1"/>
  <c r="G30" i="1"/>
  <c r="D30" i="1"/>
  <c r="C30" i="1"/>
  <c r="H30" i="1" s="1"/>
  <c r="G29" i="1"/>
  <c r="D29" i="1"/>
  <c r="C29" i="1"/>
  <c r="H29" i="1" s="1"/>
  <c r="G28" i="1"/>
  <c r="D28" i="1"/>
  <c r="C28" i="1"/>
  <c r="G27" i="1"/>
  <c r="D27" i="1"/>
  <c r="C27" i="1"/>
  <c r="H27" i="1" s="1"/>
  <c r="G26" i="1"/>
  <c r="D26" i="1"/>
  <c r="C26" i="1"/>
  <c r="H26" i="1" s="1"/>
  <c r="G25" i="1"/>
  <c r="D25" i="1"/>
  <c r="C25" i="1"/>
  <c r="H25" i="1" s="1"/>
  <c r="G24" i="1"/>
  <c r="C24" i="1"/>
  <c r="G23" i="1"/>
  <c r="D23" i="1"/>
  <c r="C23" i="1"/>
  <c r="H23" i="1" s="1"/>
  <c r="G22" i="1"/>
  <c r="D22" i="1"/>
  <c r="C22" i="1"/>
  <c r="H22" i="1" s="1"/>
  <c r="G21" i="1"/>
  <c r="D21" i="1"/>
  <c r="C21" i="1"/>
  <c r="H21" i="1" s="1"/>
  <c r="G20" i="1"/>
  <c r="D20" i="1"/>
  <c r="C20" i="1"/>
  <c r="G19" i="1"/>
  <c r="C19" i="1"/>
  <c r="H19" i="1" s="1"/>
  <c r="D18" i="1"/>
  <c r="G18" i="1" s="1"/>
  <c r="C18" i="1"/>
  <c r="D19" i="1"/>
  <c r="G17" i="1"/>
  <c r="K17" i="1" s="1"/>
  <c r="D16" i="1"/>
  <c r="C16" i="1"/>
  <c r="D15" i="1"/>
  <c r="C15" i="1"/>
  <c r="D14" i="1"/>
  <c r="C14" i="1"/>
  <c r="F14" i="1" s="1"/>
  <c r="G14" i="1" s="1"/>
  <c r="H14" i="1" s="1"/>
  <c r="D13" i="1"/>
  <c r="C13" i="1"/>
  <c r="C12" i="1"/>
  <c r="D11" i="1"/>
  <c r="C11" i="1"/>
  <c r="D10" i="1"/>
  <c r="C10" i="1"/>
  <c r="F10" i="1" s="1"/>
  <c r="G10" i="1" s="1"/>
  <c r="K19" i="1" l="1"/>
  <c r="K18" i="1"/>
  <c r="K20" i="1"/>
  <c r="K34" i="1"/>
  <c r="G15" i="1"/>
  <c r="G16" i="1"/>
  <c r="H16" i="1" s="1"/>
  <c r="K16" i="1" s="1"/>
  <c r="K21" i="1"/>
  <c r="K25" i="1"/>
  <c r="K29" i="1"/>
  <c r="K33" i="1"/>
  <c r="H15" i="1"/>
  <c r="K15" i="1" s="1"/>
  <c r="H18" i="1"/>
  <c r="H34" i="1"/>
  <c r="K22" i="1"/>
  <c r="K26" i="1"/>
  <c r="K30" i="1"/>
  <c r="K23" i="1"/>
  <c r="K31" i="1"/>
  <c r="K27" i="1"/>
  <c r="H20" i="1"/>
  <c r="H24" i="1"/>
  <c r="K24" i="1" s="1"/>
  <c r="H28" i="1"/>
  <c r="K28" i="1" s="1"/>
  <c r="H32" i="1"/>
  <c r="K32" i="1" s="1"/>
  <c r="H11" i="1"/>
  <c r="H10" i="1"/>
  <c r="G11" i="1"/>
  <c r="G12" i="1"/>
  <c r="G13" i="1"/>
  <c r="H13" i="1" s="1"/>
  <c r="H12" i="1" l="1"/>
  <c r="K12" i="1" s="1"/>
  <c r="K35" i="1" s="1"/>
</calcChain>
</file>

<file path=xl/sharedStrings.xml><?xml version="1.0" encoding="utf-8"?>
<sst xmlns="http://schemas.openxmlformats.org/spreadsheetml/2006/main" count="77" uniqueCount="48">
  <si>
    <t>S. #</t>
  </si>
  <si>
    <t>Description</t>
  </si>
  <si>
    <t>Unit</t>
  </si>
  <si>
    <t>Qty</t>
  </si>
  <si>
    <t>Amount</t>
  </si>
  <si>
    <t>For PIONEER ENGINEERING SERVICES.</t>
  </si>
  <si>
    <t>Labour Rate</t>
  </si>
  <si>
    <t>Material Rate</t>
  </si>
  <si>
    <t>Bilal Habib</t>
  </si>
  <si>
    <t>Tax 7.5%</t>
  </si>
  <si>
    <t>Rft</t>
  </si>
  <si>
    <t>Job</t>
  </si>
  <si>
    <t>Total Amount Rs</t>
  </si>
  <si>
    <t>Variation order for AHU Room Piping and Accessories - Dolmen Family Area DMC Karachi</t>
  </si>
  <si>
    <t>No.</t>
  </si>
  <si>
    <t>Supply and installation of following valves and accessories for AHU assembly.</t>
  </si>
  <si>
    <t>Pressure Guage 4-1/2" Dial</t>
  </si>
  <si>
    <t>Thermometer 6" Dia</t>
  </si>
  <si>
    <t>Thermowell</t>
  </si>
  <si>
    <t>Guage Cock  1/4"</t>
  </si>
  <si>
    <t>Syphon    1/4"</t>
  </si>
  <si>
    <t>Nos</t>
  </si>
  <si>
    <t>Application of red oxide paint over M.S Pipe.</t>
  </si>
  <si>
    <t xml:space="preserve">Interconnection &amp; access of AHU assembly with mall chilled water line </t>
  </si>
  <si>
    <t>Tin</t>
  </si>
  <si>
    <t>Testing, commissioning &amp; balancing of AHU assembly</t>
  </si>
  <si>
    <t>Supply and installation of 3" Dia tapes.</t>
  </si>
  <si>
    <t>Supply &amp; installation of Aerofoam XLPE Glue 2.5 ltr</t>
  </si>
  <si>
    <t>Supply &amp; installation of related fittings such as tee, bend union, elbow etc.</t>
  </si>
  <si>
    <t>Air Vent    3/4" Dia</t>
  </si>
  <si>
    <t>Gate Valve   3/4" Dia</t>
  </si>
  <si>
    <t>*</t>
  </si>
  <si>
    <t>Fittings 15%</t>
  </si>
  <si>
    <t>Supply and installation of Room Thermostat</t>
  </si>
  <si>
    <t>Supply &amp; installation of M.S Pipe 25mm</t>
  </si>
  <si>
    <t>Supply &amp; installation of PICV 25mm with Pressure ports and valve actuator.</t>
  </si>
  <si>
    <t>Supply and installation of XLPE insulation tube 25mm thickness 25mm</t>
  </si>
  <si>
    <t>Gate Valve 1" Dia</t>
  </si>
  <si>
    <t>Ball Valve   1" Dia</t>
  </si>
  <si>
    <t>Strainer     1" Dia</t>
  </si>
  <si>
    <t>Balancing Valve 1" Dia</t>
  </si>
  <si>
    <t>Supply &amp; installation of condensate drain pipe insulation 1-1/4</t>
  </si>
  <si>
    <t>Supply and installation of hangers and supports such as pipe supports, anchor bolt, hanging clips and rods.</t>
  </si>
  <si>
    <t>Control wiring of thermostat &amp; PICV (1.5mm 3 core)</t>
  </si>
  <si>
    <t>Waste 05%</t>
  </si>
  <si>
    <t>Over Head profit 10%</t>
  </si>
  <si>
    <t>Total Construction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</si>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</sst>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3" fillId="0" borderId="0" xfId="0" applyFont="1"/>
    <xf numFmtId="165" fontId="5" fillId="0" borderId="0" xfId="1" applyNumberFormat="1" applyFont="1"/>
    <xf numFmtId="0" fontId="4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/>
    <xf numFmtId="165" fontId="8" fillId="2" borderId="0" xfId="1" applyNumberFormat="1" applyFont="1" applyFill="1" applyAlignment="1">
      <alignment vertical="center"/>
    </xf>
    <xf numFmtId="165" fontId="3" fillId="0" borderId="0" xfId="0" applyNumberFormat="1" applyFont="1"/>
    <xf numFmtId="165" fontId="10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165" fontId="11" fillId="0" borderId="1" xfId="1" applyNumberFormat="1" applyFont="1" applyBorder="1" applyAlignment="1">
      <alignment horizontal="right" vertical="center"/>
    </xf>
    <xf numFmtId="165" fontId="11" fillId="0" borderId="1" xfId="1" applyNumberFormat="1" applyFont="1" applyFill="1" applyBorder="1" applyAlignment="1">
      <alignment horizontal="right" vertical="center"/>
    </xf>
    <xf numFmtId="165" fontId="11" fillId="0" borderId="1" xfId="1" applyNumberFormat="1" applyFont="1" applyBorder="1" applyAlignment="1">
      <alignment horizontal="right" vertical="center" wrapText="1"/>
    </xf>
    <xf numFmtId="164" fontId="3" fillId="0" borderId="0" xfId="0" applyNumberFormat="1" applyFont="1"/>
    <xf numFmtId="0" fontId="12" fillId="0" borderId="1" xfId="0" applyFont="1" applyFill="1" applyBorder="1" applyAlignment="1">
      <alignment horizontal="justify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11" fillId="0" borderId="1" xfId="1" applyNumberFormat="1" applyFont="1" applyFill="1" applyBorder="1" applyAlignment="1">
      <alignment horizontal="right" vertical="center"/>
    </xf>
    <xf numFmtId="166" fontId="3" fillId="0" borderId="0" xfId="0" applyNumberFormat="1" applyFont="1"/>
    <xf numFmtId="164" fontId="11" fillId="0" borderId="1" xfId="1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2378651</xdr:colOff>
      <xdr:row>0</xdr:row>
      <xdr:rowOff>8659</xdr:rowOff>
    </xdr:from>
    <xdr:to>
      <xdr:col>5</xdr:col>
      <xdr:colOff>371520</xdr:colOff>
      <xdr:row>4</xdr:row>
      <xdr:rowOff>173182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4" y="8659"/>
          <a:ext cx="2157891" cy="926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105700</xdr:colOff>
      <xdr:row>38</xdr:row>
      <xdr:rowOff>11084</xdr:rowOff>
    </xdr:from>
    <xdr:to>
      <xdr:col>1</xdr:col>
      <xdr:colOff>398377</xdr:colOff>
      <xdr:row>40</xdr:row>
      <xdr:rowOff>75167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00" y="11657561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398318</xdr:colOff>
      <xdr:row>10</xdr:row>
      <xdr:rowOff>389660</xdr:rowOff>
    </xdr:from>
    <xdr:to>
      <xdr:col>19</xdr:col>
      <xdr:colOff>372341</xdr:colOff>
      <xdr:row>34</xdr:row>
      <xdr:rowOff>192100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B6DD52-3E6B-1168-25DE-6C4223A3A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55432" y="3835978"/>
          <a:ext cx="3931227" cy="7249258"/>
        </a:xfrm>
        <a:prstGeom prst="rect">
          <a:avLst/>
        </a:prstGeom>
      </xdr:spPr>
    </xdr:pic>
    <xdr:clientData/>
  </xdr:twoCellAnchor>
  <xdr:twoCellAnchor editAs="oneCell">
    <xdr:from>
      <xdr:col>1</xdr:col>
      <xdr:colOff>251113</xdr:colOff>
      <xdr:row>41</xdr:row>
      <xdr:rowOff>79376</xdr:rowOff>
    </xdr:from>
    <xdr:to>
      <xdr:col>9</xdr:col>
      <xdr:colOff>299662</xdr:colOff>
      <xdr:row>82</xdr:row>
      <xdr:rowOff>89999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F756A2-C401-D50B-272F-DD3FBE19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5113" y="11207751"/>
          <a:ext cx="6620799" cy="7821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1"/>
  <sheetViews>
    <sheetView tabSelected="1" view="pageBreakPreview" topLeftCell="C29" zoomScale="110" zoomScaleNormal="110" zoomScaleSheetLayoutView="110" workbookViewId="0">
      <selection activeCell="L35" sqref="L35"/>
    </sheetView>
  </sheetViews>
  <sheetFormatPr defaultRowHeight="15" x14ac:dyDescent="0.25"/>
  <cols>
    <col min="1" max="1" width="3.85546875" style="2" customWidth="1"/>
    <col min="2" max="2" width="39.140625" customWidth="1"/>
    <col min="3" max="3" width="12.28515625" style="2" customWidth="1"/>
    <col min="4" max="4" width="11" style="2" customWidth="1"/>
    <col min="5" max="5" width="8.42578125" style="2" hidden="1" customWidth="1"/>
    <col min="6" max="6" width="8.85546875" style="2" customWidth="1"/>
    <col min="7" max="7" width="11.85546875" style="2" customWidth="1"/>
    <col min="8" max="8" width="8.7109375" style="3" customWidth="1"/>
    <col min="9" max="9" width="6.7109375" style="2" customWidth="1"/>
    <col min="10" max="10" width="5" style="2" customWidth="1"/>
    <col min="11" max="11" width="14.5703125" style="3" customWidth="1"/>
    <col min="12" max="12" width="13" customWidth="1"/>
    <col min="13" max="13" width="11.140625" bestFit="1" customWidth="1"/>
    <col min="14" max="14" width="14.5703125" bestFit="1" customWidth="1"/>
    <col min="15" max="15" width="11.7109375" customWidth="1"/>
    <col min="17" max="17" width="12.140625" customWidth="1"/>
    <col min="18" max="18" width="17.28515625" bestFit="1" customWidth="1"/>
  </cols>
  <sheetData>
    <row r="6" spans="1:18" ht="3.75" customHeigh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8" ht="21.75" customHeight="1" x14ac:dyDescent="0.25">
      <c r="A7" s="32" t="s">
        <v>13</v>
      </c>
      <c r="B7" s="32"/>
      <c r="C7" s="32"/>
      <c r="D7" s="32"/>
      <c r="E7" s="32"/>
      <c r="F7" s="32"/>
      <c r="G7" s="32"/>
      <c r="H7" s="32"/>
      <c r="I7" s="32"/>
      <c r="J7" s="32"/>
      <c r="K7" s="32"/>
      <c r="O7" s="33"/>
      <c r="P7" s="33"/>
      <c r="Q7" s="33"/>
      <c r="R7" s="17"/>
    </row>
    <row r="8" spans="1:18" ht="14.25" customHeight="1" x14ac:dyDescent="0.25">
      <c r="L8" s="28" t="s">
        <v>46</v>
      </c>
    </row>
    <row r="9" spans="1:18" ht="60" customHeight="1" x14ac:dyDescent="0.25">
      <c r="A9" s="6" t="s">
        <v>0</v>
      </c>
      <c r="B9" s="6" t="s">
        <v>1</v>
      </c>
      <c r="C9" s="7" t="s">
        <v>7</v>
      </c>
      <c r="D9" s="7" t="s">
        <v>6</v>
      </c>
      <c r="E9" s="7" t="s">
        <v>32</v>
      </c>
      <c r="F9" s="27" t="s">
        <v>44</v>
      </c>
      <c r="G9" s="8" t="s">
        <v>45</v>
      </c>
      <c r="H9" s="7" t="s">
        <v>9</v>
      </c>
      <c r="I9" s="6" t="s">
        <v>2</v>
      </c>
      <c r="J9" s="6" t="s">
        <v>3</v>
      </c>
      <c r="K9" s="8" t="s">
        <v>4</v>
      </c>
      <c r="L9">
        <v>1.175</v>
      </c>
    </row>
    <row r="10" spans="1:18" s="4" customFormat="1" ht="30" customHeight="1" x14ac:dyDescent="0.3">
      <c r="A10" s="20">
        <v>1</v>
      </c>
      <c r="B10" s="21" t="s">
        <v>34</v>
      </c>
      <c r="C10" s="22">
        <f>431*1.175</f>
        <v>506.42500000000001</v>
      </c>
      <c r="D10" s="23">
        <f>240*1.175</f>
        <v>282</v>
      </c>
      <c r="E10" s="23"/>
      <c r="F10" s="29">
        <f>C10*5%</f>
        <v>25.321250000000003</v>
      </c>
      <c r="G10" s="23">
        <f t="shared" ref="G10:G34" si="0">SUM(C10+D10+F10+E10)*10%</f>
        <v>81.374624999999995</v>
      </c>
      <c r="H10" s="24">
        <f>SUM(C10+D10+G10+F10+E10)*7.5%</f>
        <v>67.134065624999991</v>
      </c>
      <c r="I10" s="20" t="s">
        <v>10</v>
      </c>
      <c r="J10" s="20">
        <v>120</v>
      </c>
      <c r="K10" s="22">
        <f t="shared" ref="K10:K34" si="1">SUM(C10+D10+G10+H10+F10+E10)*J10</f>
        <v>115470.59287499999</v>
      </c>
      <c r="M10" s="18"/>
    </row>
    <row r="11" spans="1:18" s="4" customFormat="1" ht="42.75" customHeight="1" x14ac:dyDescent="0.3">
      <c r="A11" s="20">
        <v>2</v>
      </c>
      <c r="B11" s="21" t="s">
        <v>35</v>
      </c>
      <c r="C11" s="22">
        <f>69540*1.175</f>
        <v>81709.5</v>
      </c>
      <c r="D11" s="23">
        <f>15000*1.175</f>
        <v>17625</v>
      </c>
      <c r="E11" s="23">
        <v>0</v>
      </c>
      <c r="F11" s="23">
        <v>0</v>
      </c>
      <c r="G11" s="29">
        <f t="shared" si="0"/>
        <v>9933.4500000000007</v>
      </c>
      <c r="H11" s="24">
        <f t="shared" ref="H11:H16" si="2">SUM(C11+D11+G11+F11)*7.5%</f>
        <v>8195.0962499999987</v>
      </c>
      <c r="I11" s="20" t="s">
        <v>14</v>
      </c>
      <c r="J11" s="20">
        <v>1</v>
      </c>
      <c r="K11" s="22">
        <f t="shared" si="1"/>
        <v>117463.04625</v>
      </c>
    </row>
    <row r="12" spans="1:18" s="4" customFormat="1" ht="30" x14ac:dyDescent="0.3">
      <c r="A12" s="20">
        <v>3</v>
      </c>
      <c r="B12" s="21" t="s">
        <v>33</v>
      </c>
      <c r="C12" s="22">
        <f>12810*1.175</f>
        <v>15051.75</v>
      </c>
      <c r="D12" s="23">
        <f>2500*1.175</f>
        <v>2937.5</v>
      </c>
      <c r="E12" s="23"/>
      <c r="F12" s="23">
        <v>0</v>
      </c>
      <c r="G12" s="29">
        <f t="shared" si="0"/>
        <v>1798.9250000000002</v>
      </c>
      <c r="H12" s="24">
        <f t="shared" si="2"/>
        <v>1484.1131249999999</v>
      </c>
      <c r="I12" s="20" t="s">
        <v>21</v>
      </c>
      <c r="J12" s="20">
        <v>2</v>
      </c>
      <c r="K12" s="22">
        <f t="shared" si="1"/>
        <v>42544.576249999998</v>
      </c>
      <c r="M12" s="18"/>
      <c r="N12" s="18"/>
    </row>
    <row r="13" spans="1:18" s="4" customFormat="1" ht="30" x14ac:dyDescent="0.3">
      <c r="A13" s="20">
        <v>4</v>
      </c>
      <c r="B13" s="26" t="s">
        <v>43</v>
      </c>
      <c r="C13" s="22">
        <f>95*1.175</f>
        <v>111.625</v>
      </c>
      <c r="D13" s="23">
        <f>70*1.175</f>
        <v>82.25</v>
      </c>
      <c r="E13" s="23"/>
      <c r="F13" s="23">
        <v>0</v>
      </c>
      <c r="G13" s="29">
        <f t="shared" si="0"/>
        <v>19.387500000000003</v>
      </c>
      <c r="H13" s="24">
        <f t="shared" si="2"/>
        <v>15.994687499999998</v>
      </c>
      <c r="I13" s="20" t="s">
        <v>10</v>
      </c>
      <c r="J13" s="20">
        <v>65</v>
      </c>
      <c r="K13" s="22">
        <f t="shared" si="1"/>
        <v>14901.717187499999</v>
      </c>
      <c r="L13" s="18"/>
      <c r="M13" s="18"/>
    </row>
    <row r="14" spans="1:18" s="4" customFormat="1" ht="30" x14ac:dyDescent="0.3">
      <c r="A14" s="20">
        <v>5</v>
      </c>
      <c r="B14" s="21" t="s">
        <v>36</v>
      </c>
      <c r="C14" s="23">
        <f>640*1.175</f>
        <v>752</v>
      </c>
      <c r="D14" s="23">
        <f>120*1.175</f>
        <v>141</v>
      </c>
      <c r="E14" s="23"/>
      <c r="F14" s="29">
        <f>C14*5%</f>
        <v>37.6</v>
      </c>
      <c r="G14" s="23">
        <f t="shared" si="0"/>
        <v>93.06</v>
      </c>
      <c r="H14" s="24">
        <f t="shared" si="2"/>
        <v>76.774499999999989</v>
      </c>
      <c r="I14" s="20" t="s">
        <v>10</v>
      </c>
      <c r="J14" s="20">
        <v>120</v>
      </c>
      <c r="K14" s="22">
        <f t="shared" si="1"/>
        <v>132052.13999999998</v>
      </c>
    </row>
    <row r="15" spans="1:18" s="4" customFormat="1" ht="18.75" x14ac:dyDescent="0.3">
      <c r="A15" s="20">
        <v>6</v>
      </c>
      <c r="B15" s="21" t="s">
        <v>26</v>
      </c>
      <c r="C15" s="23">
        <f>1200*1.175</f>
        <v>1410</v>
      </c>
      <c r="D15" s="23">
        <f>400*1.175</f>
        <v>470</v>
      </c>
      <c r="E15" s="23"/>
      <c r="F15" s="23">
        <v>0</v>
      </c>
      <c r="G15" s="23">
        <f t="shared" si="0"/>
        <v>188</v>
      </c>
      <c r="H15" s="24">
        <f t="shared" si="2"/>
        <v>155.1</v>
      </c>
      <c r="I15" s="20" t="s">
        <v>21</v>
      </c>
      <c r="J15" s="20">
        <v>32</v>
      </c>
      <c r="K15" s="31">
        <f t="shared" si="1"/>
        <v>71139.199999999997</v>
      </c>
    </row>
    <row r="16" spans="1:18" s="4" customFormat="1" ht="30" x14ac:dyDescent="0.3">
      <c r="A16" s="20">
        <v>7</v>
      </c>
      <c r="B16" s="21" t="s">
        <v>27</v>
      </c>
      <c r="C16" s="23">
        <f>11000*1.175</f>
        <v>12925</v>
      </c>
      <c r="D16" s="23">
        <f>5000*1.175</f>
        <v>5875</v>
      </c>
      <c r="E16" s="23"/>
      <c r="F16" s="23">
        <v>0</v>
      </c>
      <c r="G16" s="23">
        <f t="shared" si="0"/>
        <v>1880</v>
      </c>
      <c r="H16" s="24">
        <f t="shared" si="2"/>
        <v>1551</v>
      </c>
      <c r="I16" s="20" t="s">
        <v>24</v>
      </c>
      <c r="J16" s="20">
        <v>2</v>
      </c>
      <c r="K16" s="22">
        <f t="shared" si="1"/>
        <v>44462</v>
      </c>
    </row>
    <row r="17" spans="1:14" s="4" customFormat="1" ht="30" x14ac:dyDescent="0.3">
      <c r="A17" s="20">
        <v>8</v>
      </c>
      <c r="B17" s="21" t="s">
        <v>15</v>
      </c>
      <c r="C17" s="22"/>
      <c r="D17" s="23"/>
      <c r="E17" s="23"/>
      <c r="F17" s="23">
        <v>0</v>
      </c>
      <c r="G17" s="23">
        <f t="shared" si="0"/>
        <v>0</v>
      </c>
      <c r="H17" s="24"/>
      <c r="I17" s="20"/>
      <c r="J17" s="20"/>
      <c r="K17" s="22">
        <f t="shared" si="1"/>
        <v>0</v>
      </c>
    </row>
    <row r="18" spans="1:14" s="4" customFormat="1" ht="16.5" customHeight="1" x14ac:dyDescent="0.3">
      <c r="A18" s="20" t="s">
        <v>31</v>
      </c>
      <c r="B18" s="21" t="s">
        <v>37</v>
      </c>
      <c r="C18" s="22">
        <f>6372*1.175</f>
        <v>7487.1</v>
      </c>
      <c r="D18" s="23">
        <f t="shared" ref="D18:D23" si="3">1500*1.175</f>
        <v>1762.5</v>
      </c>
      <c r="E18" s="23"/>
      <c r="F18" s="23">
        <v>0</v>
      </c>
      <c r="G18" s="29">
        <f t="shared" si="0"/>
        <v>924.96</v>
      </c>
      <c r="H18" s="24">
        <f t="shared" ref="H18:H28" si="4">SUM(C18+D18+G18+F18)*7.5%</f>
        <v>763.0920000000001</v>
      </c>
      <c r="I18" s="20" t="s">
        <v>21</v>
      </c>
      <c r="J18" s="20">
        <v>4</v>
      </c>
      <c r="K18" s="22">
        <f t="shared" si="1"/>
        <v>43750.608000000007</v>
      </c>
      <c r="M18" s="18"/>
      <c r="N18" s="25"/>
    </row>
    <row r="19" spans="1:14" s="4" customFormat="1" ht="16.5" customHeight="1" x14ac:dyDescent="0.3">
      <c r="A19" s="20" t="s">
        <v>31</v>
      </c>
      <c r="B19" s="21" t="s">
        <v>30</v>
      </c>
      <c r="C19" s="22">
        <f>4248*1.175</f>
        <v>4991.4000000000005</v>
      </c>
      <c r="D19" s="23">
        <f t="shared" si="3"/>
        <v>1762.5</v>
      </c>
      <c r="E19" s="23"/>
      <c r="F19" s="23">
        <v>0</v>
      </c>
      <c r="G19" s="29">
        <f t="shared" si="0"/>
        <v>675.3900000000001</v>
      </c>
      <c r="H19" s="24">
        <f t="shared" si="4"/>
        <v>557.19675000000007</v>
      </c>
      <c r="I19" s="20" t="s">
        <v>21</v>
      </c>
      <c r="J19" s="20">
        <v>2</v>
      </c>
      <c r="K19" s="22">
        <f t="shared" si="1"/>
        <v>15972.973500000002</v>
      </c>
      <c r="M19" s="18"/>
      <c r="N19" s="25"/>
    </row>
    <row r="20" spans="1:14" s="4" customFormat="1" ht="16.5" customHeight="1" x14ac:dyDescent="0.3">
      <c r="A20" s="20" t="s">
        <v>31</v>
      </c>
      <c r="B20" s="21" t="s">
        <v>38</v>
      </c>
      <c r="C20" s="22">
        <f>5664*1.175</f>
        <v>6655.2</v>
      </c>
      <c r="D20" s="23">
        <f t="shared" si="3"/>
        <v>1762.5</v>
      </c>
      <c r="E20" s="23"/>
      <c r="F20" s="23">
        <v>0</v>
      </c>
      <c r="G20" s="29">
        <f t="shared" si="0"/>
        <v>841.7700000000001</v>
      </c>
      <c r="H20" s="24">
        <f t="shared" si="4"/>
        <v>694.46025000000009</v>
      </c>
      <c r="I20" s="20" t="s">
        <v>21</v>
      </c>
      <c r="J20" s="20">
        <v>1</v>
      </c>
      <c r="K20" s="22">
        <f t="shared" si="1"/>
        <v>9953.9302500000013</v>
      </c>
      <c r="L20" s="30"/>
      <c r="M20" s="18"/>
      <c r="N20" s="25"/>
    </row>
    <row r="21" spans="1:14" s="4" customFormat="1" ht="16.5" customHeight="1" x14ac:dyDescent="0.3">
      <c r="A21" s="20" t="s">
        <v>31</v>
      </c>
      <c r="B21" s="21" t="s">
        <v>39</v>
      </c>
      <c r="C21" s="22">
        <f>9853*1.175</f>
        <v>11577.275</v>
      </c>
      <c r="D21" s="23">
        <f t="shared" si="3"/>
        <v>1762.5</v>
      </c>
      <c r="E21" s="23"/>
      <c r="F21" s="23">
        <v>0</v>
      </c>
      <c r="G21" s="29">
        <f t="shared" si="0"/>
        <v>1333.9775</v>
      </c>
      <c r="H21" s="24">
        <f t="shared" si="4"/>
        <v>1100.5314374999998</v>
      </c>
      <c r="I21" s="20" t="s">
        <v>21</v>
      </c>
      <c r="J21" s="20">
        <v>1</v>
      </c>
      <c r="K21" s="22">
        <f t="shared" si="1"/>
        <v>15774.283937499999</v>
      </c>
      <c r="M21" s="18"/>
      <c r="N21" s="25"/>
    </row>
    <row r="22" spans="1:14" s="4" customFormat="1" ht="16.5" customHeight="1" x14ac:dyDescent="0.3">
      <c r="A22" s="20" t="s">
        <v>31</v>
      </c>
      <c r="B22" s="21" t="s">
        <v>29</v>
      </c>
      <c r="C22" s="22">
        <f>2950*1.175</f>
        <v>3466.25</v>
      </c>
      <c r="D22" s="23">
        <f t="shared" si="3"/>
        <v>1762.5</v>
      </c>
      <c r="E22" s="23"/>
      <c r="F22" s="23">
        <v>0</v>
      </c>
      <c r="G22" s="29">
        <f t="shared" si="0"/>
        <v>522.875</v>
      </c>
      <c r="H22" s="24">
        <f t="shared" si="4"/>
        <v>431.37187499999999</v>
      </c>
      <c r="I22" s="20" t="s">
        <v>21</v>
      </c>
      <c r="J22" s="20">
        <v>2</v>
      </c>
      <c r="K22" s="22">
        <f t="shared" si="1"/>
        <v>12365.99375</v>
      </c>
      <c r="M22" s="18"/>
      <c r="N22" s="25"/>
    </row>
    <row r="23" spans="1:14" s="4" customFormat="1" ht="16.5" customHeight="1" x14ac:dyDescent="0.3">
      <c r="A23" s="20" t="s">
        <v>31</v>
      </c>
      <c r="B23" s="21" t="s">
        <v>16</v>
      </c>
      <c r="C23" s="22">
        <f>4956*1.175</f>
        <v>5823.3</v>
      </c>
      <c r="D23" s="23">
        <f t="shared" si="3"/>
        <v>1762.5</v>
      </c>
      <c r="E23" s="23"/>
      <c r="F23" s="23">
        <v>0</v>
      </c>
      <c r="G23" s="29">
        <f t="shared" si="0"/>
        <v>758.58</v>
      </c>
      <c r="H23" s="24">
        <f t="shared" si="4"/>
        <v>625.82850000000008</v>
      </c>
      <c r="I23" s="20" t="s">
        <v>21</v>
      </c>
      <c r="J23" s="20">
        <v>2</v>
      </c>
      <c r="K23" s="22">
        <f t="shared" si="1"/>
        <v>17940.417000000001</v>
      </c>
      <c r="M23" s="18"/>
      <c r="N23" s="25"/>
    </row>
    <row r="24" spans="1:14" s="4" customFormat="1" ht="16.5" customHeight="1" x14ac:dyDescent="0.3">
      <c r="A24" s="20" t="s">
        <v>31</v>
      </c>
      <c r="B24" s="21" t="s">
        <v>17</v>
      </c>
      <c r="C24" s="22">
        <f>6490*1.175</f>
        <v>7625.75</v>
      </c>
      <c r="D24" s="23">
        <f>15001.175</f>
        <v>15001.174999999999</v>
      </c>
      <c r="E24" s="23"/>
      <c r="F24" s="23">
        <v>0</v>
      </c>
      <c r="G24" s="29">
        <f t="shared" si="0"/>
        <v>2262.6925000000001</v>
      </c>
      <c r="H24" s="24">
        <f t="shared" si="4"/>
        <v>1866.7213124999998</v>
      </c>
      <c r="I24" s="20" t="s">
        <v>21</v>
      </c>
      <c r="J24" s="20">
        <v>2</v>
      </c>
      <c r="K24" s="22">
        <f t="shared" si="1"/>
        <v>53512.677624999997</v>
      </c>
      <c r="M24" s="18"/>
      <c r="N24" s="25"/>
    </row>
    <row r="25" spans="1:14" s="4" customFormat="1" ht="16.5" customHeight="1" x14ac:dyDescent="0.3">
      <c r="A25" s="20" t="s">
        <v>31</v>
      </c>
      <c r="B25" s="21" t="s">
        <v>20</v>
      </c>
      <c r="C25" s="22">
        <f>377*1.175</f>
        <v>442.97500000000002</v>
      </c>
      <c r="D25" s="23">
        <f>250*1.175</f>
        <v>293.75</v>
      </c>
      <c r="E25" s="23"/>
      <c r="F25" s="23">
        <v>0</v>
      </c>
      <c r="G25" s="29">
        <f t="shared" si="0"/>
        <v>73.672499999999999</v>
      </c>
      <c r="H25" s="24">
        <f t="shared" si="4"/>
        <v>60.779812499999998</v>
      </c>
      <c r="I25" s="20" t="s">
        <v>21</v>
      </c>
      <c r="J25" s="20">
        <v>2</v>
      </c>
      <c r="K25" s="22">
        <f t="shared" si="1"/>
        <v>1742.3546250000002</v>
      </c>
      <c r="M25" s="18"/>
      <c r="N25" s="25"/>
    </row>
    <row r="26" spans="1:14" s="4" customFormat="1" ht="16.5" customHeight="1" x14ac:dyDescent="0.3">
      <c r="A26" s="20" t="s">
        <v>31</v>
      </c>
      <c r="B26" s="21" t="s">
        <v>19</v>
      </c>
      <c r="C26" s="22">
        <f>767*1.175</f>
        <v>901.22500000000002</v>
      </c>
      <c r="D26" s="23">
        <f>250*1.175</f>
        <v>293.75</v>
      </c>
      <c r="E26" s="23"/>
      <c r="F26" s="23">
        <v>0</v>
      </c>
      <c r="G26" s="29">
        <f t="shared" si="0"/>
        <v>119.4975</v>
      </c>
      <c r="H26" s="24">
        <f t="shared" si="4"/>
        <v>98.585437499999983</v>
      </c>
      <c r="I26" s="20" t="s">
        <v>21</v>
      </c>
      <c r="J26" s="20">
        <v>2</v>
      </c>
      <c r="K26" s="22">
        <f t="shared" si="1"/>
        <v>2826.1158749999995</v>
      </c>
      <c r="M26" s="18"/>
      <c r="N26" s="25"/>
    </row>
    <row r="27" spans="1:14" s="4" customFormat="1" ht="16.5" customHeight="1" x14ac:dyDescent="0.3">
      <c r="A27" s="20" t="s">
        <v>31</v>
      </c>
      <c r="B27" s="21" t="s">
        <v>18</v>
      </c>
      <c r="C27" s="22">
        <f>708*1.175</f>
        <v>831.9</v>
      </c>
      <c r="D27" s="23">
        <f>250*1.175</f>
        <v>293.75</v>
      </c>
      <c r="E27" s="23"/>
      <c r="F27" s="23">
        <v>0</v>
      </c>
      <c r="G27" s="29">
        <f t="shared" si="0"/>
        <v>112.56500000000001</v>
      </c>
      <c r="H27" s="24">
        <f t="shared" si="4"/>
        <v>92.866125000000011</v>
      </c>
      <c r="I27" s="20" t="s">
        <v>21</v>
      </c>
      <c r="J27" s="20">
        <v>2</v>
      </c>
      <c r="K27" s="22">
        <f t="shared" si="1"/>
        <v>2662.1622500000003</v>
      </c>
      <c r="M27" s="18"/>
    </row>
    <row r="28" spans="1:14" s="4" customFormat="1" ht="16.5" customHeight="1" x14ac:dyDescent="0.3">
      <c r="A28" s="20" t="s">
        <v>31</v>
      </c>
      <c r="B28" s="21" t="s">
        <v>40</v>
      </c>
      <c r="C28" s="22">
        <f>11350*1.175</f>
        <v>13336.25</v>
      </c>
      <c r="D28" s="23">
        <f>2000*1.175</f>
        <v>2350</v>
      </c>
      <c r="E28" s="23"/>
      <c r="F28" s="23">
        <v>0</v>
      </c>
      <c r="G28" s="29">
        <f t="shared" si="0"/>
        <v>1568.625</v>
      </c>
      <c r="H28" s="24">
        <f t="shared" si="4"/>
        <v>1294.1156249999999</v>
      </c>
      <c r="I28" s="20" t="s">
        <v>21</v>
      </c>
      <c r="J28" s="20">
        <v>1</v>
      </c>
      <c r="K28" s="22">
        <f t="shared" si="1"/>
        <v>18548.990624999999</v>
      </c>
      <c r="M28" s="18"/>
      <c r="N28" s="25"/>
    </row>
    <row r="29" spans="1:14" s="4" customFormat="1" ht="30" x14ac:dyDescent="0.3">
      <c r="A29" s="20">
        <v>9</v>
      </c>
      <c r="B29" s="26" t="s">
        <v>28</v>
      </c>
      <c r="C29" s="22">
        <f>21090*1.175</f>
        <v>24780.75</v>
      </c>
      <c r="D29" s="23">
        <f>7500*1.175</f>
        <v>8812.5</v>
      </c>
      <c r="E29" s="23"/>
      <c r="F29" s="23">
        <v>0</v>
      </c>
      <c r="G29" s="29">
        <f t="shared" si="0"/>
        <v>3359.3250000000003</v>
      </c>
      <c r="H29" s="24">
        <f t="shared" ref="H29:H34" si="5">SUM(C29+D29+G29)*7.5%</f>
        <v>2771.4431249999998</v>
      </c>
      <c r="I29" s="20" t="s">
        <v>11</v>
      </c>
      <c r="J29" s="20">
        <v>1</v>
      </c>
      <c r="K29" s="22">
        <f t="shared" si="1"/>
        <v>39724.018124999995</v>
      </c>
      <c r="M29" s="18"/>
    </row>
    <row r="30" spans="1:14" s="4" customFormat="1" ht="30" x14ac:dyDescent="0.3">
      <c r="A30" s="20">
        <v>10</v>
      </c>
      <c r="B30" s="21" t="s">
        <v>41</v>
      </c>
      <c r="C30" s="22">
        <f>715*1.175</f>
        <v>840.125</v>
      </c>
      <c r="D30" s="23">
        <f>80*1.175</f>
        <v>94</v>
      </c>
      <c r="E30" s="23"/>
      <c r="F30" s="23">
        <v>0</v>
      </c>
      <c r="G30" s="29">
        <f t="shared" si="0"/>
        <v>93.412500000000009</v>
      </c>
      <c r="H30" s="24">
        <f t="shared" si="5"/>
        <v>77.06531249999999</v>
      </c>
      <c r="I30" s="20" t="s">
        <v>10</v>
      </c>
      <c r="J30" s="20">
        <v>70</v>
      </c>
      <c r="K30" s="22">
        <f t="shared" si="1"/>
        <v>77322.19687499998</v>
      </c>
      <c r="M30" s="18"/>
    </row>
    <row r="31" spans="1:14" s="4" customFormat="1" ht="30" x14ac:dyDescent="0.3">
      <c r="A31" s="20">
        <v>11</v>
      </c>
      <c r="B31" s="21" t="s">
        <v>22</v>
      </c>
      <c r="C31" s="22">
        <f>10000*1.175</f>
        <v>11750</v>
      </c>
      <c r="D31" s="23">
        <f>5000*1.175</f>
        <v>5875</v>
      </c>
      <c r="E31" s="23"/>
      <c r="F31" s="23">
        <v>0</v>
      </c>
      <c r="G31" s="29">
        <f t="shared" si="0"/>
        <v>1762.5</v>
      </c>
      <c r="H31" s="24">
        <f t="shared" si="5"/>
        <v>1454.0625</v>
      </c>
      <c r="I31" s="20" t="s">
        <v>11</v>
      </c>
      <c r="J31" s="20">
        <v>1</v>
      </c>
      <c r="K31" s="22">
        <f t="shared" si="1"/>
        <v>20841.5625</v>
      </c>
    </row>
    <row r="32" spans="1:14" s="4" customFormat="1" ht="45" x14ac:dyDescent="0.3">
      <c r="A32" s="20">
        <v>12</v>
      </c>
      <c r="B32" s="21" t="s">
        <v>42</v>
      </c>
      <c r="C32" s="22">
        <f>30000*1.175</f>
        <v>35250</v>
      </c>
      <c r="D32" s="23">
        <f>10000*1.175</f>
        <v>11750</v>
      </c>
      <c r="E32" s="23"/>
      <c r="F32" s="23">
        <v>0</v>
      </c>
      <c r="G32" s="23">
        <f t="shared" si="0"/>
        <v>4700</v>
      </c>
      <c r="H32" s="24">
        <f t="shared" si="5"/>
        <v>3877.5</v>
      </c>
      <c r="I32" s="20" t="s">
        <v>11</v>
      </c>
      <c r="J32" s="20">
        <v>1</v>
      </c>
      <c r="K32" s="31">
        <f t="shared" si="1"/>
        <v>55577.5</v>
      </c>
    </row>
    <row r="33" spans="1:13" s="4" customFormat="1" ht="30" x14ac:dyDescent="0.3">
      <c r="A33" s="20">
        <v>13</v>
      </c>
      <c r="B33" s="21" t="s">
        <v>23</v>
      </c>
      <c r="C33" s="22">
        <v>0</v>
      </c>
      <c r="D33" s="23">
        <f>15000*1.175</f>
        <v>17625</v>
      </c>
      <c r="E33" s="23"/>
      <c r="F33" s="23">
        <v>0</v>
      </c>
      <c r="G33" s="29">
        <f t="shared" si="0"/>
        <v>1762.5</v>
      </c>
      <c r="H33" s="24">
        <f t="shared" si="5"/>
        <v>1454.0625</v>
      </c>
      <c r="I33" s="20" t="s">
        <v>11</v>
      </c>
      <c r="J33" s="20">
        <v>1</v>
      </c>
      <c r="K33" s="22">
        <f t="shared" si="1"/>
        <v>20841.5625</v>
      </c>
    </row>
    <row r="34" spans="1:13" ht="30" x14ac:dyDescent="0.25">
      <c r="A34" s="20">
        <v>14</v>
      </c>
      <c r="B34" s="21" t="s">
        <v>25</v>
      </c>
      <c r="C34" s="22">
        <v>0</v>
      </c>
      <c r="D34" s="23">
        <f>35000*1.175</f>
        <v>41125</v>
      </c>
      <c r="E34" s="23"/>
      <c r="F34" s="23">
        <v>0</v>
      </c>
      <c r="G34" s="29">
        <f t="shared" si="0"/>
        <v>4112.5</v>
      </c>
      <c r="H34" s="24">
        <f t="shared" si="5"/>
        <v>3392.8125</v>
      </c>
      <c r="I34" s="20" t="s">
        <v>11</v>
      </c>
      <c r="J34" s="20">
        <v>1</v>
      </c>
      <c r="K34" s="22">
        <f t="shared" si="1"/>
        <v>48630.3125</v>
      </c>
    </row>
    <row r="35" spans="1:13" ht="23.25" x14ac:dyDescent="0.35">
      <c r="A35" s="34" t="s">
        <v>12</v>
      </c>
      <c r="B35" s="34"/>
      <c r="C35" s="34"/>
      <c r="D35" s="34"/>
      <c r="E35" s="34"/>
      <c r="F35" s="34"/>
      <c r="G35" s="34"/>
      <c r="H35" s="34"/>
      <c r="I35" s="34"/>
      <c r="J35" s="34"/>
      <c r="K35" s="19">
        <f>SUM(K10:K34)</f>
        <v>996020.93249999988</v>
      </c>
      <c r="L35" s="35" t="s">
        <v>47</v>
      </c>
      <c r="M35">
        <v>821031</v>
      </c>
    </row>
    <row r="36" spans="1:13" s="4" customFormat="1" ht="18.75" x14ac:dyDescent="0.3">
      <c r="A36" s="11" t="s">
        <v>5</v>
      </c>
      <c r="B36" s="12"/>
      <c r="C36" s="13"/>
      <c r="D36" s="13"/>
      <c r="E36" s="13"/>
      <c r="F36" s="13"/>
      <c r="G36" s="13"/>
      <c r="H36" s="14"/>
      <c r="I36" s="13"/>
      <c r="J36" s="13"/>
      <c r="K36" s="14"/>
      <c r="M36" s="4">
        <f>M35*1.175</f>
        <v>964711.42500000005</v>
      </c>
    </row>
    <row r="37" spans="1:13" s="4" customFormat="1" ht="0.75" customHeight="1" x14ac:dyDescent="0.3">
      <c r="A37" s="11"/>
      <c r="B37" s="11"/>
      <c r="C37" s="13"/>
      <c r="D37" s="13"/>
      <c r="E37" s="13"/>
      <c r="F37" s="13"/>
      <c r="G37" s="13"/>
      <c r="H37" s="14"/>
      <c r="I37" s="13"/>
      <c r="J37" s="13"/>
      <c r="K37" s="14"/>
      <c r="M37" s="10"/>
    </row>
    <row r="38" spans="1:13" s="4" customFormat="1" ht="18.75" x14ac:dyDescent="0.3">
      <c r="A38" s="15" t="s">
        <v>8</v>
      </c>
      <c r="B38" s="16"/>
      <c r="C38" s="13"/>
      <c r="D38" s="13"/>
      <c r="E38" s="13"/>
      <c r="F38" s="13"/>
      <c r="G38" s="13"/>
      <c r="H38" s="14"/>
      <c r="I38" s="13"/>
      <c r="J38" s="13"/>
      <c r="K38" s="14"/>
      <c r="M38" s="10"/>
    </row>
    <row r="39" spans="1:13" x14ac:dyDescent="0.25">
      <c r="M39" s="1"/>
    </row>
    <row r="40" spans="1:13" x14ac:dyDescent="0.25">
      <c r="M40" s="1"/>
    </row>
    <row r="41" spans="1:13" x14ac:dyDescent="0.25">
      <c r="M41" s="5"/>
    </row>
  </sheetData>
  <mergeCells count="3">
    <mergeCell ref="A7:K7"/>
    <mergeCell ref="O7:Q7"/>
    <mergeCell ref="A35:J35"/>
  </mergeCells>
  <printOptions horizontalCentered="1"/>
  <pageMargins left="0" right="0" top="0" bottom="0.75" header="0.3" footer="0.3"/>
  <pageSetup paperSize="9" scale="82" orientation="portrait" r:id="rId1"/>
  <headerFooter alignWithMargins="0"/>
  <rowBreaks count="1" manualBreakCount="1">
    <brk id="41" max="1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D1FE4F9-7C1F-41E7-B523-5651BFB84E5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2024-08-07T15:16:47Z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{0D1FE4F9-7C1F-41E7-B523-5651BFB84E58}</vt:lpwstr>
  </property>
</Properties>
</file>