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68F72721-7A42-4252-A36D-BFAE54DA4AC6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Record'!$A$577:$L$700</definedName>
    <definedName name="_xlnm.Print_Area" localSheetId="0">'Salary Sheets'!$A$1:$Q$79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R59" i="1" l="1"/>
  <c r="S66" i="1"/>
  <c r="V651" i="8"/>
  <c r="I58" i="8"/>
  <c r="R170" i="8"/>
  <c r="R169" i="8"/>
  <c r="R168" i="8"/>
  <c r="R167" i="8"/>
  <c r="V153" i="8"/>
  <c r="V214" i="8" l="1"/>
  <c r="K69" i="8"/>
  <c r="K9" i="8"/>
  <c r="E42" i="13"/>
  <c r="E41" i="13"/>
  <c r="R288" i="8"/>
  <c r="R289" i="8" s="1"/>
  <c r="R290" i="8" s="1"/>
  <c r="R184" i="8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R575" i="8" l="1"/>
  <c r="R574" i="8"/>
  <c r="V123" i="8"/>
  <c r="R65" i="8"/>
  <c r="R140" i="8" l="1"/>
  <c r="R139" i="8"/>
  <c r="R125" i="8"/>
  <c r="R124" i="8"/>
  <c r="R95" i="8" l="1"/>
  <c r="R94" i="8"/>
  <c r="R395" i="8" l="1"/>
  <c r="R394" i="8"/>
  <c r="R379" i="8"/>
  <c r="R380" i="8" s="1"/>
  <c r="R365" i="8"/>
  <c r="R364" i="8"/>
  <c r="R335" i="8"/>
  <c r="R334" i="8"/>
  <c r="E30" i="13"/>
  <c r="R350" i="8"/>
  <c r="R349" i="8"/>
  <c r="V619" i="8" l="1"/>
  <c r="V213" i="8"/>
  <c r="V63" i="8" l="1"/>
  <c r="U728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C257" i="8"/>
  <c r="U257" i="8"/>
  <c r="W257" i="8" s="1"/>
  <c r="Y257" i="8" s="1"/>
  <c r="U258" i="8" s="1"/>
  <c r="W258" i="8" s="1"/>
  <c r="Y258" i="8" s="1"/>
  <c r="U843" i="8"/>
  <c r="W843" i="8" s="1"/>
  <c r="Y843" i="8" s="1"/>
  <c r="U844" i="8" s="1"/>
  <c r="W844" i="8" s="1"/>
  <c r="Y844" i="8" s="1"/>
  <c r="W842" i="8"/>
  <c r="Y842" i="8" s="1"/>
  <c r="R844" i="8"/>
  <c r="C77" i="8"/>
  <c r="W62" i="8"/>
  <c r="Y62" i="8" s="1"/>
  <c r="U63" i="8" s="1"/>
  <c r="W63" i="8" s="1"/>
  <c r="Y63" i="8" s="1"/>
  <c r="U64" i="8" s="1"/>
  <c r="W64" i="8" s="1"/>
  <c r="Y64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V83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U20" i="8"/>
  <c r="W20" i="8" s="1"/>
  <c r="Y20" i="8" s="1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K324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20" i="8"/>
  <c r="W14" i="8" l="1"/>
  <c r="V205" i="8"/>
  <c r="V115" i="8"/>
  <c r="K204" i="8"/>
  <c r="K564" i="8"/>
  <c r="Y14" i="8" l="1"/>
  <c r="R836" i="8"/>
  <c r="R838" i="8"/>
  <c r="R839" i="8" s="1"/>
  <c r="R840" i="8" s="1"/>
  <c r="C842" i="8" s="1"/>
  <c r="R845" i="8"/>
  <c r="R462" i="8"/>
  <c r="R463" i="8" s="1"/>
  <c r="R464" i="8" s="1"/>
  <c r="R465" i="8" s="1"/>
  <c r="R466" i="8" s="1"/>
  <c r="R469" i="8"/>
  <c r="R470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R226" i="8" l="1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C347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U16" i="8" l="1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85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410" i="8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145" i="8"/>
  <c r="R146" i="8" s="1"/>
  <c r="R147" i="8" s="1"/>
  <c r="R148" i="8" s="1"/>
  <c r="R149" i="8" s="1"/>
  <c r="R150" i="8" s="1"/>
  <c r="R155" i="8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14" i="8"/>
  <c r="R115" i="8" s="1"/>
  <c r="R116" i="8" s="1"/>
  <c r="R117" i="8" s="1"/>
  <c r="R118" i="8" s="1"/>
  <c r="R119" i="8" s="1"/>
  <c r="R120" i="8" s="1"/>
  <c r="R560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I178" i="8" s="1"/>
  <c r="K178" i="8" s="1"/>
  <c r="C572" i="8"/>
  <c r="C137" i="8"/>
  <c r="R121" i="8"/>
  <c r="R122" i="8" s="1"/>
  <c r="R123" i="8" s="1"/>
  <c r="C122" i="8"/>
  <c r="R166" i="8"/>
  <c r="C167" i="8" s="1"/>
  <c r="R406" i="8"/>
  <c r="W204" i="8"/>
  <c r="R392" i="8" l="1"/>
  <c r="R393" i="8" s="1"/>
  <c r="C392" i="8" s="1"/>
  <c r="C362" i="8"/>
  <c r="R362" i="8"/>
  <c r="R363" i="8" s="1"/>
  <c r="R332" i="8"/>
  <c r="R333" i="8" s="1"/>
  <c r="C332" i="8" s="1"/>
  <c r="R154" i="8"/>
  <c r="R152" i="8"/>
  <c r="R153" i="8" s="1"/>
  <c r="R92" i="8"/>
  <c r="R93" i="8" s="1"/>
  <c r="C92" i="8" s="1"/>
  <c r="U18" i="8"/>
  <c r="R409" i="8"/>
  <c r="R407" i="8"/>
  <c r="R408" i="8" s="1"/>
  <c r="C407" i="8"/>
  <c r="C152" i="8"/>
  <c r="I148" i="8" s="1"/>
  <c r="W18" i="8" l="1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G13" i="8"/>
  <c r="N16" i="12"/>
  <c r="Y19" i="8" l="1"/>
  <c r="G17" i="8" s="1"/>
  <c r="G15" i="8"/>
  <c r="L16" i="12"/>
  <c r="M16" i="12" l="1"/>
  <c r="J16" i="12" l="1"/>
  <c r="I16" i="12"/>
  <c r="H16" i="12"/>
  <c r="G16" i="12"/>
  <c r="F16" i="12"/>
  <c r="E16" i="12"/>
  <c r="D16" i="12"/>
  <c r="C16" i="12"/>
  <c r="B16" i="12"/>
  <c r="K16" i="12"/>
  <c r="R596" i="8" l="1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C62" i="8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834" i="8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W720" i="8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841" i="8"/>
  <c r="Y841" i="8" s="1"/>
  <c r="G842" i="8" s="1"/>
  <c r="U481" i="8"/>
  <c r="W481" i="8" s="1"/>
  <c r="Y481" i="8" s="1"/>
  <c r="U538" i="8"/>
  <c r="W538" i="8" s="1"/>
  <c r="Y538" i="8" s="1"/>
  <c r="U724" i="8"/>
  <c r="W724" i="8" s="1"/>
  <c r="Y724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845" i="8"/>
  <c r="Y845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U512" i="8" l="1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25" i="8"/>
  <c r="W725" i="8" s="1"/>
  <c r="Y725" i="8" s="1"/>
  <c r="U726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26" i="8"/>
  <c r="Y726" i="8" s="1"/>
  <c r="U727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27" i="8"/>
  <c r="Y727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185" i="8"/>
  <c r="Y185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28" i="8"/>
  <c r="Y728" i="8" s="1"/>
  <c r="U729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W335" i="8" s="1"/>
  <c r="Y335" i="8" s="1"/>
  <c r="U182" i="8"/>
  <c r="W182" i="8" s="1"/>
  <c r="Y182" i="8" s="1"/>
  <c r="W543" i="8"/>
  <c r="Y543" i="8" s="1"/>
  <c r="W729" i="8"/>
  <c r="Y729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63" i="8" l="1"/>
  <c r="W363" i="8" s="1"/>
  <c r="Y363" i="8" s="1"/>
  <c r="U364" i="8" s="1"/>
  <c r="W364" i="8" s="1"/>
  <c r="Y364" i="8" s="1"/>
  <c r="W365" i="8" s="1"/>
  <c r="Y365" i="8" s="1"/>
  <c r="G332" i="8"/>
  <c r="U183" i="8"/>
  <c r="W183" i="8" s="1"/>
  <c r="Y183" i="8" s="1"/>
  <c r="U184" i="8" s="1"/>
  <c r="W184" i="8" s="1"/>
  <c r="Y184" i="8" s="1"/>
  <c r="G182" i="8" s="1"/>
  <c r="U544" i="8"/>
  <c r="W544" i="8" s="1"/>
  <c r="Y544" i="8" s="1"/>
  <c r="W545" i="8" s="1"/>
  <c r="Y545" i="8" s="1"/>
  <c r="U730" i="8"/>
  <c r="W730" i="8" s="1"/>
  <c r="Y730" i="8" s="1"/>
  <c r="U731" i="8" s="1"/>
  <c r="W731" i="8" s="1"/>
  <c r="Y731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G618" i="8" s="1"/>
  <c r="H42" i="1"/>
  <c r="E42" i="1"/>
  <c r="B42" i="1"/>
  <c r="G728" i="8" l="1"/>
  <c r="G542" i="8"/>
  <c r="U605" i="8"/>
  <c r="W605" i="8" s="1"/>
  <c r="Y605" i="8" s="1"/>
  <c r="W606" i="8" s="1"/>
  <c r="Y606" i="8" s="1"/>
  <c r="U529" i="8"/>
  <c r="W529" i="8" s="1"/>
  <c r="Y529" i="8" s="1"/>
  <c r="U409" i="8"/>
  <c r="W409" i="8" s="1"/>
  <c r="Y409" i="8" s="1"/>
  <c r="W410" i="8" s="1"/>
  <c r="Y410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03" i="8" l="1"/>
  <c r="U274" i="8"/>
  <c r="W274" i="8" s="1"/>
  <c r="Y274" i="8" s="1"/>
  <c r="G272" i="8" s="1"/>
  <c r="W530" i="8"/>
  <c r="Y530" i="8" s="1"/>
  <c r="G527" i="8"/>
  <c r="G40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U424" i="8"/>
  <c r="W424" i="8" s="1"/>
  <c r="Y424" i="8" s="1"/>
  <c r="W425" i="8" s="1"/>
  <c r="Y425" i="8" s="1"/>
  <c r="U394" i="8"/>
  <c r="W394" i="8" s="1"/>
  <c r="Y394" i="8" s="1"/>
  <c r="G392" i="8" s="1"/>
  <c r="U319" i="8"/>
  <c r="W319" i="8" s="1"/>
  <c r="Y319" i="8" s="1"/>
  <c r="W320" i="8" s="1"/>
  <c r="Y320" i="8" s="1"/>
  <c r="W94" i="8"/>
  <c r="Y94" i="8" s="1"/>
  <c r="G92" i="8" s="1"/>
  <c r="W574" i="8"/>
  <c r="Y574" i="8" s="1"/>
  <c r="G572" i="8" s="1"/>
  <c r="W275" i="8"/>
  <c r="Y275" i="8" s="1"/>
  <c r="G317" i="8" l="1"/>
  <c r="G422" i="8"/>
  <c r="W395" i="8"/>
  <c r="Y395" i="8" s="1"/>
  <c r="W95" i="8"/>
  <c r="Y95" i="8" s="1"/>
  <c r="W575" i="8"/>
  <c r="Y575" i="8" s="1"/>
  <c r="K329" i="8" l="1"/>
  <c r="B55" i="1" l="1"/>
  <c r="W299" i="8" l="1"/>
  <c r="R235" i="8" l="1"/>
  <c r="K839" i="8" l="1"/>
  <c r="B49" i="1" l="1"/>
  <c r="R309" i="8" l="1"/>
  <c r="R310" i="8" s="1"/>
  <c r="R311" i="8" l="1"/>
  <c r="R312" i="8" s="1"/>
  <c r="R313" i="8" s="1"/>
  <c r="R314" i="8" s="1"/>
  <c r="R315" i="8" s="1"/>
  <c r="B72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4" i="1" s="1"/>
  <c r="G419" i="8"/>
  <c r="M74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C76" i="8"/>
  <c r="G14" i="1" s="1"/>
  <c r="C75" i="8"/>
  <c r="I73" i="8" s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77" i="8"/>
  <c r="W777" i="8" s="1"/>
  <c r="Y777" i="8" s="1"/>
  <c r="R776" i="8"/>
  <c r="R773" i="8"/>
  <c r="G773" i="8"/>
  <c r="K773" i="8" s="1"/>
  <c r="C773" i="8"/>
  <c r="C772" i="8"/>
  <c r="K771" i="8"/>
  <c r="G771" i="8"/>
  <c r="R768" i="8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5" i="8"/>
  <c r="G765" i="8"/>
  <c r="U761" i="8"/>
  <c r="W761" i="8" s="1"/>
  <c r="Y761" i="8" s="1"/>
  <c r="R761" i="8"/>
  <c r="R760" i="8"/>
  <c r="R759" i="8"/>
  <c r="U758" i="8"/>
  <c r="W758" i="8" s="1"/>
  <c r="Y758" i="8" s="1"/>
  <c r="U759" i="8" s="1"/>
  <c r="W759" i="8" s="1"/>
  <c r="Y759" i="8" s="1"/>
  <c r="U760" i="8" s="1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H749" i="8"/>
  <c r="G749" i="8"/>
  <c r="G841" i="8"/>
  <c r="K841" i="8" s="1"/>
  <c r="C841" i="8"/>
  <c r="G86" i="1" s="1"/>
  <c r="C840" i="8"/>
  <c r="F86" i="1" s="1"/>
  <c r="G839" i="8"/>
  <c r="M86" i="1" s="1"/>
  <c r="H833" i="8"/>
  <c r="G833" i="8"/>
  <c r="G181" i="8"/>
  <c r="K181" i="8" s="1"/>
  <c r="C181" i="8"/>
  <c r="C180" i="8"/>
  <c r="F40" i="1" s="1"/>
  <c r="K179" i="8"/>
  <c r="J40" i="1" s="1"/>
  <c r="G179" i="8"/>
  <c r="M40" i="1" s="1"/>
  <c r="H173" i="8"/>
  <c r="G173" i="8"/>
  <c r="R746" i="8"/>
  <c r="R745" i="8"/>
  <c r="R744" i="8"/>
  <c r="R743" i="8"/>
  <c r="R742" i="8"/>
  <c r="G742" i="8"/>
  <c r="K742" i="8" s="1"/>
  <c r="C742" i="8"/>
  <c r="R741" i="8"/>
  <c r="C741" i="8"/>
  <c r="R740" i="8"/>
  <c r="K740" i="8"/>
  <c r="G740" i="8"/>
  <c r="R739" i="8"/>
  <c r="K739" i="8"/>
  <c r="R738" i="8"/>
  <c r="W737" i="8"/>
  <c r="Y737" i="8" s="1"/>
  <c r="W738" i="8" s="1"/>
  <c r="Y738" i="8" s="1"/>
  <c r="W739" i="8" s="1"/>
  <c r="Y739" i="8" s="1"/>
  <c r="W740" i="8" s="1"/>
  <c r="Y740" i="8" s="1"/>
  <c r="W741" i="8" s="1"/>
  <c r="Y741" i="8" s="1"/>
  <c r="W742" i="8" s="1"/>
  <c r="Y742" i="8" s="1"/>
  <c r="W743" i="8" s="1"/>
  <c r="Y743" i="8" s="1"/>
  <c r="W744" i="8" s="1"/>
  <c r="Y744" i="8" s="1"/>
  <c r="R737" i="8"/>
  <c r="W736" i="8"/>
  <c r="Y736" i="8" s="1"/>
  <c r="R736" i="8"/>
  <c r="W735" i="8"/>
  <c r="Y735" i="8" s="1"/>
  <c r="H734" i="8"/>
  <c r="G734" i="8"/>
  <c r="U715" i="8"/>
  <c r="W715" i="8" s="1"/>
  <c r="Y715" i="8" s="1"/>
  <c r="R715" i="8"/>
  <c r="R714" i="8"/>
  <c r="R713" i="8"/>
  <c r="U712" i="8"/>
  <c r="W712" i="8" s="1"/>
  <c r="Y712" i="8" s="1"/>
  <c r="U713" i="8" s="1"/>
  <c r="W713" i="8" s="1"/>
  <c r="Y713" i="8" s="1"/>
  <c r="U714" i="8" s="1"/>
  <c r="R712" i="8"/>
  <c r="R711" i="8"/>
  <c r="G711" i="8"/>
  <c r="K711" i="8" s="1"/>
  <c r="C711" i="8"/>
  <c r="R710" i="8"/>
  <c r="C710" i="8"/>
  <c r="R709" i="8"/>
  <c r="K709" i="8"/>
  <c r="G709" i="8"/>
  <c r="R708" i="8"/>
  <c r="K708" i="8"/>
  <c r="R707" i="8"/>
  <c r="R706" i="8"/>
  <c r="R705" i="8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H703" i="8"/>
  <c r="G703" i="8"/>
  <c r="R696" i="8"/>
  <c r="G695" i="8"/>
  <c r="C695" i="8"/>
  <c r="G70" i="1" s="1"/>
  <c r="C694" i="8"/>
  <c r="F70" i="1" s="1"/>
  <c r="R693" i="8"/>
  <c r="K693" i="8"/>
  <c r="J70" i="1" s="1"/>
  <c r="G693" i="8"/>
  <c r="M70" i="1" s="1"/>
  <c r="R690" i="8"/>
  <c r="R689" i="8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H687" i="8"/>
  <c r="G687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3" i="1" s="1"/>
  <c r="C406" i="8"/>
  <c r="C405" i="8"/>
  <c r="K404" i="8"/>
  <c r="J73" i="1" s="1"/>
  <c r="G404" i="8"/>
  <c r="M73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R588" i="8"/>
  <c r="G586" i="8"/>
  <c r="K586" i="8" s="1"/>
  <c r="C586" i="8"/>
  <c r="G64" i="1" s="1"/>
  <c r="C585" i="8"/>
  <c r="F64" i="1" s="1"/>
  <c r="R584" i="8"/>
  <c r="K584" i="8"/>
  <c r="J64" i="1" s="1"/>
  <c r="G584" i="8"/>
  <c r="M64" i="1" s="1"/>
  <c r="R580" i="8"/>
  <c r="H578" i="8"/>
  <c r="G578" i="8"/>
  <c r="U826" i="8"/>
  <c r="W826" i="8" s="1"/>
  <c r="Y826" i="8" s="1"/>
  <c r="R826" i="8"/>
  <c r="R825" i="8"/>
  <c r="R824" i="8"/>
  <c r="R823" i="8"/>
  <c r="R822" i="8"/>
  <c r="G822" i="8"/>
  <c r="K822" i="8" s="1"/>
  <c r="C822" i="8"/>
  <c r="R821" i="8"/>
  <c r="C821" i="8"/>
  <c r="R820" i="8"/>
  <c r="G820" i="8"/>
  <c r="R819" i="8"/>
  <c r="K819" i="8"/>
  <c r="K821" i="8" s="1"/>
  <c r="R818" i="8"/>
  <c r="R817" i="8"/>
  <c r="R816" i="8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R815" i="8"/>
  <c r="H814" i="8"/>
  <c r="G814" i="8"/>
  <c r="G806" i="8"/>
  <c r="K806" i="8" s="1"/>
  <c r="C806" i="8"/>
  <c r="G90" i="1" s="1"/>
  <c r="C805" i="8"/>
  <c r="F90" i="1" s="1"/>
  <c r="K804" i="8"/>
  <c r="J90" i="1" s="1"/>
  <c r="G804" i="8"/>
  <c r="M90" i="1" s="1"/>
  <c r="R799" i="8"/>
  <c r="R800" i="8" s="1"/>
  <c r="R801" i="8" s="1"/>
  <c r="H798" i="8"/>
  <c r="G798" i="8"/>
  <c r="R731" i="8"/>
  <c r="G727" i="8"/>
  <c r="K727" i="8" s="1"/>
  <c r="C727" i="8"/>
  <c r="G85" i="1" s="1"/>
  <c r="R726" i="8"/>
  <c r="C728" i="8" s="1"/>
  <c r="C726" i="8"/>
  <c r="F85" i="1" s="1"/>
  <c r="K725" i="8"/>
  <c r="J85" i="1" s="1"/>
  <c r="G725" i="8"/>
  <c r="M85" i="1" s="1"/>
  <c r="R723" i="8"/>
  <c r="H719" i="8"/>
  <c r="G719" i="8"/>
  <c r="U794" i="8"/>
  <c r="W794" i="8" s="1"/>
  <c r="Y794" i="8" s="1"/>
  <c r="R794" i="8"/>
  <c r="R793" i="8"/>
  <c r="R792" i="8"/>
  <c r="U791" i="8"/>
  <c r="W791" i="8" s="1"/>
  <c r="Y791" i="8" s="1"/>
  <c r="U792" i="8" s="1"/>
  <c r="W792" i="8" s="1"/>
  <c r="Y792" i="8" s="1"/>
  <c r="U793" i="8" s="1"/>
  <c r="R791" i="8"/>
  <c r="R790" i="8"/>
  <c r="G790" i="8"/>
  <c r="K790" i="8" s="1"/>
  <c r="C790" i="8"/>
  <c r="R789" i="8"/>
  <c r="C789" i="8"/>
  <c r="R788" i="8"/>
  <c r="K788" i="8"/>
  <c r="G788" i="8"/>
  <c r="R787" i="8"/>
  <c r="R786" i="8"/>
  <c r="R785" i="8"/>
  <c r="R784" i="8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H782" i="8"/>
  <c r="G782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5" i="1" s="1"/>
  <c r="K194" i="8"/>
  <c r="J75" i="1" s="1"/>
  <c r="G194" i="8"/>
  <c r="M75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F58" i="1" s="1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6" i="1" s="1"/>
  <c r="C150" i="8"/>
  <c r="K149" i="8"/>
  <c r="J76" i="1" s="1"/>
  <c r="G149" i="8"/>
  <c r="M76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1" i="1" s="1"/>
  <c r="C120" i="8"/>
  <c r="I118" i="8" s="1"/>
  <c r="K119" i="8"/>
  <c r="J71" i="1" s="1"/>
  <c r="G119" i="8"/>
  <c r="M71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2" i="1" s="1"/>
  <c r="J72" i="1"/>
  <c r="G554" i="8"/>
  <c r="M72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3" i="1"/>
  <c r="E73" i="1"/>
  <c r="B73" i="1"/>
  <c r="H61" i="1"/>
  <c r="E61" i="1"/>
  <c r="B61" i="1"/>
  <c r="H90" i="1"/>
  <c r="E90" i="1"/>
  <c r="J86" i="1"/>
  <c r="H86" i="1"/>
  <c r="E86" i="1"/>
  <c r="B86" i="1"/>
  <c r="H69" i="1"/>
  <c r="E69" i="1"/>
  <c r="H33" i="1"/>
  <c r="E33" i="1"/>
  <c r="B33" i="1"/>
  <c r="H57" i="1"/>
  <c r="E57" i="1"/>
  <c r="H49" i="1"/>
  <c r="E49" i="1"/>
  <c r="H75" i="1"/>
  <c r="E75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5" i="1"/>
  <c r="E85" i="1"/>
  <c r="B85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6" i="1"/>
  <c r="E76" i="1"/>
  <c r="H74" i="1"/>
  <c r="E74" i="1"/>
  <c r="B74" i="1"/>
  <c r="H39" i="1"/>
  <c r="E39" i="1"/>
  <c r="H38" i="1"/>
  <c r="E38" i="1"/>
  <c r="H71" i="1"/>
  <c r="E71" i="1"/>
  <c r="B71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2" i="1"/>
  <c r="E72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E66" i="1" l="1"/>
  <c r="C774" i="8"/>
  <c r="R440" i="8"/>
  <c r="C437" i="8"/>
  <c r="I433" i="8" s="1"/>
  <c r="J66" i="1"/>
  <c r="C681" i="8"/>
  <c r="I677" i="8" s="1"/>
  <c r="K677" i="8" s="1"/>
  <c r="K679" i="8" s="1"/>
  <c r="K681" i="8" s="1"/>
  <c r="G72" i="1"/>
  <c r="I553" i="8"/>
  <c r="I72" i="1" s="1"/>
  <c r="G56" i="1"/>
  <c r="K283" i="8"/>
  <c r="K285" i="8" s="1"/>
  <c r="K287" i="8" s="1"/>
  <c r="G60" i="1"/>
  <c r="I599" i="8"/>
  <c r="G39" i="1"/>
  <c r="I568" i="8"/>
  <c r="I661" i="8"/>
  <c r="G61" i="1"/>
  <c r="I253" i="8"/>
  <c r="K253" i="8" s="1"/>
  <c r="K255" i="8" s="1"/>
  <c r="K257" i="8" s="1"/>
  <c r="G31" i="1"/>
  <c r="I493" i="8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I223" i="8"/>
  <c r="G75" i="1"/>
  <c r="I193" i="8"/>
  <c r="G41" i="1"/>
  <c r="I614" i="8"/>
  <c r="G40" i="1"/>
  <c r="G23" i="1"/>
  <c r="I478" i="8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4" i="1"/>
  <c r="G48" i="1"/>
  <c r="I343" i="8"/>
  <c r="G73" i="1"/>
  <c r="I403" i="8"/>
  <c r="M79" i="1"/>
  <c r="G44" i="1"/>
  <c r="I208" i="8"/>
  <c r="K208" i="8" s="1"/>
  <c r="K210" i="8" s="1"/>
  <c r="K61" i="8"/>
  <c r="O15" i="1"/>
  <c r="J34" i="1"/>
  <c r="R317" i="8"/>
  <c r="R318" i="8" s="1"/>
  <c r="K661" i="8"/>
  <c r="K695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73" i="8"/>
  <c r="W773" i="8" s="1"/>
  <c r="Y773" i="8" s="1"/>
  <c r="F74" i="1"/>
  <c r="U297" i="8"/>
  <c r="W297" i="8" s="1"/>
  <c r="Y297" i="8" s="1"/>
  <c r="U100" i="8"/>
  <c r="W100" i="8" s="1"/>
  <c r="Y100" i="8" s="1"/>
  <c r="E45" i="1"/>
  <c r="F17" i="1"/>
  <c r="E34" i="1"/>
  <c r="F14" i="1"/>
  <c r="K73" i="8"/>
  <c r="K75" i="8" s="1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7" i="1"/>
  <c r="E52" i="1"/>
  <c r="J42" i="1"/>
  <c r="U1" i="8"/>
  <c r="C696" i="8"/>
  <c r="I692" i="8" s="1"/>
  <c r="I23" i="1"/>
  <c r="C649" i="8"/>
  <c r="I645" i="8" s="1"/>
  <c r="I43" i="8"/>
  <c r="C743" i="8"/>
  <c r="K493" i="8"/>
  <c r="K495" i="8" s="1"/>
  <c r="K497" i="8" s="1"/>
  <c r="C823" i="8"/>
  <c r="K133" i="8"/>
  <c r="K135" i="8" s="1"/>
  <c r="W40" i="8"/>
  <c r="Y40" i="8" s="1"/>
  <c r="U41" i="8" s="1"/>
  <c r="C758" i="8"/>
  <c r="C712" i="8"/>
  <c r="F63" i="1"/>
  <c r="F38" i="1"/>
  <c r="F73" i="1"/>
  <c r="F49" i="1"/>
  <c r="F43" i="1"/>
  <c r="C587" i="8"/>
  <c r="I583" i="8" s="1"/>
  <c r="K583" i="8" s="1"/>
  <c r="K585" i="8" s="1"/>
  <c r="U431" i="8"/>
  <c r="W431" i="8" s="1"/>
  <c r="Y431" i="8" s="1"/>
  <c r="K741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838" i="8"/>
  <c r="K838" i="8" s="1"/>
  <c r="O85" i="1"/>
  <c r="F76" i="1"/>
  <c r="Y299" i="8"/>
  <c r="C791" i="8"/>
  <c r="L88" i="1"/>
  <c r="C807" i="8"/>
  <c r="I803" i="8" s="1"/>
  <c r="O88" i="1"/>
  <c r="P88" i="1"/>
  <c r="O64" i="1"/>
  <c r="O48" i="1"/>
  <c r="W221" i="8"/>
  <c r="Y221" i="8" s="1"/>
  <c r="U222" i="8" s="1"/>
  <c r="G570" i="8"/>
  <c r="N39" i="1" s="1"/>
  <c r="F71" i="1"/>
  <c r="K756" i="8"/>
  <c r="K758" i="8" s="1"/>
  <c r="O39" i="1"/>
  <c r="K770" i="8"/>
  <c r="K772" i="8" s="1"/>
  <c r="K774" i="8" s="1"/>
  <c r="O86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1" i="1"/>
  <c r="O55" i="1"/>
  <c r="O61" i="1"/>
  <c r="F57" i="1"/>
  <c r="O31" i="1"/>
  <c r="O19" i="1"/>
  <c r="O41" i="1"/>
  <c r="O60" i="1"/>
  <c r="O76" i="1"/>
  <c r="K710" i="8"/>
  <c r="K712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787" i="8"/>
  <c r="K789" i="8" s="1"/>
  <c r="O75" i="1"/>
  <c r="K406" i="8"/>
  <c r="O37" i="1"/>
  <c r="O14" i="1"/>
  <c r="J48" i="1"/>
  <c r="J52" i="1" s="1"/>
  <c r="K361" i="8"/>
  <c r="K391" i="8"/>
  <c r="O63" i="1"/>
  <c r="O59" i="1"/>
  <c r="O74" i="1"/>
  <c r="G739" i="8"/>
  <c r="W745" i="8"/>
  <c r="Y745" i="8" s="1"/>
  <c r="K823" i="8"/>
  <c r="G819" i="8"/>
  <c r="W825" i="8"/>
  <c r="W683" i="8"/>
  <c r="O72" i="1"/>
  <c r="G88" i="8"/>
  <c r="L69" i="1" s="1"/>
  <c r="G754" i="8"/>
  <c r="W760" i="8"/>
  <c r="G328" i="8"/>
  <c r="L51" i="1" s="1"/>
  <c r="K211" i="8"/>
  <c r="Y692" i="8"/>
  <c r="G178" i="8"/>
  <c r="L40" i="1" s="1"/>
  <c r="G787" i="8"/>
  <c r="W793" i="8"/>
  <c r="G724" i="8"/>
  <c r="L85" i="1" s="1"/>
  <c r="G568" i="8"/>
  <c r="L39" i="1" s="1"/>
  <c r="N88" i="1"/>
  <c r="G478" i="8"/>
  <c r="L23" i="1" s="1"/>
  <c r="W714" i="8"/>
  <c r="G708" i="8"/>
  <c r="G343" i="8"/>
  <c r="L48" i="1" s="1"/>
  <c r="G645" i="8"/>
  <c r="L42" i="1" s="1"/>
  <c r="G838" i="8"/>
  <c r="L86" i="1" s="1"/>
  <c r="K64" i="1" l="1"/>
  <c r="K587" i="8"/>
  <c r="C317" i="8"/>
  <c r="I313" i="8" s="1"/>
  <c r="K313" i="8" s="1"/>
  <c r="K315" i="8" s="1"/>
  <c r="R319" i="8"/>
  <c r="R320" i="8" s="1"/>
  <c r="K692" i="8"/>
  <c r="E70" i="1" s="1"/>
  <c r="E77" i="1" s="1"/>
  <c r="R302" i="8"/>
  <c r="R303" i="8" s="1"/>
  <c r="U774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24" i="8"/>
  <c r="K724" i="8" s="1"/>
  <c r="K726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79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3" i="1"/>
  <c r="K840" i="8"/>
  <c r="K842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Q64" i="1"/>
  <c r="I74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03" i="8"/>
  <c r="K805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1" i="1"/>
  <c r="I38" i="1"/>
  <c r="I59" i="1"/>
  <c r="I63" i="1"/>
  <c r="I31" i="1"/>
  <c r="I44" i="1"/>
  <c r="I55" i="1"/>
  <c r="I56" i="1"/>
  <c r="I76" i="1"/>
  <c r="I26" i="1"/>
  <c r="I48" i="1"/>
  <c r="I64" i="1"/>
  <c r="I33" i="1"/>
  <c r="I24" i="1"/>
  <c r="K448" i="8"/>
  <c r="K450" i="8" s="1"/>
  <c r="K452" i="8" s="1"/>
  <c r="I86" i="1"/>
  <c r="K403" i="8"/>
  <c r="K405" i="8" s="1"/>
  <c r="W746" i="8"/>
  <c r="I43" i="1"/>
  <c r="K791" i="8"/>
  <c r="P32" i="1"/>
  <c r="G510" i="8"/>
  <c r="N32" i="1" s="1"/>
  <c r="K49" i="1"/>
  <c r="I87" i="1"/>
  <c r="Q31" i="1"/>
  <c r="K31" i="1"/>
  <c r="K55" i="1"/>
  <c r="K63" i="1"/>
  <c r="K30" i="1"/>
  <c r="G789" i="8"/>
  <c r="Y793" i="8"/>
  <c r="G791" i="8" s="1"/>
  <c r="G180" i="8"/>
  <c r="N40" i="1" s="1"/>
  <c r="P40" i="1"/>
  <c r="G821" i="8"/>
  <c r="Y825" i="8"/>
  <c r="G823" i="8" s="1"/>
  <c r="P48" i="1"/>
  <c r="G345" i="8"/>
  <c r="N48" i="1" s="1"/>
  <c r="P23" i="1"/>
  <c r="G480" i="8"/>
  <c r="N23" i="1" s="1"/>
  <c r="P51" i="1"/>
  <c r="G330" i="8"/>
  <c r="N51" i="1" s="1"/>
  <c r="G756" i="8"/>
  <c r="Y760" i="8"/>
  <c r="G758" i="8" s="1"/>
  <c r="G649" i="8"/>
  <c r="P42" i="1" s="1"/>
  <c r="G647" i="8"/>
  <c r="N42" i="1" s="1"/>
  <c r="P85" i="1"/>
  <c r="G726" i="8"/>
  <c r="N85" i="1" s="1"/>
  <c r="Q61" i="1"/>
  <c r="K61" i="1"/>
  <c r="U693" i="8"/>
  <c r="Y714" i="8"/>
  <c r="G712" i="8" s="1"/>
  <c r="G710" i="8"/>
  <c r="Y683" i="8"/>
  <c r="I57" i="1" l="1"/>
  <c r="R304" i="8"/>
  <c r="R305" i="8" s="1"/>
  <c r="K317" i="8"/>
  <c r="Q57" i="1" s="1"/>
  <c r="K57" i="1"/>
  <c r="K694" i="8"/>
  <c r="K70" i="1" s="1"/>
  <c r="I70" i="1"/>
  <c r="W774" i="8"/>
  <c r="C242" i="8"/>
  <c r="I238" i="8" s="1"/>
  <c r="AB132" i="8"/>
  <c r="Y301" i="8"/>
  <c r="U302" i="8" s="1"/>
  <c r="K618" i="8"/>
  <c r="Q41" i="1" s="1"/>
  <c r="K73" i="1"/>
  <c r="K407" i="8"/>
  <c r="K152" i="8"/>
  <c r="Q76" i="1" s="1"/>
  <c r="U102" i="8"/>
  <c r="W102" i="8" s="1"/>
  <c r="Y102" i="8" s="1"/>
  <c r="U103" i="8" s="1"/>
  <c r="I85" i="1"/>
  <c r="K85" i="1"/>
  <c r="Q85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86" i="1"/>
  <c r="Q63" i="1"/>
  <c r="Q65" i="1"/>
  <c r="K65" i="1"/>
  <c r="I65" i="1"/>
  <c r="Q44" i="1"/>
  <c r="I15" i="1"/>
  <c r="K60" i="1"/>
  <c r="Q60" i="1"/>
  <c r="K48" i="1"/>
  <c r="Q48" i="1"/>
  <c r="Q56" i="1"/>
  <c r="Q66" i="1" s="1"/>
  <c r="K71" i="1"/>
  <c r="K43" i="1"/>
  <c r="K665" i="8"/>
  <c r="Q43" i="1" s="1"/>
  <c r="K24" i="1"/>
  <c r="Q49" i="1"/>
  <c r="K37" i="1"/>
  <c r="I37" i="1"/>
  <c r="Q59" i="1"/>
  <c r="K72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46" i="8"/>
  <c r="G743" i="8" s="1"/>
  <c r="G741" i="8"/>
  <c r="K418" i="8"/>
  <c r="K420" i="8" s="1"/>
  <c r="K422" i="8" s="1"/>
  <c r="Q87" i="1"/>
  <c r="I75" i="1"/>
  <c r="K51" i="1"/>
  <c r="K75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6" i="1"/>
  <c r="K90" i="1"/>
  <c r="Q90" i="1"/>
  <c r="I90" i="1"/>
  <c r="Q71" i="1"/>
  <c r="Q38" i="1"/>
  <c r="Q55" i="1"/>
  <c r="K23" i="1"/>
  <c r="I40" i="1"/>
  <c r="K40" i="1"/>
  <c r="Q40" i="1"/>
  <c r="W693" i="8"/>
  <c r="Y222" i="8"/>
  <c r="W684" i="8"/>
  <c r="Y684" i="8" s="1"/>
  <c r="Q33" i="1"/>
  <c r="K41" i="1"/>
  <c r="C302" i="8" l="1"/>
  <c r="I298" i="8" s="1"/>
  <c r="K298" i="8" s="1"/>
  <c r="K300" i="8" s="1"/>
  <c r="K58" i="1" s="1"/>
  <c r="I62" i="1"/>
  <c r="K696" i="8"/>
  <c r="Q70" i="1" s="1"/>
  <c r="W302" i="8"/>
  <c r="Y302" i="8" s="1"/>
  <c r="U303" i="8" s="1"/>
  <c r="U242" i="8"/>
  <c r="W242" i="8" s="1"/>
  <c r="Y242" i="8" s="1"/>
  <c r="Y774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5" i="1"/>
  <c r="Q23" i="1"/>
  <c r="D48" i="1"/>
  <c r="W43" i="8"/>
  <c r="Y43" i="8" s="1"/>
  <c r="U44" i="8" s="1"/>
  <c r="I39" i="1"/>
  <c r="K58" i="8"/>
  <c r="K60" i="8" s="1"/>
  <c r="K62" i="8" s="1"/>
  <c r="Q86" i="1"/>
  <c r="Q24" i="1"/>
  <c r="P61" i="1"/>
  <c r="Q73" i="1"/>
  <c r="K568" i="8"/>
  <c r="K570" i="8" s="1"/>
  <c r="K572" i="8" s="1"/>
  <c r="Q72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86" i="1"/>
  <c r="G840" i="8"/>
  <c r="N86" i="1" s="1"/>
  <c r="W305" i="8"/>
  <c r="K74" i="1"/>
  <c r="Q74" i="1"/>
  <c r="G448" i="8"/>
  <c r="L24" i="1" s="1"/>
  <c r="D90" i="1"/>
  <c r="U679" i="8"/>
  <c r="W679" i="8" s="1"/>
  <c r="Y679" i="8" s="1"/>
  <c r="Y693" i="8"/>
  <c r="U694" i="8" s="1"/>
  <c r="U223" i="8"/>
  <c r="K302" i="8" l="1"/>
  <c r="Q58" i="1" s="1"/>
  <c r="I58" i="1"/>
  <c r="K238" i="8"/>
  <c r="K240" i="8" s="1"/>
  <c r="U775" i="8"/>
  <c r="U243" i="8"/>
  <c r="W243" i="8" s="1"/>
  <c r="Y243" i="8" s="1"/>
  <c r="W303" i="8"/>
  <c r="Y303" i="8" s="1"/>
  <c r="U680" i="8"/>
  <c r="W680" i="8" s="1"/>
  <c r="K92" i="8"/>
  <c r="Q69" i="1" s="1"/>
  <c r="Q77" i="1" s="1"/>
  <c r="Q15" i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7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Y305" i="8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Q45" i="1" l="1"/>
  <c r="T49" i="1" s="1"/>
  <c r="E99" i="1"/>
  <c r="U304" i="8"/>
  <c r="K62" i="1"/>
  <c r="K66" i="1" s="1"/>
  <c r="K242" i="8"/>
  <c r="Q62" i="1" s="1"/>
  <c r="W775" i="8"/>
  <c r="K47" i="1"/>
  <c r="K52" i="1" s="1"/>
  <c r="K392" i="8"/>
  <c r="Q47" i="1" s="1"/>
  <c r="Q52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694" i="8"/>
  <c r="Y223" i="8"/>
  <c r="E101" i="1" l="1"/>
  <c r="S24" i="1"/>
  <c r="W304" i="8"/>
  <c r="G298" i="8"/>
  <c r="L58" i="1" s="1"/>
  <c r="S60" i="1"/>
  <c r="Y775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3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G62" i="8" s="1"/>
  <c r="P25" i="1"/>
  <c r="G465" i="8"/>
  <c r="N25" i="1" s="1"/>
  <c r="Y694" i="8"/>
  <c r="U695" i="8" s="1"/>
  <c r="U224" i="8"/>
  <c r="Y304" i="8" l="1"/>
  <c r="G302" i="8" s="1"/>
  <c r="P58" i="1" s="1"/>
  <c r="G300" i="8"/>
  <c r="N58" i="1" s="1"/>
  <c r="U776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3" i="1"/>
  <c r="G405" i="8"/>
  <c r="N73" i="1" s="1"/>
  <c r="G523" i="8"/>
  <c r="L30" i="1" s="1"/>
  <c r="G677" i="8"/>
  <c r="L55" i="1" s="1"/>
  <c r="W224" i="8"/>
  <c r="G287" i="8" l="1"/>
  <c r="U289" i="8"/>
  <c r="W289" i="8" s="1"/>
  <c r="Y289" i="8" s="1"/>
  <c r="W776" i="8"/>
  <c r="G770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4" i="1" s="1"/>
  <c r="P49" i="1"/>
  <c r="G360" i="8"/>
  <c r="N49" i="1" s="1"/>
  <c r="G268" i="8"/>
  <c r="L59" i="1" s="1"/>
  <c r="P30" i="1"/>
  <c r="G525" i="8"/>
  <c r="N30" i="1" s="1"/>
  <c r="W244" i="8"/>
  <c r="Y244" i="8" s="1"/>
  <c r="G242" i="8" s="1"/>
  <c r="P55" i="1"/>
  <c r="G679" i="8"/>
  <c r="N55" i="1" s="1"/>
  <c r="W695" i="8"/>
  <c r="Y224" i="8"/>
  <c r="U225" i="8" s="1"/>
  <c r="U49" i="8" l="1"/>
  <c r="W49" i="8" s="1"/>
  <c r="U214" i="8"/>
  <c r="U199" i="8"/>
  <c r="W199" i="8" s="1"/>
  <c r="Y199" i="8" s="1"/>
  <c r="G197" i="8" s="1"/>
  <c r="Y776" i="8"/>
  <c r="G774" i="8" s="1"/>
  <c r="G772" i="8"/>
  <c r="W109" i="8"/>
  <c r="Y109" i="8" s="1"/>
  <c r="G107" i="8"/>
  <c r="G43" i="8"/>
  <c r="L19" i="1" s="1"/>
  <c r="G208" i="8"/>
  <c r="L44" i="1" s="1"/>
  <c r="Y435" i="8"/>
  <c r="P69" i="1"/>
  <c r="W169" i="8"/>
  <c r="Y169" i="8" s="1"/>
  <c r="G167" i="8" s="1"/>
  <c r="G803" i="8"/>
  <c r="L90" i="1" s="1"/>
  <c r="G614" i="8"/>
  <c r="L41" i="1" s="1"/>
  <c r="G313" i="8"/>
  <c r="L57" i="1" s="1"/>
  <c r="G599" i="8"/>
  <c r="L60" i="1" s="1"/>
  <c r="P59" i="1"/>
  <c r="G270" i="8"/>
  <c r="N59" i="1" s="1"/>
  <c r="P74" i="1"/>
  <c r="G420" i="8"/>
  <c r="N74" i="1" s="1"/>
  <c r="W245" i="8"/>
  <c r="G238" i="8"/>
  <c r="L62" i="1" s="1"/>
  <c r="G133" i="8"/>
  <c r="L38" i="1" s="1"/>
  <c r="Y695" i="8"/>
  <c r="U696" i="8" s="1"/>
  <c r="Y49" i="8" l="1"/>
  <c r="G45" i="8"/>
  <c r="N19" i="1" s="1"/>
  <c r="W378" i="8"/>
  <c r="Y378" i="8" s="1"/>
  <c r="W170" i="8"/>
  <c r="Y170" i="8" s="1"/>
  <c r="P37" i="1" s="1"/>
  <c r="W200" i="8"/>
  <c r="Y200" i="8" s="1"/>
  <c r="P75" i="1" s="1"/>
  <c r="W214" i="8"/>
  <c r="G58" i="8"/>
  <c r="L15" i="1" s="1"/>
  <c r="G193" i="8"/>
  <c r="L75" i="1" s="1"/>
  <c r="G163" i="8"/>
  <c r="L37" i="1" s="1"/>
  <c r="U436" i="8"/>
  <c r="P60" i="1"/>
  <c r="G601" i="8"/>
  <c r="N60" i="1" s="1"/>
  <c r="G195" i="8"/>
  <c r="N75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07" i="8"/>
  <c r="P90" i="1" s="1"/>
  <c r="G805" i="8"/>
  <c r="N90" i="1" s="1"/>
  <c r="Y245" i="8"/>
  <c r="P62" i="1" s="1"/>
  <c r="G240" i="8"/>
  <c r="N62" i="1" s="1"/>
  <c r="P38" i="1"/>
  <c r="G135" i="8"/>
  <c r="N38" i="1" s="1"/>
  <c r="W225" i="8"/>
  <c r="W50" i="8" l="1"/>
  <c r="Y50" i="8" s="1"/>
  <c r="G47" i="8"/>
  <c r="P19" i="1" s="1"/>
  <c r="U379" i="8"/>
  <c r="W110" i="8"/>
  <c r="G103" i="8"/>
  <c r="L17" i="1" s="1"/>
  <c r="G283" i="8"/>
  <c r="L56" i="1" s="1"/>
  <c r="Y214" i="8"/>
  <c r="G212" i="8" s="1"/>
  <c r="W65" i="8"/>
  <c r="L87" i="1"/>
  <c r="W436" i="8"/>
  <c r="W696" i="8"/>
  <c r="Y225" i="8"/>
  <c r="U226" i="8" s="1"/>
  <c r="W379" i="8" l="1"/>
  <c r="G373" i="8"/>
  <c r="L50" i="1" s="1"/>
  <c r="Y110" i="8"/>
  <c r="P17" i="1" s="1"/>
  <c r="G105" i="8"/>
  <c r="N17" i="1" s="1"/>
  <c r="W215" i="8"/>
  <c r="W290" i="8"/>
  <c r="Y65" i="8"/>
  <c r="P15" i="1" s="1"/>
  <c r="G60" i="8"/>
  <c r="N15" i="1" s="1"/>
  <c r="P87" i="1"/>
  <c r="N87" i="1"/>
  <c r="W124" i="8"/>
  <c r="Y436" i="8"/>
  <c r="Y696" i="8"/>
  <c r="U697" i="8" s="1"/>
  <c r="W226" i="8"/>
  <c r="Y379" i="8" l="1"/>
  <c r="G377" i="8" s="1"/>
  <c r="P50" i="1" s="1"/>
  <c r="G375" i="8"/>
  <c r="N50" i="1" s="1"/>
  <c r="U437" i="8"/>
  <c r="W437" i="8" s="1"/>
  <c r="Y437" i="8" s="1"/>
  <c r="U438" i="8" s="1"/>
  <c r="Y215" i="8"/>
  <c r="P44" i="1" s="1"/>
  <c r="G210" i="8"/>
  <c r="N44" i="1" s="1"/>
  <c r="Y290" i="8"/>
  <c r="P56" i="1" s="1"/>
  <c r="G285" i="8"/>
  <c r="N56" i="1" s="1"/>
  <c r="Y124" i="8"/>
  <c r="G122" i="8" s="1"/>
  <c r="Y226" i="8"/>
  <c r="W438" i="8" l="1"/>
  <c r="Y438" i="8" s="1"/>
  <c r="U439" i="8" s="1"/>
  <c r="U227" i="8"/>
  <c r="W227" i="8" s="1"/>
  <c r="Y227" i="8" s="1"/>
  <c r="U228" i="8" s="1"/>
  <c r="W697" i="8"/>
  <c r="W228" i="8" l="1"/>
  <c r="Y228" i="8" s="1"/>
  <c r="U229" i="8" s="1"/>
  <c r="W125" i="8"/>
  <c r="G118" i="8"/>
  <c r="L71" i="1" s="1"/>
  <c r="Y697" i="8"/>
  <c r="U698" i="8" s="1"/>
  <c r="W698" i="8" s="1"/>
  <c r="Y125" i="8" l="1"/>
  <c r="P71" i="1" s="1"/>
  <c r="G120" i="8"/>
  <c r="N71" i="1" s="1"/>
  <c r="Y698" i="8" l="1"/>
  <c r="W699" i="8" s="1"/>
  <c r="G692" i="8" l="1"/>
  <c r="L70" i="1" s="1"/>
  <c r="Y699" i="8"/>
  <c r="G696" i="8" s="1"/>
  <c r="P70" i="1" s="1"/>
  <c r="G694" i="8"/>
  <c r="N70" i="1" s="1"/>
  <c r="W229" i="8" l="1"/>
  <c r="W549" i="8"/>
  <c r="Y549" i="8" s="1"/>
  <c r="Y229" i="8" l="1"/>
  <c r="G227" i="8" s="1"/>
  <c r="W439" i="8"/>
  <c r="W550" i="8"/>
  <c r="Y550" i="8" s="1"/>
  <c r="Y439" i="8" l="1"/>
  <c r="G437" i="8" s="1"/>
  <c r="W551" i="8"/>
  <c r="Y551" i="8" s="1"/>
  <c r="W230" i="8" l="1"/>
  <c r="G223" i="8"/>
  <c r="L65" i="1" s="1"/>
  <c r="W552" i="8"/>
  <c r="Y552" i="8" s="1"/>
  <c r="Y230" i="8" l="1"/>
  <c r="P65" i="1" s="1"/>
  <c r="G225" i="8"/>
  <c r="N65" i="1" s="1"/>
  <c r="W553" i="8"/>
  <c r="Y553" i="8" s="1"/>
  <c r="W554" i="8" s="1"/>
  <c r="Y554" i="8" s="1"/>
  <c r="W440" i="8"/>
  <c r="G433" i="8"/>
  <c r="L26" i="1" s="1"/>
  <c r="Y440" i="8" l="1"/>
  <c r="P26" i="1" s="1"/>
  <c r="G435" i="8"/>
  <c r="N26" i="1" s="1"/>
  <c r="Y555" i="8"/>
  <c r="U556" i="8" l="1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G557" i="8" s="1"/>
  <c r="O111" i="1"/>
  <c r="U560" i="8" l="1"/>
  <c r="W560" i="8" l="1"/>
  <c r="G553" i="8"/>
  <c r="L72" i="1" s="1"/>
  <c r="Y560" i="8" l="1"/>
  <c r="P72" i="1" s="1"/>
  <c r="G555" i="8"/>
  <c r="N72" i="1" s="1"/>
  <c r="P18" i="1" l="1"/>
  <c r="N18" i="1"/>
  <c r="E16" i="1"/>
  <c r="E20" i="1" s="1"/>
  <c r="E79" i="1" s="1"/>
  <c r="J16" i="1"/>
  <c r="J20" i="1" s="1"/>
  <c r="J79" i="1" s="1"/>
  <c r="K16" i="1" l="1"/>
  <c r="K20" i="1" s="1"/>
  <c r="R1" i="8" l="1"/>
  <c r="Q16" i="1" l="1"/>
  <c r="Q20" i="1" s="1"/>
  <c r="Q79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G148" i="8"/>
  <c r="L76" i="1" s="1"/>
  <c r="W154" i="8" l="1"/>
  <c r="Y154" i="8" l="1"/>
  <c r="W155" i="8" l="1"/>
  <c r="G152" i="8"/>
  <c r="Y155" i="8" l="1"/>
  <c r="P76" i="1" s="1"/>
  <c r="G150" i="8"/>
  <c r="N76" i="1" s="1"/>
  <c r="Q13" i="12"/>
  <c r="P13" i="12"/>
  <c r="P16" i="12" s="1"/>
  <c r="R13" i="12" l="1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G493" i="8" s="1"/>
  <c r="L31" i="1" s="1"/>
  <c r="L79" i="1" s="1"/>
  <c r="E107" i="1"/>
  <c r="G104" i="1" s="1"/>
  <c r="W499" i="8" l="1"/>
  <c r="W500" i="8"/>
  <c r="Y500" i="8" s="1"/>
  <c r="G495" i="8" l="1"/>
  <c r="N31" i="1" s="1"/>
  <c r="N79" i="1" s="1"/>
  <c r="Y499" i="8"/>
  <c r="G497" i="8" s="1"/>
  <c r="P31" i="1" s="1"/>
  <c r="P79" i="1" s="1"/>
  <c r="D88" i="1"/>
  <c r="D87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<sst xmlns="http://schemas.openxmlformats.org/spreadsheetml/2006/main" count="3380" uniqueCount="227">
  <si>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</si>
  <si>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</si>
  <si>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</si>
  <si>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</si>
  <si>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</si>
  <si>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</si>
  <si>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</si>
  <si>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</si>
  <si>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</si>
  <si>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</si>
  <si>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</si>
  <si>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</si>
  <si>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</si>
  <si>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</si>
  <si>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</si>
  <si>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</si>
  <si>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</si>
  <si>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</si>
  <si>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</si>
  <si>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</si>
  <si>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</si>
  <si>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</si>
  <si>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</si>
  <si>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</si>
  <si>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</si>
  <si>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</si>
  <si>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</si>
  <si>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</si>
  <si>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</si>
  <si>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</si>
  <si>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</si>
  <si>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</si>
  <si>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</si>
  <si>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</si>
  <si>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</si>
  <si>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</si>
  <si>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</si>
  <si>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</si>
  <si>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</si>
  <si>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</si>
  <si>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</si>
  <si>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</si>
  <si>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</si>
  <si>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</si>
  <si>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</si>
  <si>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</si>
  <si>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</si>
  <si>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</si>
  <si>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</si>
  <si>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</si>
  <si>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</si>
  <si>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</si>
  <si>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</si>
  <si>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</si>
  <si>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</si>
  <si>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</si>
  <si>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</si>
  <si>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</si>
  <si>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</si>
  <si>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</si>
  <si>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</si>
  <si>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</si>
  <si>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</si>
  <si>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</si>
  <si>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</si>
  <si>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</si>
  <si>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</si>
  <si>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</si>
  <si>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</si>
  <si>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</si>
  <si>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</si>
  <si>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</si>
  <si>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</si>
  <si>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</si>
  <si>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</si>
  <si>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</si>
  <si>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</si>
  <si>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</si>
  <si>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</si>
  <si>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</si>
  <si>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</si>
  <si>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</si>
  <si>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</si>
  <si>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</si>
  <si>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</si>
  <si>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</si>
  <si>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</si>
  <si>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</si>
  <si>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</si>
  <si>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</si>
  <si>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</si>
  <si>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</si>
  <si>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</si>
  <si>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</si>
  <si>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</si>
  <si>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</si>
  <si>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</si>
  <si>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</si>
  <si>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</si>
  <si>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</si>
  <si>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</si>
  <si>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</si>
  <si>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</si>
  <si>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</si>
  <si>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</si>
  <si>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</si>
  <si>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</si>
  <si>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</si>
  <si>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</si>
  <si>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</si>
  <si>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</si>
  <si>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</si>
  <si>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</si>
  <si>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</si>
  <si>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</si>
  <si>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</si>
  <si>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</si>
  <si>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</si>
  <si>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</si>
  <si>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</si>
  <si>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</si>
  <si>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</si>
  <si>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</si>
  <si>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</si>
  <si>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</si>
  <si>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</si>
  <si>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</si>
  <si>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</si>
  <si>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</si>
  <si>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</si>
  <si>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</si>
  <si>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</si>
  <si>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</si>
  <si>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</si>
  <si>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</si>
  <si>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</si>
  <si>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</si>
  <si>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</si>
  <si>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</si>
  <si>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</si>
  <si>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</si>
  <si>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</si>
  <si>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</si>
  <si>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</si>
  <si>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</si>
  <si>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</si>
  <si>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</si>
  <si>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</si>
  <si>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</si>
  <si>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</si>
  <si>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</si>
  <si>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</si>
  <si>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</si>
  <si>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</si>
  <si>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</si>
  <si>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</si>
  <si>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</si>
  <si>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</si>
  <si>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</si>
  <si>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</si>
  <si>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</si>
  <si>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</si>
  <si>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</si>
  <si>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</si>
  <si>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</si>
  <si>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</si>
  <si>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</si>
  <si>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</si>
  <si>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</si>
  <si>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</si>
  <si>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</si>
  <si>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</si>
  <si>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</si>
  <si>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</si>
  <si>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</si>
  <si>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</si>
  <si>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</si>
  <si>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</si>
  <si>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</si>
  <si>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</si>
  <si>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</si>
  <si>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</si>
  <si>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</si>
  <si>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</si>
  <si>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</si>
  <si>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</si>
  <si>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</si>
  <si>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</si>
  <si>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</si>
  <si>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</si>
  <si>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</si>
  <si>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</si>
  <si>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</si>
  <si>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</si>
  <si>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</si>
  <si>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</si>
  <si>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</si>
  <si>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</si>
  <si>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</si>
  <si>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</si>
  <si>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</si>
  <si>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</si>
  <si>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</si>
  <si>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</si>
  <si>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</si>
  <si>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</si>
  <si>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</si>
  <si>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</si>
  <si>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</si>
  <si>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</si>
  <si>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</si>
  <si>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</si>
  <si>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</si>
  <si>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</si>
  <si>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</si>
  <si>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</si>
  <si>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</si>
  <si>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</si>
  <si>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</si>
  <si>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</si>
  <si>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</si>
  <si>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</si>
  <si>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</si>
  <si>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ISRAR Bhai 8 days salary extra paid by BH</t>
  </si>
  <si>
    <t>November</t>
  </si>
  <si>
    <t>Waqas</t>
  </si>
  <si>
    <t>UEP, ENGRO, DAWOOD, TRIFIT, Bank 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</si>
</sst>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37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20" fillId="10" borderId="0" xfId="0" applyFont="1" applyFill="1" applyAlignment="1">
      <alignment vertical="center"/>
    </xf>
    <xf numFmtId="0" fontId="20" fillId="10" borderId="5" xfId="0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21" fillId="10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righ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37" fillId="10" borderId="1" xfId="0" applyFont="1" applyFill="1" applyBorder="1" applyAlignment="1">
      <alignment vertical="center"/>
    </xf>
    <xf numFmtId="0" fontId="22" fillId="10" borderId="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15" zoomScaleNormal="90" zoomScaleSheetLayoutView="115" workbookViewId="0">
      <pane ySplit="3" topLeftCell="A61" activePane="bottomLeft" state="frozen"/>
      <selection pane="bottomLeft" activeCell="Q73" sqref="Q73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62" t="s">
        <v>78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0" t="str">
        <f>'Salary Record'!J1</f>
        <v>November</v>
      </c>
      <c r="O1" s="360"/>
      <c r="P1" s="360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64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1"/>
      <c r="O2" s="361"/>
      <c r="P2" s="361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47" t="s">
        <v>86</v>
      </c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9"/>
      <c r="R6" s="81"/>
    </row>
    <row r="7" spans="1:20" s="123" customFormat="1" ht="15.75" x14ac:dyDescent="0.2">
      <c r="A7" s="212">
        <v>1</v>
      </c>
      <c r="B7" s="177" t="s">
        <v>16</v>
      </c>
      <c r="C7" s="371" t="s">
        <v>34</v>
      </c>
      <c r="D7" s="374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72"/>
      <c r="D8" s="375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72"/>
      <c r="D9" s="375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73"/>
      <c r="D10" s="376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50" t="s">
        <v>2</v>
      </c>
      <c r="B11" s="351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55" t="s">
        <v>87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7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30</v>
      </c>
      <c r="G14" s="184">
        <f>'Salary Record'!C76</f>
        <v>0</v>
      </c>
      <c r="H14" s="67">
        <f>'Salary Record'!I74</f>
        <v>0</v>
      </c>
      <c r="I14" s="67">
        <f>'Salary Record'!I73</f>
        <v>30</v>
      </c>
      <c r="J14" s="188">
        <f>'Salary Record'!K74</f>
        <v>0</v>
      </c>
      <c r="K14" s="188">
        <f>'Salary Record'!K75</f>
        <v>80000</v>
      </c>
      <c r="L14" s="189">
        <f>'Salary Record'!G73</f>
        <v>44000</v>
      </c>
      <c r="M14" s="190">
        <f>'Salary Record'!G74</f>
        <v>0</v>
      </c>
      <c r="N14" s="191">
        <f>'Salary Record'!G75</f>
        <v>44000</v>
      </c>
      <c r="O14" s="190">
        <f>'Salary Record'!G76</f>
        <v>4000</v>
      </c>
      <c r="P14" s="191">
        <f>'Salary Record'!G77</f>
        <v>40000</v>
      </c>
      <c r="Q14" s="192">
        <f>'Salary Record'!K77</f>
        <v>76000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214</v>
      </c>
      <c r="C15" s="126"/>
      <c r="D15" s="127"/>
      <c r="E15" s="67">
        <f>'Salary Record'!K54</f>
        <v>47000</v>
      </c>
      <c r="F15" s="67">
        <f>'Salary Record'!C60</f>
        <v>27</v>
      </c>
      <c r="G15" s="184">
        <f>'Salary Record'!C61</f>
        <v>3</v>
      </c>
      <c r="H15" s="67">
        <f>'Salary Record'!I59</f>
        <v>0</v>
      </c>
      <c r="I15" s="67">
        <f>'Salary Record'!I58</f>
        <v>28</v>
      </c>
      <c r="J15" s="180">
        <f>'Salary Record'!K59</f>
        <v>0</v>
      </c>
      <c r="K15" s="67">
        <f>'Salary Record'!K60</f>
        <v>43866.666666666672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0</v>
      </c>
      <c r="P15" s="181">
        <f>'Salary Record'!G62</f>
        <v>2000</v>
      </c>
      <c r="Q15" s="187">
        <f>'Salary Record'!K62</f>
        <v>43866.666666666672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1535070.8333333333</v>
      </c>
      <c r="E16" s="67">
        <f>'Salary Record'!K9</f>
        <v>75000</v>
      </c>
      <c r="F16" s="67">
        <f>'Salary Record'!C15</f>
        <v>30</v>
      </c>
      <c r="G16" s="67">
        <f>'Salary Record'!C16</f>
        <v>0</v>
      </c>
      <c r="H16" s="180">
        <f>'Salary Record'!I14</f>
        <v>0</v>
      </c>
      <c r="I16" s="67">
        <f>'Salary Record'!I13</f>
        <v>30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3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29</v>
      </c>
      <c r="G17" s="186">
        <f>'Salary Record'!C106</f>
        <v>1</v>
      </c>
      <c r="H17" s="181">
        <f>'Salary Record'!I104</f>
        <v>0</v>
      </c>
      <c r="I17" s="181">
        <f>'Salary Record'!I103</f>
        <v>30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0</v>
      </c>
      <c r="N17" s="183">
        <f>'Salary Record'!G105</f>
        <v>35000</v>
      </c>
      <c r="O17" s="181">
        <f>'Salary Record'!G106</f>
        <v>0</v>
      </c>
      <c r="P17" s="183">
        <f>'Salary Record'!G107</f>
        <v>35000</v>
      </c>
      <c r="Q17" s="187">
        <f>'Salary Record'!K107</f>
        <v>41000</v>
      </c>
      <c r="R17" s="122"/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30</v>
      </c>
      <c r="J19" s="193">
        <f>'Salary Record'!K44</f>
        <v>0</v>
      </c>
      <c r="K19" s="193">
        <f>'Salary Record'!K45</f>
        <v>18000</v>
      </c>
      <c r="L19" s="194">
        <f>'Salary Record'!G43</f>
        <v>1000</v>
      </c>
      <c r="M19" s="194">
        <f>'Salary Record'!G44</f>
        <v>0</v>
      </c>
      <c r="N19" s="195">
        <f>'Salary Record'!G45</f>
        <v>1000</v>
      </c>
      <c r="O19" s="194">
        <f>'Salary Record'!G46</f>
        <v>500</v>
      </c>
      <c r="P19" s="195">
        <f>'Salary Record'!G47</f>
        <v>500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50" t="s">
        <v>2</v>
      </c>
      <c r="B20" s="351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0</v>
      </c>
      <c r="K20" s="233">
        <f>SUM(K14:K19)</f>
        <v>262866.66666666669</v>
      </c>
      <c r="L20" s="233"/>
      <c r="M20" s="232"/>
      <c r="N20" s="232"/>
      <c r="O20" s="232"/>
      <c r="P20" s="232"/>
      <c r="Q20" s="234">
        <f>SUM(Q14:Q19)</f>
        <v>258366.66666666669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47" t="s">
        <v>91</v>
      </c>
      <c r="B22" s="348"/>
      <c r="C22" s="348"/>
      <c r="D22" s="348"/>
      <c r="E22" s="348"/>
      <c r="F22" s="348"/>
      <c r="G22" s="348"/>
      <c r="H22" s="348"/>
      <c r="I22" s="348"/>
      <c r="J22" s="348"/>
      <c r="K22" s="348"/>
      <c r="L22" s="348"/>
      <c r="M22" s="348"/>
      <c r="N22" s="348"/>
      <c r="O22" s="348"/>
      <c r="P22" s="348"/>
      <c r="Q22" s="349"/>
      <c r="R22" s="159"/>
      <c r="S22" s="165"/>
      <c r="T22" s="161"/>
    </row>
    <row r="23" spans="1:22" s="332" customFormat="1" ht="20.25" customHeight="1" x14ac:dyDescent="0.2">
      <c r="A23" s="213">
        <v>1</v>
      </c>
      <c r="B23" s="26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0</v>
      </c>
      <c r="G23" s="200">
        <f>'Salary Record'!C481</f>
        <v>0</v>
      </c>
      <c r="H23" s="199">
        <f>'Salary Record'!I479</f>
        <v>29</v>
      </c>
      <c r="I23" s="199">
        <f>'Salary Record'!I478</f>
        <v>30</v>
      </c>
      <c r="J23" s="173">
        <f>'Salary Record'!K479</f>
        <v>3806.25</v>
      </c>
      <c r="K23" s="199">
        <f>'Salary Record'!K480</f>
        <v>35306.25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35306.25</v>
      </c>
      <c r="R23" s="331" t="s">
        <v>126</v>
      </c>
      <c r="T23" s="333"/>
    </row>
    <row r="24" spans="1:22" s="343" customFormat="1" ht="20.25" customHeight="1" x14ac:dyDescent="0.2">
      <c r="A24" s="334">
        <v>2</v>
      </c>
      <c r="B24" s="319" t="str">
        <f>'Salary Record'!C445</f>
        <v>Hassan Khan</v>
      </c>
      <c r="C24" s="59"/>
      <c r="D24" s="54"/>
      <c r="E24" s="335">
        <f>'Salary Record'!K444</f>
        <v>26500</v>
      </c>
      <c r="F24" s="335">
        <f>'Salary Record'!C450</f>
        <v>27</v>
      </c>
      <c r="G24" s="336">
        <f>'Salary Record'!C451</f>
        <v>3</v>
      </c>
      <c r="H24" s="335">
        <f>'Salary Record'!I449</f>
        <v>63</v>
      </c>
      <c r="I24" s="335">
        <f>'Salary Record'!I448</f>
        <v>27</v>
      </c>
      <c r="J24" s="336">
        <f>'Salary Record'!K449</f>
        <v>6956.25</v>
      </c>
      <c r="K24" s="337">
        <f>'Salary Record'!K450</f>
        <v>30806.25</v>
      </c>
      <c r="L24" s="245" t="str">
        <f>'Salary Record'!G448</f>
        <v/>
      </c>
      <c r="M24" s="338">
        <f>'Salary Record'!G449</f>
        <v>0</v>
      </c>
      <c r="N24" s="339" t="str">
        <f>'Salary Record'!G450</f>
        <v/>
      </c>
      <c r="O24" s="338">
        <f>'Salary Record'!G451</f>
        <v>0</v>
      </c>
      <c r="P24" s="339" t="str">
        <f>'Salary Record'!G452</f>
        <v/>
      </c>
      <c r="Q24" s="185">
        <f>'Salary Record'!K452</f>
        <v>30806.25</v>
      </c>
      <c r="R24" s="340"/>
      <c r="S24" s="341">
        <f>65000+Q27+30000</f>
        <v>229314.58333333334</v>
      </c>
      <c r="T24" s="342"/>
    </row>
    <row r="25" spans="1:22" s="344" customFormat="1" ht="21" customHeight="1" x14ac:dyDescent="0.2">
      <c r="A25" s="213">
        <v>3</v>
      </c>
      <c r="B25" s="319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30</v>
      </c>
      <c r="G25" s="184">
        <f>'Salary Record'!C466</f>
        <v>0</v>
      </c>
      <c r="H25" s="67">
        <f>'Salary Record'!I464</f>
        <v>9</v>
      </c>
      <c r="I25" s="67">
        <f>'Salary Record'!I463</f>
        <v>30</v>
      </c>
      <c r="J25" s="184">
        <f>'Salary Record'!K464</f>
        <v>1200</v>
      </c>
      <c r="K25" s="180">
        <f>'Salary Record'!K465</f>
        <v>33200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33200</v>
      </c>
      <c r="R25" s="331"/>
      <c r="T25" s="345"/>
    </row>
    <row r="26" spans="1:22" s="344" customFormat="1" ht="20.25" customHeight="1" x14ac:dyDescent="0.2">
      <c r="A26" s="334">
        <v>4</v>
      </c>
      <c r="B26" s="323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30</v>
      </c>
      <c r="G26" s="246">
        <f>'Salary Record'!C436</f>
        <v>0</v>
      </c>
      <c r="H26" s="67">
        <f>'Salary Record'!I434</f>
        <v>77</v>
      </c>
      <c r="I26" s="181">
        <f>'Salary Record'!I433</f>
        <v>30</v>
      </c>
      <c r="J26" s="180">
        <f>'Salary Record'!K434</f>
        <v>8502.0833333333339</v>
      </c>
      <c r="K26" s="67">
        <f>'Salary Record'!K435</f>
        <v>35002.083333333336</v>
      </c>
      <c r="L26" s="181" t="str">
        <f>'Salary Record'!G433</f>
        <v/>
      </c>
      <c r="M26" s="181">
        <f>'Salary Record'!G434</f>
        <v>0</v>
      </c>
      <c r="N26" s="183" t="str">
        <f>'Salary Record'!G435</f>
        <v/>
      </c>
      <c r="O26" s="181">
        <f>'Salary Record'!G436</f>
        <v>0</v>
      </c>
      <c r="P26" s="183" t="str">
        <f>'Salary Record'!G437</f>
        <v/>
      </c>
      <c r="Q26" s="185">
        <f>'Salary Record'!K437</f>
        <v>35002.083333333336</v>
      </c>
      <c r="R26" s="331"/>
      <c r="T26" s="345"/>
      <c r="V26" s="331"/>
    </row>
    <row r="27" spans="1:22" s="208" customFormat="1" ht="21" x14ac:dyDescent="0.3">
      <c r="A27" s="350" t="s">
        <v>2</v>
      </c>
      <c r="B27" s="351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20464.583333333336</v>
      </c>
      <c r="K27" s="243">
        <f>SUM(K23:K26)</f>
        <v>134314.58333333334</v>
      </c>
      <c r="L27" s="232"/>
      <c r="M27" s="232"/>
      <c r="N27" s="232"/>
      <c r="O27" s="232"/>
      <c r="P27" s="232"/>
      <c r="Q27" s="206">
        <f>SUM(Q23:Q26)</f>
        <v>134314.58333333334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55" t="s">
        <v>90</v>
      </c>
      <c r="B29" s="356"/>
      <c r="C29" s="356"/>
      <c r="D29" s="356"/>
      <c r="E29" s="356"/>
      <c r="F29" s="356"/>
      <c r="G29" s="356"/>
      <c r="H29" s="356"/>
      <c r="I29" s="356"/>
      <c r="J29" s="356"/>
      <c r="K29" s="356"/>
      <c r="L29" s="356"/>
      <c r="M29" s="356"/>
      <c r="N29" s="356"/>
      <c r="O29" s="356"/>
      <c r="P29" s="356"/>
      <c r="Q29" s="357"/>
      <c r="R29" s="250"/>
      <c r="T29" s="164"/>
    </row>
    <row r="30" spans="1:22" s="123" customFormat="1" ht="21" customHeight="1" x14ac:dyDescent="0.2">
      <c r="A30" s="212">
        <v>1</v>
      </c>
      <c r="B30" s="323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30</v>
      </c>
      <c r="G30" s="184">
        <f>'Salary Record'!C526</f>
        <v>0</v>
      </c>
      <c r="H30" s="67">
        <f>'Salary Record'!I524</f>
        <v>53</v>
      </c>
      <c r="I30" s="67">
        <f>'Salary Record'!I523</f>
        <v>30</v>
      </c>
      <c r="J30" s="184">
        <f>'Salary Record'!K524</f>
        <v>6514.5833333333339</v>
      </c>
      <c r="K30" s="184">
        <f>'Salary Record'!K525</f>
        <v>36014.583333333336</v>
      </c>
      <c r="L30" s="203">
        <f>'Salary Record'!G523</f>
        <v>3000</v>
      </c>
      <c r="M30" s="67">
        <f>'Salary Record'!G524</f>
        <v>0</v>
      </c>
      <c r="N30" s="198">
        <f>'Salary Record'!G525</f>
        <v>3000</v>
      </c>
      <c r="O30" s="67">
        <f>'Salary Record'!G526</f>
        <v>3000</v>
      </c>
      <c r="P30" s="198">
        <f>'Salary Record'!G527</f>
        <v>0</v>
      </c>
      <c r="Q30" s="185">
        <f>'Salary Record'!K527</f>
        <v>33014.583333333336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3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30</v>
      </c>
      <c r="G31" s="184">
        <f>'Salary Record'!C496</f>
        <v>0</v>
      </c>
      <c r="H31" s="67">
        <f>'Salary Record'!I494</f>
        <v>48</v>
      </c>
      <c r="I31" s="67">
        <f>'Salary Record'!I493</f>
        <v>30</v>
      </c>
      <c r="J31" s="180">
        <f>'Salary Record'!K494</f>
        <v>6000</v>
      </c>
      <c r="K31" s="180">
        <f>'Salary Record'!K495</f>
        <v>36000</v>
      </c>
      <c r="L31" s="181">
        <f>'Salary Record'!G493</f>
        <v>15000</v>
      </c>
      <c r="M31" s="182">
        <f>'Salary Record'!G494</f>
        <v>50000</v>
      </c>
      <c r="N31" s="183">
        <f>'Salary Record'!G495</f>
        <v>65000</v>
      </c>
      <c r="O31" s="182">
        <f>'Salary Record'!G496</f>
        <v>5000</v>
      </c>
      <c r="P31" s="183">
        <f>'Salary Record'!G497</f>
        <v>60000</v>
      </c>
      <c r="Q31" s="185">
        <f>'Salary Record'!K497</f>
        <v>31000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3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0</v>
      </c>
      <c r="H32" s="202">
        <f>'Salary Record'!I509</f>
        <v>12</v>
      </c>
      <c r="I32" s="202">
        <f>'Salary Record'!I508</f>
        <v>30</v>
      </c>
      <c r="J32" s="180">
        <f>'Salary Record'!K509</f>
        <v>1875</v>
      </c>
      <c r="K32" s="67">
        <f>'Salary Record'!K510</f>
        <v>39375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39375</v>
      </c>
      <c r="R32" s="122"/>
      <c r="S32" s="122"/>
      <c r="T32" s="124"/>
    </row>
    <row r="33" spans="1:24" ht="15.75" x14ac:dyDescent="0.25">
      <c r="A33" s="212">
        <v>4</v>
      </c>
      <c r="B33" s="323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30</v>
      </c>
      <c r="G33" s="18">
        <f>'Salary Record'!C541</f>
        <v>0</v>
      </c>
      <c r="H33" s="9">
        <f>'Salary Record'!I539</f>
        <v>58</v>
      </c>
      <c r="I33" s="9">
        <f>'Salary Record'!I538</f>
        <v>30</v>
      </c>
      <c r="J33" s="13">
        <f>'Salary Record'!K539</f>
        <v>6041.666666666667</v>
      </c>
      <c r="K33" s="13">
        <f>'Salary Record'!K540</f>
        <v>31041.666666666668</v>
      </c>
      <c r="L33" s="9">
        <f>'Salary Record'!G538</f>
        <v>31000</v>
      </c>
      <c r="M33" s="9">
        <f>'Salary Record'!G539</f>
        <v>0</v>
      </c>
      <c r="N33" s="15">
        <f>'Salary Record'!G540</f>
        <v>31000</v>
      </c>
      <c r="O33" s="9">
        <f>'Salary Record'!G541</f>
        <v>2000</v>
      </c>
      <c r="P33" s="15">
        <f>'Salary Record'!G542</f>
        <v>29000</v>
      </c>
      <c r="Q33" s="91">
        <f>'Salary Record'!K542</f>
        <v>29041.666666666668</v>
      </c>
      <c r="R33" s="80"/>
      <c r="S33" s="122"/>
    </row>
    <row r="34" spans="1:24" s="208" customFormat="1" ht="21" x14ac:dyDescent="0.3">
      <c r="A34" s="350" t="s">
        <v>2</v>
      </c>
      <c r="B34" s="351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20431.25</v>
      </c>
      <c r="K34" s="234">
        <f>SUM(K30:K33)</f>
        <v>142431.25</v>
      </c>
      <c r="L34" s="232"/>
      <c r="M34" s="232"/>
      <c r="N34" s="232"/>
      <c r="O34" s="232"/>
      <c r="P34" s="232"/>
      <c r="Q34" s="206">
        <f>SUM(Q30:Q33)</f>
        <v>132431.25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52" t="s">
        <v>33</v>
      </c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  <c r="Q36" s="354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28</v>
      </c>
      <c r="G37" s="184">
        <f>'Salary Record'!C166</f>
        <v>2</v>
      </c>
      <c r="H37" s="184">
        <f>'Salary Record'!I164</f>
        <v>11</v>
      </c>
      <c r="I37" s="184">
        <f>'Salary Record'!I163</f>
        <v>30</v>
      </c>
      <c r="J37" s="325">
        <f>'Salary Record'!K164</f>
        <v>2750</v>
      </c>
      <c r="K37" s="180">
        <f>'Salary Record'!K165</f>
        <v>62750</v>
      </c>
      <c r="L37" s="181">
        <f>'Salary Record'!G163</f>
        <v>58200</v>
      </c>
      <c r="M37" s="182">
        <f>'Salary Record'!G164</f>
        <v>0</v>
      </c>
      <c r="N37" s="183">
        <f>'Salary Record'!G165</f>
        <v>58200</v>
      </c>
      <c r="O37" s="182">
        <f>'Salary Record'!G166</f>
        <v>5000</v>
      </c>
      <c r="P37" s="183">
        <f>'Salary Record'!G167</f>
        <v>53200</v>
      </c>
      <c r="Q37" s="185">
        <f>'Salary Record'!K167</f>
        <v>57750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29</v>
      </c>
      <c r="G38" s="184">
        <f>'Salary Record'!C136</f>
        <v>1</v>
      </c>
      <c r="H38" s="67">
        <f>'Salary Record'!I134</f>
        <v>5.5</v>
      </c>
      <c r="I38" s="67">
        <f>'Salary Record'!I133</f>
        <v>30</v>
      </c>
      <c r="J38" s="180">
        <f>'Salary Record'!K134</f>
        <v>802.08333333333337</v>
      </c>
      <c r="K38" s="67">
        <f>'Salary Record'!K135</f>
        <v>35802.083333333336</v>
      </c>
      <c r="L38" s="181" t="str">
        <f>'Salary Record'!G133</f>
        <v/>
      </c>
      <c r="M38" s="182">
        <f>'Salary Record'!G134</f>
        <v>0</v>
      </c>
      <c r="N38" s="183" t="str">
        <f>'Salary Record'!G135</f>
        <v/>
      </c>
      <c r="O38" s="182">
        <f>'Salary Record'!G136</f>
        <v>0</v>
      </c>
      <c r="P38" s="183" t="str">
        <f>'Salary Record'!G137</f>
        <v/>
      </c>
      <c r="Q38" s="185">
        <f>'Salary Record'!K137</f>
        <v>35802.083333333336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24" t="s">
        <v>4</v>
      </c>
      <c r="C39" s="135"/>
      <c r="D39" s="136"/>
      <c r="E39" s="184">
        <f>'Salary Record'!K564</f>
        <v>35000</v>
      </c>
      <c r="F39" s="184">
        <f>'Salary Record'!C570</f>
        <v>30</v>
      </c>
      <c r="G39" s="184">
        <f>'Salary Record'!C571</f>
        <v>0</v>
      </c>
      <c r="H39" s="184">
        <f>'Salary Record'!I569</f>
        <v>108</v>
      </c>
      <c r="I39" s="184">
        <f>'Salary Record'!I568</f>
        <v>30</v>
      </c>
      <c r="J39" s="325">
        <f>'Salary Record'!K569</f>
        <v>15750.000000000002</v>
      </c>
      <c r="K39" s="67">
        <f>'Salary Record'!K570</f>
        <v>50750</v>
      </c>
      <c r="L39" s="181">
        <f>'Salary Record'!G568</f>
        <v>5000</v>
      </c>
      <c r="M39" s="182">
        <f>'Salary Record'!G569</f>
        <v>10000</v>
      </c>
      <c r="N39" s="183">
        <f>'Salary Record'!G570</f>
        <v>15000</v>
      </c>
      <c r="O39" s="182">
        <f>'Salary Record'!G571</f>
        <v>5000</v>
      </c>
      <c r="P39" s="183">
        <f>'Salary Record'!G572</f>
        <v>10000</v>
      </c>
      <c r="Q39" s="185">
        <f>'Salary Record'!K572</f>
        <v>45750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20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29</v>
      </c>
      <c r="G40" s="186">
        <f>'Salary Record'!C181</f>
        <v>1</v>
      </c>
      <c r="H40" s="181">
        <f>'Salary Record'!I179</f>
        <v>1</v>
      </c>
      <c r="I40" s="181">
        <f>'Salary Record'!I178</f>
        <v>30</v>
      </c>
      <c r="J40" s="180">
        <f>'Salary Record'!K179</f>
        <v>208.33333333333334</v>
      </c>
      <c r="K40" s="180">
        <f>'Salary Record'!K180</f>
        <v>50208.333333333336</v>
      </c>
      <c r="L40" s="181">
        <f>'Salary Record'!G178</f>
        <v>72000</v>
      </c>
      <c r="M40" s="181">
        <f>'Salary Record'!G179</f>
        <v>0</v>
      </c>
      <c r="N40" s="183">
        <f>'Salary Record'!G180</f>
        <v>72000</v>
      </c>
      <c r="O40" s="181">
        <f>'Salary Record'!G181</f>
        <v>0</v>
      </c>
      <c r="P40" s="183">
        <f>'Salary Record'!G182</f>
        <v>72000</v>
      </c>
      <c r="Q40" s="185">
        <f>'Salary Record'!K182</f>
        <v>50208.333333333336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20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30</v>
      </c>
      <c r="G41" s="184">
        <f>'Salary Record'!C617</f>
        <v>0</v>
      </c>
      <c r="H41" s="205">
        <f>'Salary Record'!I615</f>
        <v>29</v>
      </c>
      <c r="I41" s="205">
        <f>'Salary Record'!I614</f>
        <v>30</v>
      </c>
      <c r="J41" s="180">
        <f>'Salary Record'!K615</f>
        <v>3625</v>
      </c>
      <c r="K41" s="180">
        <f>'Salary Record'!K616</f>
        <v>33625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33625</v>
      </c>
      <c r="R41" s="122"/>
      <c r="T41" s="124"/>
    </row>
    <row r="42" spans="1:24" s="123" customFormat="1" ht="21" customHeight="1" x14ac:dyDescent="0.2">
      <c r="A42" s="213">
        <v>6</v>
      </c>
      <c r="B42" s="321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27</v>
      </c>
      <c r="G42" s="184">
        <f>'Salary Record'!C648</f>
        <v>3</v>
      </c>
      <c r="H42" s="67">
        <f>'Salary Record'!I646</f>
        <v>19</v>
      </c>
      <c r="I42" s="67">
        <f>'Salary Record'!I645</f>
        <v>27</v>
      </c>
      <c r="J42" s="184">
        <f>'Salary Record'!K646</f>
        <v>3562.5</v>
      </c>
      <c r="K42" s="184">
        <f>'Salary Record'!K647</f>
        <v>44062.5</v>
      </c>
      <c r="L42" s="203">
        <f>'Salary Record'!G645</f>
        <v>0</v>
      </c>
      <c r="M42" s="67">
        <f>'Salary Record'!G646</f>
        <v>14000</v>
      </c>
      <c r="N42" s="198">
        <f>'Salary Record'!G647</f>
        <v>14000</v>
      </c>
      <c r="O42" s="67">
        <f>'Salary Record'!G648</f>
        <v>7000</v>
      </c>
      <c r="P42" s="198">
        <f>'Salary Record'!G649</f>
        <v>7000</v>
      </c>
      <c r="Q42" s="185">
        <f>'Salary Record'!K649</f>
        <v>37062.5</v>
      </c>
      <c r="R42" s="122"/>
      <c r="S42" s="122"/>
      <c r="T42" s="124"/>
      <c r="U42" s="122"/>
    </row>
    <row r="43" spans="1:24" ht="15.75" x14ac:dyDescent="0.25">
      <c r="A43" s="213">
        <v>7</v>
      </c>
      <c r="B43" s="322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26</v>
      </c>
      <c r="G43" s="18">
        <f>'Salary Record'!C664</f>
        <v>4</v>
      </c>
      <c r="H43" s="9">
        <f>'Salary Record'!I662</f>
        <v>65</v>
      </c>
      <c r="I43" s="9">
        <f>'Salary Record'!I661</f>
        <v>26</v>
      </c>
      <c r="J43" s="44">
        <f>'Salary Record'!K662</f>
        <v>5958.3333333333339</v>
      </c>
      <c r="K43" s="44">
        <f>'Salary Record'!K663</f>
        <v>25025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25025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27</v>
      </c>
      <c r="G44" s="186">
        <f>'Salary Record'!C211</f>
        <v>3</v>
      </c>
      <c r="H44" s="181">
        <f>'Salary Record'!I209</f>
        <v>16</v>
      </c>
      <c r="I44" s="181">
        <f>'Salary Record'!I208</f>
        <v>27</v>
      </c>
      <c r="J44" s="193">
        <f>'Salary Record'!K209</f>
        <v>1733.3333333333333</v>
      </c>
      <c r="K44" s="193">
        <f>'Salary Record'!K210</f>
        <v>25133.333333333332</v>
      </c>
      <c r="L44" s="194">
        <f>'Salary Record'!G208</f>
        <v>9225</v>
      </c>
      <c r="M44" s="194">
        <f>'Salary Record'!G209</f>
        <v>11000</v>
      </c>
      <c r="N44" s="204">
        <f>'Salary Record'!G210</f>
        <v>20225</v>
      </c>
      <c r="O44" s="194">
        <f>'Salary Record'!G211</f>
        <v>8000</v>
      </c>
      <c r="P44" s="204">
        <f>'Salary Record'!G212</f>
        <v>12225</v>
      </c>
      <c r="Q44" s="247">
        <f>'Salary Record'!K212</f>
        <v>17133.333333333332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50" t="s">
        <v>2</v>
      </c>
      <c r="B45" s="351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34389.583333333336</v>
      </c>
      <c r="K45" s="234">
        <f>SUM(K37:K44)</f>
        <v>327356.25</v>
      </c>
      <c r="L45" s="232"/>
      <c r="M45" s="232"/>
      <c r="N45" s="232"/>
      <c r="O45" s="232"/>
      <c r="P45" s="232"/>
      <c r="Q45" s="206">
        <f>SUM(Q37:Q44)</f>
        <v>302356.25</v>
      </c>
      <c r="R45" s="207"/>
      <c r="T45" s="209"/>
    </row>
    <row r="46" spans="1:24" s="160" customFormat="1" ht="21" customHeight="1" x14ac:dyDescent="0.2">
      <c r="A46" s="347" t="s">
        <v>88</v>
      </c>
      <c r="B46" s="348"/>
      <c r="C46" s="348"/>
      <c r="D46" s="348"/>
      <c r="E46" s="348"/>
      <c r="F46" s="348"/>
      <c r="G46" s="348"/>
      <c r="H46" s="348"/>
      <c r="I46" s="348"/>
      <c r="J46" s="348"/>
      <c r="K46" s="348"/>
      <c r="L46" s="348"/>
      <c r="M46" s="348"/>
      <c r="N46" s="348"/>
      <c r="O46" s="348"/>
      <c r="P46" s="348"/>
      <c r="Q46" s="349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20000</v>
      </c>
      <c r="F47" s="182">
        <f>'Salary Record'!C390</f>
        <v>30</v>
      </c>
      <c r="G47" s="179">
        <f>'Salary Record'!C391</f>
        <v>0</v>
      </c>
      <c r="H47" s="182">
        <f>'Salary Record'!I389</f>
        <v>7</v>
      </c>
      <c r="I47" s="182">
        <f>'Salary Record'!I388</f>
        <v>30</v>
      </c>
      <c r="J47" s="180">
        <f>'Salary Record'!K389</f>
        <v>583.33333333333326</v>
      </c>
      <c r="K47" s="180">
        <f>'Salary Record'!K390</f>
        <v>20583.333333333332</v>
      </c>
      <c r="L47" s="181">
        <f>'Salary Record'!G388</f>
        <v>24000</v>
      </c>
      <c r="M47" s="182">
        <f>'Salary Record'!G389</f>
        <v>0</v>
      </c>
      <c r="N47" s="183">
        <f>'Salary Record'!G390</f>
        <v>24000</v>
      </c>
      <c r="O47" s="182">
        <f>'Salary Record'!G391</f>
        <v>2000</v>
      </c>
      <c r="P47" s="183">
        <f>'Salary Record'!G392</f>
        <v>22000</v>
      </c>
      <c r="Q47" s="185">
        <f>'Salary Record'!K392</f>
        <v>18583.333333333332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24" t="str">
        <f>'Salary Record'!C340</f>
        <v>M. Sami</v>
      </c>
      <c r="C48" s="150" t="s">
        <v>85</v>
      </c>
      <c r="D48" s="149">
        <f>Q48</f>
        <v>31275</v>
      </c>
      <c r="E48" s="67">
        <f>'Salary Record'!K339</f>
        <v>27000</v>
      </c>
      <c r="F48" s="182">
        <f>'Salary Record'!C345</f>
        <v>30</v>
      </c>
      <c r="G48" s="184">
        <f>'Salary Record'!C346</f>
        <v>0</v>
      </c>
      <c r="H48" s="67">
        <f>'Salary Record'!I344</f>
        <v>38</v>
      </c>
      <c r="I48" s="67">
        <f>'Salary Record'!I343</f>
        <v>30</v>
      </c>
      <c r="J48" s="180">
        <f>'Salary Record'!K344</f>
        <v>4275</v>
      </c>
      <c r="K48" s="180">
        <f>'Salary Record'!K345</f>
        <v>31275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31275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21000</v>
      </c>
      <c r="F49" s="182">
        <f>'Salary Record'!C360</f>
        <v>30</v>
      </c>
      <c r="G49" s="184">
        <f>'Salary Record'!C361</f>
        <v>0</v>
      </c>
      <c r="H49" s="67">
        <f>'Salary Record'!I359</f>
        <v>13</v>
      </c>
      <c r="I49" s="67">
        <f>'Salary Record'!I358</f>
        <v>30</v>
      </c>
      <c r="J49" s="180">
        <f>'Salary Record'!K359</f>
        <v>1137.5</v>
      </c>
      <c r="K49" s="180">
        <f>'Salary Record'!K360</f>
        <v>22137.5</v>
      </c>
      <c r="L49" s="181" t="str">
        <f>'Salary Record'!G358</f>
        <v/>
      </c>
      <c r="M49" s="182">
        <f>'Salary Record'!G359</f>
        <v>0</v>
      </c>
      <c r="N49" s="183" t="str">
        <f>'Salary Record'!G360</f>
        <v/>
      </c>
      <c r="O49" s="182">
        <f>'Salary Record'!G361</f>
        <v>0</v>
      </c>
      <c r="P49" s="183" t="str">
        <f>'Salary Record'!G362</f>
        <v/>
      </c>
      <c r="Q49" s="185">
        <f>'Salary Record'!K362</f>
        <v>22137.5</v>
      </c>
      <c r="R49" s="122" t="s">
        <v>123</v>
      </c>
      <c r="S49" s="122"/>
      <c r="T49" s="124">
        <f>Q45-Q71-Q38</f>
        <v>226075</v>
      </c>
    </row>
    <row r="50" spans="1:23" s="123" customFormat="1" ht="21" customHeight="1" x14ac:dyDescent="0.2">
      <c r="A50" s="213">
        <v>4</v>
      </c>
      <c r="B50" s="320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30</v>
      </c>
      <c r="G50" s="186">
        <f>'Salary Record'!C376</f>
        <v>0</v>
      </c>
      <c r="H50" s="181">
        <f>'Salary Record'!I374</f>
        <v>5</v>
      </c>
      <c r="I50" s="181">
        <f>'Salary Record'!I373</f>
        <v>30</v>
      </c>
      <c r="J50" s="180">
        <f>'Salary Record'!K374</f>
        <v>583.33333333333337</v>
      </c>
      <c r="K50" s="67">
        <f>'Salary Record'!K375</f>
        <v>28583.333333333332</v>
      </c>
      <c r="L50" s="181" t="str">
        <f>'Salary Record'!G373</f>
        <v/>
      </c>
      <c r="M50" s="181">
        <f>'Salary Record'!G374</f>
        <v>0</v>
      </c>
      <c r="N50" s="183" t="str">
        <f>'Salary Record'!G375</f>
        <v/>
      </c>
      <c r="O50" s="181">
        <f>'Salary Record'!G376</f>
        <v>0</v>
      </c>
      <c r="P50" s="183" t="str">
        <f>'Salary Record'!G377</f>
        <v/>
      </c>
      <c r="Q50" s="185">
        <f>'Salary Record'!K377</f>
        <v>28583.333333333332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22000</v>
      </c>
      <c r="F51" s="182">
        <f>'Salary Record'!C330</f>
        <v>28</v>
      </c>
      <c r="G51" s="184">
        <f>'Salary Record'!C331</f>
        <v>2</v>
      </c>
      <c r="H51" s="67">
        <f>'Salary Record'!I329</f>
        <v>126</v>
      </c>
      <c r="I51" s="67">
        <f>'Salary Record'!I328</f>
        <v>30</v>
      </c>
      <c r="J51" s="184">
        <f>'Salary Record'!K329</f>
        <v>11550</v>
      </c>
      <c r="K51" s="184">
        <f>'Salary Record'!K330</f>
        <v>33550</v>
      </c>
      <c r="L51" s="203">
        <f>'Salary Record'!G328</f>
        <v>22000</v>
      </c>
      <c r="M51" s="67">
        <f>'Salary Record'!G329</f>
        <v>0</v>
      </c>
      <c r="N51" s="198">
        <f>'Salary Record'!G330</f>
        <v>22000</v>
      </c>
      <c r="O51" s="67">
        <f>'Salary Record'!G331</f>
        <v>2000</v>
      </c>
      <c r="P51" s="198">
        <f>'Salary Record'!G332</f>
        <v>20000</v>
      </c>
      <c r="Q51" s="185">
        <f>'Salary Record'!K332</f>
        <v>31550</v>
      </c>
      <c r="R51" s="122" t="s">
        <v>139</v>
      </c>
      <c r="S51" s="249"/>
      <c r="T51" s="130"/>
    </row>
    <row r="52" spans="1:23" s="208" customFormat="1" ht="21" x14ac:dyDescent="0.3">
      <c r="A52" s="350" t="s">
        <v>2</v>
      </c>
      <c r="B52" s="351"/>
      <c r="C52" s="232"/>
      <c r="D52" s="232"/>
      <c r="E52" s="234">
        <f>SUM(E47:E51)</f>
        <v>118000</v>
      </c>
      <c r="F52" s="232"/>
      <c r="G52" s="232"/>
      <c r="H52" s="232"/>
      <c r="I52" s="232"/>
      <c r="J52" s="234">
        <f>SUM(J47:J51)</f>
        <v>18129.166666666664</v>
      </c>
      <c r="K52" s="234">
        <f>SUM(K47:K51)</f>
        <v>136129.16666666666</v>
      </c>
      <c r="L52" s="232"/>
      <c r="M52" s="232"/>
      <c r="N52" s="232"/>
      <c r="O52" s="232"/>
      <c r="P52" s="232"/>
      <c r="Q52" s="206">
        <f>SUM(Q47:Q51)</f>
        <v>132129.16666666666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47" t="s">
        <v>89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9"/>
      <c r="R54" s="170"/>
      <c r="S54" s="165"/>
      <c r="T54" s="161"/>
      <c r="W54" s="165"/>
    </row>
    <row r="55" spans="1:23" ht="18" customHeight="1" x14ac:dyDescent="0.25">
      <c r="A55" s="213">
        <v>1</v>
      </c>
      <c r="B55" s="346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22</v>
      </c>
      <c r="G55" s="17">
        <f>'Salary Record'!C680</f>
        <v>8</v>
      </c>
      <c r="H55" s="17">
        <f>'Salary Record'!I678</f>
        <v>0</v>
      </c>
      <c r="I55" s="17">
        <f>'Salary Record'!I677</f>
        <v>22</v>
      </c>
      <c r="J55" s="13">
        <f>'Salary Record'!K678</f>
        <v>0</v>
      </c>
      <c r="K55" s="13">
        <f>'Salary Record'!K679</f>
        <v>124666.66666666667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124666.66666666667</v>
      </c>
      <c r="R55" s="80"/>
    </row>
    <row r="56" spans="1:23" s="123" customFormat="1" ht="18" customHeight="1" x14ac:dyDescent="0.2">
      <c r="A56" s="213">
        <v>2</v>
      </c>
      <c r="B56" s="346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26</v>
      </c>
      <c r="G56" s="184">
        <f>'Salary Record'!C286</f>
        <v>4</v>
      </c>
      <c r="H56" s="205">
        <f>'Salary Record'!I284</f>
        <v>14</v>
      </c>
      <c r="I56" s="205">
        <f>'Salary Record'!I283</f>
        <v>28</v>
      </c>
      <c r="J56" s="180">
        <f>'Salary Record'!K284</f>
        <v>2041.6666666666667</v>
      </c>
      <c r="K56" s="180">
        <f>'Salary Record'!K285</f>
        <v>34708.333333333336</v>
      </c>
      <c r="L56" s="181">
        <f>'Salary Record'!G283</f>
        <v>26870</v>
      </c>
      <c r="M56" s="182">
        <f>'Salary Record'!G284</f>
        <v>30000</v>
      </c>
      <c r="N56" s="183">
        <f>'Salary Record'!G285</f>
        <v>56870</v>
      </c>
      <c r="O56" s="182">
        <f>'Salary Record'!G286</f>
        <v>5000</v>
      </c>
      <c r="P56" s="183">
        <f>'Salary Record'!G287</f>
        <v>51870</v>
      </c>
      <c r="Q56" s="185">
        <f>'Salary Record'!K287</f>
        <v>29708.333333333336</v>
      </c>
      <c r="R56" s="122"/>
      <c r="T56" s="124"/>
    </row>
    <row r="57" spans="1:23" ht="18" customHeight="1" x14ac:dyDescent="0.25">
      <c r="A57" s="213">
        <v>3</v>
      </c>
      <c r="B57" s="346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30</v>
      </c>
      <c r="G57" s="184">
        <f>'Salary Record'!C316</f>
        <v>0</v>
      </c>
      <c r="H57" s="205">
        <f>'Salary Record'!I314</f>
        <v>58</v>
      </c>
      <c r="I57" s="205">
        <f>'Salary Record'!I313</f>
        <v>30</v>
      </c>
      <c r="J57" s="13">
        <f>'Salary Record'!K314</f>
        <v>8458.3333333333339</v>
      </c>
      <c r="K57" s="13">
        <f>'Salary Record'!K315</f>
        <v>43458.333333333336</v>
      </c>
      <c r="L57" s="9">
        <f>'Salary Record'!G313</f>
        <v>20760</v>
      </c>
      <c r="M57" s="14">
        <f>'Salary Record'!G314</f>
        <v>0</v>
      </c>
      <c r="N57" s="15">
        <f>'Salary Record'!G315</f>
        <v>20760</v>
      </c>
      <c r="O57" s="14">
        <f>'Salary Record'!G316</f>
        <v>3000</v>
      </c>
      <c r="P57" s="15">
        <f>'Salary Record'!G317</f>
        <v>17760</v>
      </c>
      <c r="Q57" s="185">
        <f>'Salary Record'!K317</f>
        <v>40458.333333333336</v>
      </c>
      <c r="R57" s="80"/>
      <c r="S57" s="85"/>
    </row>
    <row r="58" spans="1:23" ht="18" customHeight="1" x14ac:dyDescent="0.25">
      <c r="A58" s="213">
        <v>4</v>
      </c>
      <c r="B58" s="346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5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64999.999999999993</v>
      </c>
      <c r="L58" s="76">
        <f>'Salary Record'!G298</f>
        <v>12000</v>
      </c>
      <c r="M58" s="10">
        <f>'Salary Record'!G299</f>
        <v>0</v>
      </c>
      <c r="N58" s="50">
        <f>'Salary Record'!G300</f>
        <v>12000</v>
      </c>
      <c r="O58" s="10">
        <f>'Salary Record'!G301</f>
        <v>0</v>
      </c>
      <c r="P58" s="50">
        <f>'Salary Record'!G302</f>
        <v>12000</v>
      </c>
      <c r="Q58" s="185">
        <f>'Salary Record'!K302</f>
        <v>64999.999999999993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6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29</v>
      </c>
      <c r="G59" s="184">
        <f>'Salary Record'!C271</f>
        <v>1</v>
      </c>
      <c r="H59" s="184">
        <f>'Salary Record'!I269</f>
        <v>50</v>
      </c>
      <c r="I59" s="184">
        <f>'Salary Record'!I268</f>
        <v>29</v>
      </c>
      <c r="J59" s="180">
        <f>'Salary Record'!K269</f>
        <v>7291.666666666667</v>
      </c>
      <c r="K59" s="180">
        <f>'Salary Record'!K270</f>
        <v>41125</v>
      </c>
      <c r="L59" s="181">
        <f>'Salary Record'!G268</f>
        <v>5000</v>
      </c>
      <c r="M59" s="182">
        <f>'Salary Record'!G269</f>
        <v>0</v>
      </c>
      <c r="N59" s="183">
        <f>'Salary Record'!G270</f>
        <v>5000</v>
      </c>
      <c r="O59" s="182">
        <f>'Salary Record'!G271</f>
        <v>5000</v>
      </c>
      <c r="P59" s="183">
        <f>'Salary Record'!G272</f>
        <v>0</v>
      </c>
      <c r="Q59" s="185">
        <f>'Salary Record'!K272</f>
        <v>36125</v>
      </c>
      <c r="R59" s="122">
        <f>Q59+Q62+Q63+Q65</f>
        <v>147979.16666666669</v>
      </c>
      <c r="S59" s="122"/>
      <c r="T59" s="124"/>
    </row>
    <row r="60" spans="1:23" s="123" customFormat="1" ht="18" customHeight="1" x14ac:dyDescent="0.2">
      <c r="A60" s="213">
        <v>6</v>
      </c>
      <c r="B60" s="346" t="str">
        <f>'Salary Record'!C596</f>
        <v>Fahad</v>
      </c>
      <c r="C60" s="146" t="s">
        <v>37</v>
      </c>
      <c r="D60" s="147">
        <f>SUM(Q46:Q84)</f>
        <v>3972631.2500000005</v>
      </c>
      <c r="E60" s="205">
        <f>'Salary Record'!K595</f>
        <v>35000</v>
      </c>
      <c r="F60" s="182">
        <f>'Salary Record'!C601</f>
        <v>28</v>
      </c>
      <c r="G60" s="179">
        <f>'Salary Record'!C602</f>
        <v>2</v>
      </c>
      <c r="H60" s="182">
        <f>'Salary Record'!I600</f>
        <v>8</v>
      </c>
      <c r="I60" s="182">
        <f>'Salary Record'!I599</f>
        <v>28</v>
      </c>
      <c r="J60" s="180">
        <f>'Salary Record'!K600</f>
        <v>1166.6666666666667</v>
      </c>
      <c r="K60" s="180">
        <f>'Salary Record'!K601</f>
        <v>33833.333333333336</v>
      </c>
      <c r="L60" s="181">
        <f>'Salary Record'!G599</f>
        <v>6000</v>
      </c>
      <c r="M60" s="182">
        <f>'Salary Record'!G600</f>
        <v>0</v>
      </c>
      <c r="N60" s="182">
        <f>'Salary Record'!G601</f>
        <v>6000</v>
      </c>
      <c r="O60" s="182">
        <f>'Salary Record'!G602</f>
        <v>2000</v>
      </c>
      <c r="P60" s="183">
        <f>'Salary Record'!G603</f>
        <v>4000</v>
      </c>
      <c r="Q60" s="185">
        <f>'Salary Record'!K603</f>
        <v>31833.333333333336</v>
      </c>
      <c r="R60" s="122"/>
      <c r="S60" s="122">
        <f>Q56+Q60+Q62+Q63+Q65</f>
        <v>173395.83333333334</v>
      </c>
      <c r="T60" s="124"/>
    </row>
    <row r="61" spans="1:23" ht="18" customHeight="1" x14ac:dyDescent="0.25">
      <c r="A61" s="213">
        <v>7</v>
      </c>
      <c r="B61" s="346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30</v>
      </c>
      <c r="G61" s="17">
        <f>'Salary Record'!C256</f>
        <v>0</v>
      </c>
      <c r="H61" s="17">
        <f>'Salary Record'!I254</f>
        <v>97</v>
      </c>
      <c r="I61" s="17">
        <f>'Salary Record'!I253</f>
        <v>30</v>
      </c>
      <c r="J61" s="13">
        <f>'Salary Record'!K254</f>
        <v>14145.833333333334</v>
      </c>
      <c r="K61" s="13">
        <f>'Salary Record'!K255</f>
        <v>49145.833333333336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49145.833333333336</v>
      </c>
      <c r="R61" s="83"/>
      <c r="S61" s="8"/>
    </row>
    <row r="62" spans="1:23" ht="18" customHeight="1" x14ac:dyDescent="0.25">
      <c r="A62" s="213">
        <v>8</v>
      </c>
      <c r="B62" s="346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30</v>
      </c>
      <c r="G62" s="17">
        <f>'Salary Record'!C241</f>
        <v>0</v>
      </c>
      <c r="H62" s="17">
        <f>'Salary Record'!I239</f>
        <v>62</v>
      </c>
      <c r="I62" s="17">
        <f>'Salary Record'!I238</f>
        <v>30</v>
      </c>
      <c r="J62" s="13">
        <f>'Salary Record'!K239</f>
        <v>6458.3333333333339</v>
      </c>
      <c r="K62" s="13">
        <f>'Salary Record'!K240</f>
        <v>31458.333333333336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31458.333333333336</v>
      </c>
      <c r="R62" s="80"/>
    </row>
    <row r="63" spans="1:23" s="123" customFormat="1" ht="18" customHeight="1" x14ac:dyDescent="0.2">
      <c r="A63" s="213">
        <v>9</v>
      </c>
      <c r="B63" s="346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29</v>
      </c>
      <c r="G63" s="184">
        <f>'Salary Record'!C632</f>
        <v>1</v>
      </c>
      <c r="H63" s="184">
        <f>'Salary Record'!I630</f>
        <v>65</v>
      </c>
      <c r="I63" s="184">
        <f>'Salary Record'!I629</f>
        <v>29</v>
      </c>
      <c r="J63" s="180">
        <f>'Salary Record'!K630</f>
        <v>9479.1666666666679</v>
      </c>
      <c r="K63" s="180">
        <f>'Salary Record'!K631</f>
        <v>43312.5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43312.5</v>
      </c>
      <c r="R63" s="122"/>
      <c r="S63" s="122"/>
      <c r="T63" s="124"/>
    </row>
    <row r="64" spans="1:23" ht="18" customHeight="1" x14ac:dyDescent="0.25">
      <c r="A64" s="213">
        <v>10</v>
      </c>
      <c r="B64" s="346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27</v>
      </c>
      <c r="G64" s="17">
        <f>'Salary Record'!C586</f>
        <v>3</v>
      </c>
      <c r="H64" s="10">
        <f>'Salary Record'!I584</f>
        <v>4</v>
      </c>
      <c r="I64" s="10">
        <f>'Salary Record'!I583</f>
        <v>27</v>
      </c>
      <c r="J64" s="13">
        <f>'Salary Record'!K584</f>
        <v>666.66666666666663</v>
      </c>
      <c r="K64" s="10">
        <f>'Salary Record'!K585</f>
        <v>36666.666666666664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36666.666666666664</v>
      </c>
      <c r="R64" s="80"/>
      <c r="S64" s="8"/>
    </row>
    <row r="65" spans="1:24" s="123" customFormat="1" ht="18" customHeight="1" x14ac:dyDescent="0.2">
      <c r="A65" s="213">
        <v>11</v>
      </c>
      <c r="B65" s="346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27</v>
      </c>
      <c r="G65" s="184">
        <f>'Salary Record'!C226</f>
        <v>3</v>
      </c>
      <c r="H65" s="205">
        <f>'Salary Record'!I224</f>
        <v>52</v>
      </c>
      <c r="I65" s="205">
        <f>'Salary Record'!I223</f>
        <v>27</v>
      </c>
      <c r="J65" s="180">
        <f>'Salary Record'!K224</f>
        <v>7583.3333333333339</v>
      </c>
      <c r="K65" s="67">
        <f>'Salary Record'!K225</f>
        <v>39083.333333333336</v>
      </c>
      <c r="L65" s="181">
        <f>'Salary Record'!G223</f>
        <v>9000</v>
      </c>
      <c r="M65" s="181">
        <f>'Salary Record'!G224</f>
        <v>2000</v>
      </c>
      <c r="N65" s="183">
        <f>'Salary Record'!G225</f>
        <v>11000</v>
      </c>
      <c r="O65" s="181">
        <f>'Salary Record'!G226</f>
        <v>2000</v>
      </c>
      <c r="P65" s="183">
        <f>'Salary Record'!G227</f>
        <v>9000</v>
      </c>
      <c r="Q65" s="185">
        <f>'Salary Record'!K227</f>
        <v>37083.333333333336</v>
      </c>
      <c r="R65" s="122"/>
      <c r="T65" s="124"/>
    </row>
    <row r="66" spans="1:24" s="208" customFormat="1" ht="21" x14ac:dyDescent="0.3">
      <c r="A66" s="350" t="s">
        <v>2</v>
      </c>
      <c r="B66" s="351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57291.666666666672</v>
      </c>
      <c r="K66" s="234">
        <f>SUM(K55:K65)</f>
        <v>542458.33333333326</v>
      </c>
      <c r="L66" s="232"/>
      <c r="M66" s="232"/>
      <c r="N66" s="232"/>
      <c r="O66" s="232"/>
      <c r="P66" s="232"/>
      <c r="Q66" s="206">
        <f>SUM(Q55:Q65)</f>
        <v>525458.33333333337</v>
      </c>
      <c r="R66" s="207"/>
      <c r="S66" s="230">
        <f>Q64+Q61+Q60+Q58+Q57</f>
        <v>223104.16666666669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55" t="s">
        <v>226</v>
      </c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6"/>
      <c r="P68" s="356"/>
      <c r="Q68" s="357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435" t="s">
        <v>14</v>
      </c>
      <c r="C69" s="156"/>
      <c r="D69" s="157"/>
      <c r="E69" s="171">
        <f>'Salary Record'!K84</f>
        <v>70000</v>
      </c>
      <c r="F69" s="171">
        <f>'Salary Record'!C90</f>
        <v>30</v>
      </c>
      <c r="G69" s="172">
        <f>'Salary Record'!C91</f>
        <v>0</v>
      </c>
      <c r="H69" s="171">
        <f>'Salary Record'!I89</f>
        <v>103</v>
      </c>
      <c r="I69" s="171">
        <f>'Salary Record'!I88</f>
        <v>30</v>
      </c>
      <c r="J69" s="252">
        <f>'Salary Record'!K89</f>
        <v>30041.666666666668</v>
      </c>
      <c r="K69" s="173">
        <f>'Salary Record'!K90</f>
        <v>100041.66666666667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100041.66666666667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435" t="str">
        <f>'Salary Record'!C689</f>
        <v>Noman Ali Sheikh Ansari</v>
      </c>
      <c r="C70" s="148" t="s">
        <v>84</v>
      </c>
      <c r="D70" s="149">
        <f>SUM(Q27:Q77)</f>
        <v>3087331.25</v>
      </c>
      <c r="E70" s="205">
        <f>'Salary Record'!K692</f>
        <v>70000</v>
      </c>
      <c r="F70" s="205">
        <f>'Salary Record'!C694</f>
        <v>30</v>
      </c>
      <c r="G70" s="184">
        <f>'Salary Record'!C695</f>
        <v>0</v>
      </c>
      <c r="H70" s="205">
        <f>'Salary Record'!I693</f>
        <v>0</v>
      </c>
      <c r="I70" s="205">
        <f>'Salary Record'!I692</f>
        <v>30</v>
      </c>
      <c r="J70" s="180">
        <f>'Salary Record'!K693</f>
        <v>0</v>
      </c>
      <c r="K70" s="180">
        <f>'Salary Record'!K694</f>
        <v>70000</v>
      </c>
      <c r="L70" s="181">
        <f>'Salary Record'!G692</f>
        <v>90000</v>
      </c>
      <c r="M70" s="182">
        <f>'Salary Record'!G693</f>
        <v>0</v>
      </c>
      <c r="N70" s="183">
        <f>'Salary Record'!G694</f>
        <v>90000</v>
      </c>
      <c r="O70" s="182">
        <f>'Salary Record'!G695</f>
        <v>5000</v>
      </c>
      <c r="P70" s="183">
        <f>'Salary Record'!G696</f>
        <v>85000</v>
      </c>
      <c r="Q70" s="185">
        <f>'Salary Record'!K696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435" t="str">
        <f>'Salary Record'!C115</f>
        <v>Amir (JPMC)</v>
      </c>
      <c r="C71" s="143"/>
      <c r="D71" s="140"/>
      <c r="E71" s="67">
        <f>'Salary Record'!K114</f>
        <v>43000</v>
      </c>
      <c r="F71" s="67">
        <f>'Salary Record'!C120</f>
        <v>0</v>
      </c>
      <c r="G71" s="184">
        <f>'Salary Record'!C121</f>
        <v>0</v>
      </c>
      <c r="H71" s="67">
        <f>'Salary Record'!I119</f>
        <v>25</v>
      </c>
      <c r="I71" s="67">
        <f>'Salary Record'!I118</f>
        <v>30</v>
      </c>
      <c r="J71" s="180">
        <f>'Salary Record'!K119</f>
        <v>4479.1666666666661</v>
      </c>
      <c r="K71" s="180">
        <f>'Salary Record'!K120</f>
        <v>47479.166666666664</v>
      </c>
      <c r="L71" s="181">
        <f>'Salary Record'!G118</f>
        <v>67500</v>
      </c>
      <c r="M71" s="181">
        <f>'Salary Record'!G119</f>
        <v>5000</v>
      </c>
      <c r="N71" s="183">
        <f>'Salary Record'!G120</f>
        <v>72500</v>
      </c>
      <c r="O71" s="181">
        <f>'Salary Record'!G121</f>
        <v>7000</v>
      </c>
      <c r="P71" s="183">
        <f>'Salary Record'!G122</f>
        <v>65500</v>
      </c>
      <c r="Q71" s="185">
        <f>'Salary Record'!K122</f>
        <v>40479.166666666664</v>
      </c>
      <c r="R71" s="122" t="s">
        <v>115</v>
      </c>
      <c r="S71" s="122" t="s">
        <v>118</v>
      </c>
      <c r="T71" s="124"/>
    </row>
    <row r="72" spans="1:24" s="123" customFormat="1" ht="21" customHeight="1" x14ac:dyDescent="0.3">
      <c r="A72" s="212">
        <v>4</v>
      </c>
      <c r="B72" s="435" t="str">
        <f>'Salary Record'!C550</f>
        <v>Shahzaib ullah</v>
      </c>
      <c r="C72" s="126"/>
      <c r="D72" s="127"/>
      <c r="E72" s="67">
        <f>'Salary Record'!K549</f>
        <v>45000</v>
      </c>
      <c r="F72" s="67">
        <f>'Salary Record'!C555</f>
        <v>28</v>
      </c>
      <c r="G72" s="184">
        <f>'Salary Record'!C556</f>
        <v>2</v>
      </c>
      <c r="H72" s="67">
        <f>'Salary Record'!I554</f>
        <v>0</v>
      </c>
      <c r="I72" s="67">
        <f>'Salary Record'!I553</f>
        <v>28</v>
      </c>
      <c r="J72" s="180">
        <f>'Salary Record'!K554</f>
        <v>0</v>
      </c>
      <c r="K72" s="67">
        <f>'Salary Record'!K555</f>
        <v>42000</v>
      </c>
      <c r="L72" s="181" t="str">
        <f>'Salary Record'!G553</f>
        <v/>
      </c>
      <c r="M72" s="181">
        <f>'Salary Record'!G554</f>
        <v>0</v>
      </c>
      <c r="N72" s="181" t="str">
        <f>'Salary Record'!G555</f>
        <v/>
      </c>
      <c r="O72" s="181">
        <f>'Salary Record'!G556</f>
        <v>0</v>
      </c>
      <c r="P72" s="181" t="str">
        <f>'Salary Record'!G557</f>
        <v/>
      </c>
      <c r="Q72" s="185">
        <f>'Salary Record'!K557</f>
        <v>42000</v>
      </c>
      <c r="R72" s="122"/>
      <c r="S72" s="122"/>
      <c r="T72" s="209"/>
    </row>
    <row r="73" spans="1:24" s="123" customFormat="1" ht="21" customHeight="1" x14ac:dyDescent="0.2">
      <c r="A73" s="212">
        <v>5</v>
      </c>
      <c r="B73" s="435" t="str">
        <f>'Salary Record'!C400</f>
        <v>A. Lateef Chacha</v>
      </c>
      <c r="C73" s="137"/>
      <c r="D73" s="138"/>
      <c r="E73" s="67">
        <f>'Salary Record'!K399</f>
        <v>27000</v>
      </c>
      <c r="F73" s="67">
        <f>'Salary Record'!C405</f>
        <v>29</v>
      </c>
      <c r="G73" s="184">
        <f>'Salary Record'!C406</f>
        <v>1</v>
      </c>
      <c r="H73" s="67">
        <f>'Salary Record'!I404</f>
        <v>51</v>
      </c>
      <c r="I73" s="67">
        <f>'Salary Record'!I403</f>
        <v>30</v>
      </c>
      <c r="J73" s="180">
        <f>'Salary Record'!K404</f>
        <v>5737.5</v>
      </c>
      <c r="K73" s="180">
        <f>'Salary Record'!K405</f>
        <v>32737.5</v>
      </c>
      <c r="L73" s="181">
        <f>'Salary Record'!G403</f>
        <v>16500</v>
      </c>
      <c r="M73" s="181">
        <f>'Salary Record'!G404</f>
        <v>500</v>
      </c>
      <c r="N73" s="183">
        <f>'Salary Record'!G405</f>
        <v>17000</v>
      </c>
      <c r="O73" s="181">
        <f>'Salary Record'!G406</f>
        <v>2000</v>
      </c>
      <c r="P73" s="183">
        <f>'Salary Record'!G407</f>
        <v>15000</v>
      </c>
      <c r="Q73" s="185">
        <f>'Salary Record'!K407</f>
        <v>30737.5</v>
      </c>
      <c r="R73" s="122"/>
      <c r="S73" s="122"/>
      <c r="T73" s="124"/>
    </row>
    <row r="74" spans="1:24" ht="15.75" x14ac:dyDescent="0.25">
      <c r="A74" s="212">
        <v>6</v>
      </c>
      <c r="B74" s="435" t="str">
        <f>'Salary Record'!C415</f>
        <v>Lateef</v>
      </c>
      <c r="C74" s="12"/>
      <c r="D74" s="51"/>
      <c r="E74" s="9">
        <f>'Salary Record'!K414</f>
        <v>30000</v>
      </c>
      <c r="F74" s="9">
        <f>'Salary Record'!C420</f>
        <v>26</v>
      </c>
      <c r="G74" s="18">
        <f>'Salary Record'!C421</f>
        <v>4</v>
      </c>
      <c r="H74" s="9">
        <f>'Salary Record'!I419</f>
        <v>28</v>
      </c>
      <c r="I74" s="9">
        <f>'Salary Record'!I418</f>
        <v>26</v>
      </c>
      <c r="J74" s="13">
        <f>'Salary Record'!K419</f>
        <v>3500</v>
      </c>
      <c r="K74" s="13">
        <f>'Salary Record'!K420</f>
        <v>29500</v>
      </c>
      <c r="L74" s="9">
        <f>'Salary Record'!G418</f>
        <v>38500</v>
      </c>
      <c r="M74" s="9">
        <f>'Salary Record'!G419</f>
        <v>1000</v>
      </c>
      <c r="N74" s="97">
        <f>'Salary Record'!G420</f>
        <v>39500</v>
      </c>
      <c r="O74" s="9">
        <f>'Salary Record'!G421</f>
        <v>6000</v>
      </c>
      <c r="P74" s="97">
        <f>'Salary Record'!G422</f>
        <v>33500</v>
      </c>
      <c r="Q74" s="91">
        <f>'Salary Record'!K422</f>
        <v>23500</v>
      </c>
      <c r="R74" s="80"/>
      <c r="S74" s="8"/>
      <c r="V74" s="2"/>
      <c r="X74" s="2"/>
    </row>
    <row r="75" spans="1:24" s="123" customFormat="1" ht="21" customHeight="1" x14ac:dyDescent="0.2">
      <c r="A75" s="212">
        <v>7</v>
      </c>
      <c r="B75" s="435" t="s">
        <v>29</v>
      </c>
      <c r="C75" s="148"/>
      <c r="D75" s="149"/>
      <c r="E75" s="178">
        <f>'Salary Record'!K189</f>
        <v>35000</v>
      </c>
      <c r="F75" s="178">
        <f>'Salary Record'!C195</f>
        <v>27</v>
      </c>
      <c r="G75" s="179">
        <f>'Salary Record'!C196</f>
        <v>3</v>
      </c>
      <c r="H75" s="178">
        <f>'Salary Record'!I194</f>
        <v>96</v>
      </c>
      <c r="I75" s="178">
        <f>'Salary Record'!I193</f>
        <v>27</v>
      </c>
      <c r="J75" s="325">
        <f>'Salary Record'!K194</f>
        <v>14000</v>
      </c>
      <c r="K75" s="67">
        <f>'Salary Record'!K195</f>
        <v>45500</v>
      </c>
      <c r="L75" s="181">
        <f>'Salary Record'!G193</f>
        <v>84000</v>
      </c>
      <c r="M75" s="182">
        <f>'Salary Record'!G194</f>
        <v>0</v>
      </c>
      <c r="N75" s="183">
        <f>'Salary Record'!G195</f>
        <v>84000</v>
      </c>
      <c r="O75" s="182">
        <f>'Salary Record'!G196</f>
        <v>5000</v>
      </c>
      <c r="P75" s="183">
        <f>'Salary Record'!G197</f>
        <v>79000</v>
      </c>
      <c r="Q75" s="185">
        <f>'Salary Record'!K197</f>
        <v>40500</v>
      </c>
      <c r="R75" s="122" t="s">
        <v>129</v>
      </c>
      <c r="S75" s="122" t="s">
        <v>130</v>
      </c>
      <c r="T75" s="124"/>
    </row>
    <row r="76" spans="1:24" s="123" customFormat="1" ht="21" customHeight="1" x14ac:dyDescent="0.2">
      <c r="A76" s="212">
        <v>8</v>
      </c>
      <c r="B76" s="436" t="s">
        <v>9</v>
      </c>
      <c r="C76" s="143"/>
      <c r="D76" s="140"/>
      <c r="E76" s="184">
        <f>'Salary Record'!K144</f>
        <v>30000</v>
      </c>
      <c r="F76" s="184">
        <f>'Salary Record'!C150</f>
        <v>29</v>
      </c>
      <c r="G76" s="184">
        <f>'Salary Record'!C151</f>
        <v>1</v>
      </c>
      <c r="H76" s="184">
        <f>'Salary Record'!I149</f>
        <v>151</v>
      </c>
      <c r="I76" s="184">
        <f>'Salary Record'!I148</f>
        <v>30</v>
      </c>
      <c r="J76" s="180">
        <f>'Salary Record'!K149</f>
        <v>18875</v>
      </c>
      <c r="K76" s="180">
        <f>'Salary Record'!K150</f>
        <v>48875</v>
      </c>
      <c r="L76" s="181">
        <f>'Salary Record'!G148</f>
        <v>46867</v>
      </c>
      <c r="M76" s="182">
        <f>'Salary Record'!G149</f>
        <v>1000</v>
      </c>
      <c r="N76" s="183">
        <f>'Salary Record'!G150</f>
        <v>47867</v>
      </c>
      <c r="O76" s="182">
        <f>'Salary Record'!G151</f>
        <v>7000</v>
      </c>
      <c r="P76" s="183">
        <f>'Salary Record'!G152</f>
        <v>40867</v>
      </c>
      <c r="Q76" s="185">
        <f>'Salary Record'!K152</f>
        <v>41875</v>
      </c>
      <c r="R76" s="122" t="s">
        <v>119</v>
      </c>
      <c r="S76" s="122" t="s">
        <v>120</v>
      </c>
      <c r="T76" s="124"/>
    </row>
    <row r="77" spans="1:24" s="208" customFormat="1" ht="21" x14ac:dyDescent="0.3">
      <c r="A77" s="350" t="s">
        <v>2</v>
      </c>
      <c r="B77" s="351"/>
      <c r="C77" s="232"/>
      <c r="D77" s="232"/>
      <c r="E77" s="236">
        <f>SUM(E69:E76)</f>
        <v>350000</v>
      </c>
      <c r="F77" s="232"/>
      <c r="G77" s="232"/>
      <c r="H77" s="232"/>
      <c r="I77" s="232"/>
      <c r="J77" s="236">
        <f>SUM(J69:J76)</f>
        <v>76633.333333333343</v>
      </c>
      <c r="K77" s="236">
        <f>SUM(K69:K76)</f>
        <v>416133.33333333337</v>
      </c>
      <c r="L77" s="232"/>
      <c r="M77" s="232"/>
      <c r="N77" s="232"/>
      <c r="O77" s="232"/>
      <c r="P77" s="232"/>
      <c r="Q77" s="206">
        <f>SUM(Q69:Q76)</f>
        <v>384133.33333333337</v>
      </c>
      <c r="R77" s="207"/>
      <c r="T77" s="209"/>
    </row>
    <row r="78" spans="1:24" s="208" customFormat="1" ht="21" x14ac:dyDescent="0.3">
      <c r="A78" s="261"/>
      <c r="B78" s="262"/>
      <c r="C78" s="263"/>
      <c r="D78" s="263"/>
      <c r="E78" s="185"/>
      <c r="F78" s="263"/>
      <c r="G78" s="263"/>
      <c r="H78" s="263"/>
      <c r="I78" s="263"/>
      <c r="J78" s="185"/>
      <c r="K78" s="264"/>
      <c r="L78" s="232"/>
      <c r="M78" s="232"/>
      <c r="N78" s="232"/>
      <c r="O78" s="232"/>
      <c r="P78" s="232"/>
      <c r="Q78" s="265"/>
      <c r="R78" s="230"/>
      <c r="T78" s="266"/>
    </row>
    <row r="79" spans="1:24" ht="21" customHeight="1" x14ac:dyDescent="0.2">
      <c r="A79" s="366" t="s">
        <v>102</v>
      </c>
      <c r="B79" s="367"/>
      <c r="C79" s="226"/>
      <c r="D79" s="226"/>
      <c r="E79" s="237">
        <f>SUM(E4+E5+E66+E52+E45+E34+E27+E20+E11+E77)</f>
        <v>1900500</v>
      </c>
      <c r="F79" s="226"/>
      <c r="G79" s="226"/>
      <c r="H79" s="226"/>
      <c r="I79" s="226"/>
      <c r="J79" s="237">
        <f>SUM(J4+J5+J66+J52+J45+J34+J27+J20+J11+J77)</f>
        <v>227339.58333333337</v>
      </c>
      <c r="K79" s="227"/>
      <c r="L79" s="211">
        <f>SUM(L4:L77)</f>
        <v>744422</v>
      </c>
      <c r="M79" s="235">
        <f>SUM(M4:M77)</f>
        <v>124500</v>
      </c>
      <c r="N79" s="211">
        <f>SUM(N4:N77)</f>
        <v>868922</v>
      </c>
      <c r="O79" s="211">
        <f>SUM(O4:O77)</f>
        <v>92500</v>
      </c>
      <c r="P79" s="211">
        <f>SUM(P4:P77)</f>
        <v>776422</v>
      </c>
      <c r="Q79" s="210">
        <f>SUM(Q4+Q5++Q66+Q52+Q45+Q34+Q27+Q20+Q11+Q77)+20000</f>
        <v>1889189.5833333335</v>
      </c>
      <c r="R79" s="82"/>
      <c r="S79" s="8"/>
      <c r="U79" s="8"/>
    </row>
    <row r="80" spans="1:24" ht="20.45" customHeight="1" x14ac:dyDescent="0.2">
      <c r="A80" s="368" t="s">
        <v>172</v>
      </c>
      <c r="B80" s="369"/>
      <c r="C80" s="369"/>
      <c r="D80" s="369"/>
      <c r="E80" s="369"/>
      <c r="F80" s="369"/>
      <c r="G80" s="369"/>
      <c r="H80" s="369"/>
      <c r="I80" s="369"/>
      <c r="J80" s="369"/>
      <c r="K80" s="369"/>
      <c r="L80" s="369"/>
      <c r="M80" s="369"/>
      <c r="N80" s="369"/>
      <c r="O80" s="369"/>
      <c r="P80" s="370"/>
      <c r="Q80" s="98"/>
      <c r="R80" s="82"/>
      <c r="S80" s="8"/>
      <c r="U80" s="8"/>
    </row>
    <row r="81" spans="1:21" ht="20.45" customHeight="1" x14ac:dyDescent="0.2">
      <c r="A81" s="368" t="s">
        <v>173</v>
      </c>
      <c r="B81" s="369"/>
      <c r="C81" s="369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70"/>
      <c r="Q81" s="98"/>
      <c r="R81" s="82"/>
      <c r="S81" s="8"/>
      <c r="U81" s="8"/>
    </row>
    <row r="82" spans="1:21" ht="20.45" customHeight="1" x14ac:dyDescent="0.25">
      <c r="A82" s="214"/>
      <c r="B82" s="84"/>
      <c r="C82" s="84"/>
      <c r="D82" s="84"/>
      <c r="E82" s="84"/>
      <c r="F82" s="84"/>
      <c r="G82" s="84"/>
      <c r="H82" s="84"/>
      <c r="I82" s="84"/>
      <c r="J82" s="84"/>
      <c r="K82" s="100"/>
      <c r="L82" s="100"/>
      <c r="M82" s="100"/>
      <c r="N82" s="100"/>
      <c r="O82" s="101"/>
      <c r="P82" s="101"/>
      <c r="Q82" s="102"/>
      <c r="R82" s="82"/>
      <c r="S82" s="8"/>
      <c r="U82" s="8"/>
    </row>
    <row r="83" spans="1:21" ht="18" x14ac:dyDescent="0.25">
      <c r="A83" s="215"/>
      <c r="B83" s="99"/>
      <c r="C83" s="60"/>
      <c r="D83" s="61"/>
      <c r="E83" s="9"/>
      <c r="F83" s="9"/>
      <c r="G83" s="18"/>
      <c r="H83" s="63"/>
      <c r="I83" s="9"/>
      <c r="J83" s="13"/>
      <c r="K83" s="10"/>
      <c r="L83" s="9"/>
      <c r="M83" s="9"/>
      <c r="N83" s="15"/>
      <c r="O83" s="9"/>
      <c r="P83" s="15"/>
      <c r="Q83" s="251"/>
      <c r="R83" s="80"/>
      <c r="S83" s="8"/>
      <c r="U83" s="8"/>
    </row>
    <row r="84" spans="1:21" x14ac:dyDescent="0.2">
      <c r="A84" s="216"/>
      <c r="B84" s="92"/>
      <c r="C84" s="92"/>
      <c r="D84" s="92"/>
      <c r="E84" s="72"/>
      <c r="F84" s="72"/>
      <c r="G84" s="93"/>
      <c r="H84" s="72"/>
      <c r="I84" s="72"/>
      <c r="J84" s="72"/>
      <c r="K84" s="72"/>
      <c r="L84" s="72"/>
      <c r="M84" s="72"/>
      <c r="N84" s="94"/>
      <c r="O84" s="72"/>
      <c r="P84" s="94"/>
      <c r="Q84" s="73"/>
      <c r="S84" s="8"/>
    </row>
    <row r="85" spans="1:21" ht="15.75" x14ac:dyDescent="0.25">
      <c r="A85" s="213">
        <v>9</v>
      </c>
      <c r="B85" s="272" t="str">
        <f>'Salary Record'!C721</f>
        <v>Sheheryar Khalid</v>
      </c>
      <c r="C85" s="68"/>
      <c r="D85" s="69"/>
      <c r="E85" s="9">
        <f>'Salary Record'!K720</f>
        <v>30000</v>
      </c>
      <c r="F85" s="9">
        <f>'Salary Record'!C726</f>
        <v>0</v>
      </c>
      <c r="G85" s="18">
        <f>'Salary Record'!C727</f>
        <v>0</v>
      </c>
      <c r="H85" s="9">
        <f>'Salary Record'!I725</f>
        <v>98</v>
      </c>
      <c r="I85" s="9">
        <f>'Salary Record'!I724</f>
        <v>0</v>
      </c>
      <c r="J85" s="253">
        <f>'Salary Record'!K725</f>
        <v>12250</v>
      </c>
      <c r="K85" s="13">
        <f>'Salary Record'!K726</f>
        <v>12250</v>
      </c>
      <c r="L85" s="9" t="str">
        <f>'Salary Record'!G724</f>
        <v/>
      </c>
      <c r="M85" s="9">
        <f>'Salary Record'!G725</f>
        <v>0</v>
      </c>
      <c r="N85" s="15" t="str">
        <f>'Salary Record'!G726</f>
        <v/>
      </c>
      <c r="O85" s="9">
        <f>'Salary Record'!G727</f>
        <v>0</v>
      </c>
      <c r="P85" s="15" t="str">
        <f>'Salary Record'!G728</f>
        <v/>
      </c>
      <c r="Q85" s="185">
        <f>'Salary Record'!K728</f>
        <v>0</v>
      </c>
      <c r="R85" s="80"/>
    </row>
    <row r="86" spans="1:21" s="123" customFormat="1" ht="21" customHeight="1" x14ac:dyDescent="0.2">
      <c r="A86" s="215">
        <v>5</v>
      </c>
      <c r="B86" s="318" t="str">
        <f>'Salary Record'!C835</f>
        <v>Mubeen</v>
      </c>
      <c r="C86" s="126"/>
      <c r="D86" s="127"/>
      <c r="E86" s="182">
        <f>'Salary Record'!K834</f>
        <v>65000</v>
      </c>
      <c r="F86" s="182">
        <f>'Salary Record'!C840</f>
        <v>0</v>
      </c>
      <c r="G86" s="179">
        <f>'Salary Record'!C841</f>
        <v>0</v>
      </c>
      <c r="H86" s="182">
        <f>'Salary Record'!I839</f>
        <v>0</v>
      </c>
      <c r="I86" s="182">
        <f>'Salary Record'!I838</f>
        <v>30</v>
      </c>
      <c r="J86" s="180">
        <f>'Salary Record'!K839</f>
        <v>0</v>
      </c>
      <c r="K86" s="180">
        <f>'Salary Record'!K840</f>
        <v>64999.999999999993</v>
      </c>
      <c r="L86" s="181" t="str">
        <f>'Salary Record'!G838</f>
        <v/>
      </c>
      <c r="M86" s="182">
        <f>'Salary Record'!G839</f>
        <v>0</v>
      </c>
      <c r="N86" s="183" t="str">
        <f>'Salary Record'!G840</f>
        <v/>
      </c>
      <c r="O86" s="182">
        <f>'Salary Record'!G841</f>
        <v>0</v>
      </c>
      <c r="P86" s="183" t="str">
        <f>'Salary Record'!G842</f>
        <v/>
      </c>
      <c r="Q86" s="185">
        <f>'Salary Record'!K842</f>
        <v>64999.999999999993</v>
      </c>
      <c r="R86" s="122"/>
      <c r="S86" s="122"/>
      <c r="T86" s="124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Record'!K799</f>
        <v>0</v>
      </c>
      <c r="F90" s="10">
        <f>'Salary Record'!C805</f>
        <v>0</v>
      </c>
      <c r="G90" s="17">
        <f>'Salary Record'!C806</f>
        <v>0</v>
      </c>
      <c r="H90" s="10">
        <f>'Salary Record'!I804</f>
        <v>0</v>
      </c>
      <c r="I90" s="10">
        <f>'Salary Record'!I803</f>
        <v>0</v>
      </c>
      <c r="J90" s="13">
        <f>'Salary Record'!K804</f>
        <v>0</v>
      </c>
      <c r="K90" s="10">
        <f>'Salary Record'!K805</f>
        <v>0</v>
      </c>
      <c r="L90" s="9">
        <f>'Salary Record'!G803</f>
        <v>0</v>
      </c>
      <c r="M90" s="14">
        <f>'Salary Record'!G804</f>
        <v>0</v>
      </c>
      <c r="N90" s="15">
        <f>'Salary Record'!G805</f>
        <v>0</v>
      </c>
      <c r="O90" s="10">
        <f>'Salary Record'!G806</f>
        <v>0</v>
      </c>
      <c r="P90" s="15">
        <f>'Salary Record'!G807</f>
        <v>0</v>
      </c>
      <c r="Q90" s="91">
        <f>'Salary Record'!K807</f>
        <v>0</v>
      </c>
      <c r="R90" s="80"/>
      <c r="S90" s="8"/>
    </row>
    <row r="91" spans="1:21" ht="20.25" x14ac:dyDescent="0.3">
      <c r="B91" s="358" t="s">
        <v>92</v>
      </c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November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168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170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258366.66666666669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134314.58333333334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132431.25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302356.25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132129.16666666666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525458.33333333337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168</v>
      </c>
      <c r="C104" s="87"/>
      <c r="D104" s="88"/>
      <c r="E104" s="88">
        <f>Q77</f>
        <v>384133.33333333337</v>
      </c>
      <c r="F104"/>
      <c r="G104" s="8">
        <f>E107-E93-E94-E95-E96-E97-E106</f>
        <v>1911189.5833333335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Q72</f>
        <v>42000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2096189.5833333335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132129.16666666666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B91:L91"/>
    <mergeCell ref="N1:O2"/>
    <mergeCell ref="A1:M2"/>
    <mergeCell ref="A79:B79"/>
    <mergeCell ref="A80:P80"/>
    <mergeCell ref="A81:P81"/>
    <mergeCell ref="A54:Q54"/>
    <mergeCell ref="A68:Q68"/>
    <mergeCell ref="P1:P2"/>
    <mergeCell ref="A6:Q6"/>
    <mergeCell ref="C7:C10"/>
    <mergeCell ref="D7:D10"/>
    <mergeCell ref="A66:B66"/>
    <mergeCell ref="A77:B77"/>
    <mergeCell ref="A27:B27"/>
    <mergeCell ref="A13:Q13"/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topLeftCell="A628" zoomScale="90" zoomScaleNormal="90" zoomScaleSheetLayoutView="90" workbookViewId="0">
      <selection activeCell="C642" sqref="C642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15" t="s">
        <v>64</v>
      </c>
      <c r="D1" s="415"/>
      <c r="E1" s="415"/>
      <c r="F1" s="415"/>
      <c r="G1" s="415"/>
      <c r="H1" s="415"/>
      <c r="I1" s="415"/>
      <c r="J1" s="276" t="s">
        <v>224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728+K807+K587+#REF!+K512+#REF!+#REF!+K407+#REF!+K317+K572+#REF!+K842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K59+K74+K554+K119+K134+#REF!+K149+K569+K164+K194+K630+K269+#REF!+K209+#REF!+K89+K839+K284+K434+K615+K329+K359+K464+K389+K600+#REF!+K344+#REF!+#REF!+K404+K646+#REF!+#REF!+K104+K179+#REF!+K224+K374+K524+K479+K494+K509+#REF!+#REF!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30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85" t="s">
        <v>38</v>
      </c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7"/>
      <c r="M7" s="24"/>
      <c r="N7" s="28"/>
      <c r="O7" s="380" t="s">
        <v>40</v>
      </c>
      <c r="P7" s="381"/>
      <c r="Q7" s="381"/>
      <c r="R7" s="382"/>
      <c r="S7" s="29"/>
      <c r="T7" s="380" t="s">
        <v>41</v>
      </c>
      <c r="U7" s="381"/>
      <c r="V7" s="381"/>
      <c r="W7" s="381"/>
      <c r="X7" s="381"/>
      <c r="Y7" s="382"/>
      <c r="Z7" s="30"/>
      <c r="AA7" s="24"/>
    </row>
    <row r="8" spans="1:27" s="25" customFormat="1" ht="27.75" customHeight="1" x14ac:dyDescent="0.2">
      <c r="A8" s="279"/>
      <c r="B8" s="277"/>
      <c r="C8" s="391" t="s">
        <v>213</v>
      </c>
      <c r="D8" s="391"/>
      <c r="E8" s="391"/>
      <c r="F8" s="391"/>
      <c r="G8" s="280" t="str">
        <f>$J$1</f>
        <v>November</v>
      </c>
      <c r="H8" s="390">
        <f>$K$1</f>
        <v>2023</v>
      </c>
      <c r="I8" s="390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77" t="s">
        <v>41</v>
      </c>
      <c r="G11" s="378"/>
      <c r="H11" s="277"/>
      <c r="I11" s="377" t="s">
        <v>42</v>
      </c>
      <c r="J11" s="379"/>
      <c r="K11" s="378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88" t="s">
        <v>40</v>
      </c>
      <c r="C13" s="389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30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83" t="s">
        <v>67</v>
      </c>
      <c r="J15" s="384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83" t="s">
        <v>68</v>
      </c>
      <c r="J16" s="384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7"/>
      <c r="E17" s="277"/>
      <c r="F17" s="294" t="s">
        <v>202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77" t="s">
        <v>61</v>
      </c>
      <c r="J17" s="378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85" t="s">
        <v>38</v>
      </c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7"/>
      <c r="M22" s="24"/>
      <c r="N22" s="39"/>
      <c r="O22" s="392" t="s">
        <v>40</v>
      </c>
      <c r="P22" s="393"/>
      <c r="Q22" s="393"/>
      <c r="R22" s="394"/>
      <c r="S22" s="27"/>
      <c r="T22" s="392" t="s">
        <v>41</v>
      </c>
      <c r="U22" s="393"/>
      <c r="V22" s="393"/>
      <c r="W22" s="393"/>
      <c r="X22" s="393"/>
      <c r="Y22" s="394"/>
      <c r="Z22" s="48"/>
      <c r="AA22" s="24"/>
    </row>
    <row r="23" spans="1:27" s="25" customFormat="1" ht="27.75" customHeight="1" x14ac:dyDescent="0.2">
      <c r="A23" s="279"/>
      <c r="B23" s="277"/>
      <c r="C23" s="391" t="s">
        <v>213</v>
      </c>
      <c r="D23" s="391"/>
      <c r="E23" s="391"/>
      <c r="F23" s="391"/>
      <c r="G23" s="280" t="str">
        <f>$J$1</f>
        <v>November</v>
      </c>
      <c r="H23" s="390">
        <f>$K$1</f>
        <v>2023</v>
      </c>
      <c r="I23" s="390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77" t="s">
        <v>41</v>
      </c>
      <c r="G26" s="378"/>
      <c r="H26" s="277"/>
      <c r="I26" s="377" t="s">
        <v>42</v>
      </c>
      <c r="J26" s="379"/>
      <c r="K26" s="378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88" t="s">
        <v>40</v>
      </c>
      <c r="C28" s="389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83" t="s">
        <v>67</v>
      </c>
      <c r="J30" s="384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83" t="s">
        <v>68</v>
      </c>
      <c r="J31" s="384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202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77" t="s">
        <v>61</v>
      </c>
      <c r="J32" s="378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85" t="s">
        <v>38</v>
      </c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24"/>
      <c r="N37" s="28"/>
      <c r="O37" s="380" t="s">
        <v>40</v>
      </c>
      <c r="P37" s="381"/>
      <c r="Q37" s="381"/>
      <c r="R37" s="382"/>
      <c r="S37" s="29"/>
      <c r="T37" s="380" t="s">
        <v>41</v>
      </c>
      <c r="U37" s="381"/>
      <c r="V37" s="381"/>
      <c r="W37" s="381"/>
      <c r="X37" s="381"/>
      <c r="Y37" s="382"/>
      <c r="Z37" s="30"/>
      <c r="AA37" s="24"/>
    </row>
    <row r="38" spans="1:27" s="25" customFormat="1" ht="27.75" customHeight="1" x14ac:dyDescent="0.2">
      <c r="A38" s="279"/>
      <c r="B38" s="277"/>
      <c r="C38" s="391" t="s">
        <v>213</v>
      </c>
      <c r="D38" s="391"/>
      <c r="E38" s="391"/>
      <c r="F38" s="391"/>
      <c r="G38" s="280" t="str">
        <f>$J$1</f>
        <v>November</v>
      </c>
      <c r="H38" s="390">
        <f>$K$1</f>
        <v>2023</v>
      </c>
      <c r="I38" s="390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77" t="s">
        <v>41</v>
      </c>
      <c r="G41" s="378"/>
      <c r="H41" s="277"/>
      <c r="I41" s="377" t="s">
        <v>42</v>
      </c>
      <c r="J41" s="379"/>
      <c r="K41" s="378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88" t="s">
        <v>40</v>
      </c>
      <c r="C43" s="389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92"/>
      <c r="I43" s="296">
        <f>IF(C47&gt;=C46,$K$2,C45-C46+C47)</f>
        <v>30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92"/>
      <c r="I45" s="383" t="s">
        <v>67</v>
      </c>
      <c r="J45" s="384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83" t="s">
        <v>68</v>
      </c>
      <c r="J46" s="384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202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500</v>
      </c>
      <c r="H47" s="277"/>
      <c r="I47" s="377" t="s">
        <v>61</v>
      </c>
      <c r="J47" s="378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/>
      <c r="V50" s="38"/>
      <c r="W50" s="64" t="str">
        <f t="shared" si="9"/>
        <v/>
      </c>
      <c r="X50" s="38"/>
      <c r="Y50" s="64" t="str">
        <f t="shared" si="8"/>
        <v/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85" t="s">
        <v>38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24"/>
      <c r="N52" s="28"/>
      <c r="O52" s="380" t="s">
        <v>40</v>
      </c>
      <c r="P52" s="381"/>
      <c r="Q52" s="381"/>
      <c r="R52" s="382"/>
      <c r="S52" s="29"/>
      <c r="T52" s="380" t="s">
        <v>41</v>
      </c>
      <c r="U52" s="381"/>
      <c r="V52" s="381"/>
      <c r="W52" s="381"/>
      <c r="X52" s="381"/>
      <c r="Y52" s="382"/>
      <c r="Z52" s="30"/>
      <c r="AA52" s="24"/>
    </row>
    <row r="53" spans="1:27" s="25" customFormat="1" ht="18" customHeight="1" x14ac:dyDescent="0.2">
      <c r="A53" s="279"/>
      <c r="B53" s="277"/>
      <c r="C53" s="391" t="s">
        <v>213</v>
      </c>
      <c r="D53" s="391"/>
      <c r="E53" s="391"/>
      <c r="F53" s="391"/>
      <c r="G53" s="280" t="str">
        <f>$J$1</f>
        <v>November</v>
      </c>
      <c r="H53" s="390">
        <f>$K$1</f>
        <v>2023</v>
      </c>
      <c r="I53" s="390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77" t="s">
        <v>41</v>
      </c>
      <c r="G56" s="378"/>
      <c r="H56" s="277"/>
      <c r="I56" s="377" t="s">
        <v>42</v>
      </c>
      <c r="J56" s="379"/>
      <c r="K56" s="378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88" t="s">
        <v>40</v>
      </c>
      <c r="C58" s="389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IF(C62&gt;0,$K$2,C60)+1</f>
        <v>28</v>
      </c>
      <c r="J58" s="297" t="s">
        <v>59</v>
      </c>
      <c r="K58" s="298">
        <f>K54/$K$2*I58</f>
        <v>43866.666666666672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/>
      <c r="J59" s="297" t="s">
        <v>60</v>
      </c>
      <c r="K59" s="301">
        <f>K54/$K$2/8*I59</f>
        <v>0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27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83" t="s">
        <v>67</v>
      </c>
      <c r="J60" s="384"/>
      <c r="K60" s="301">
        <f>K58+K59</f>
        <v>43866.666666666672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3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92"/>
      <c r="I61" s="383" t="s">
        <v>68</v>
      </c>
      <c r="J61" s="384"/>
      <c r="K61" s="295">
        <f>G61</f>
        <v>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202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2000</v>
      </c>
      <c r="H62" s="277"/>
      <c r="I62" s="377" t="s">
        <v>61</v>
      </c>
      <c r="J62" s="378"/>
      <c r="K62" s="234">
        <f>K60-K61</f>
        <v>43866.666666666672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4"/>
      <c r="V65" s="38"/>
      <c r="W65" s="64" t="str">
        <f t="shared" si="12"/>
        <v/>
      </c>
      <c r="X65" s="38"/>
      <c r="Y65" s="64" t="str">
        <f t="shared" si="13"/>
        <v/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85" t="s">
        <v>38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7"/>
      <c r="M67" s="24"/>
      <c r="N67" s="28"/>
      <c r="O67" s="380" t="s">
        <v>40</v>
      </c>
      <c r="P67" s="381"/>
      <c r="Q67" s="381"/>
      <c r="R67" s="382"/>
      <c r="S67" s="29"/>
      <c r="T67" s="380" t="s">
        <v>41</v>
      </c>
      <c r="U67" s="381"/>
      <c r="V67" s="381"/>
      <c r="W67" s="381"/>
      <c r="X67" s="381"/>
      <c r="Y67" s="382"/>
      <c r="Z67" s="30"/>
    </row>
    <row r="68" spans="1:26" s="25" customFormat="1" ht="18" customHeight="1" x14ac:dyDescent="0.2">
      <c r="A68" s="279"/>
      <c r="B68" s="277"/>
      <c r="C68" s="391" t="s">
        <v>213</v>
      </c>
      <c r="D68" s="391"/>
      <c r="E68" s="391"/>
      <c r="F68" s="391"/>
      <c r="G68" s="280" t="str">
        <f>$J$1</f>
        <v>November</v>
      </c>
      <c r="H68" s="390">
        <f>$K$1</f>
        <v>2023</v>
      </c>
      <c r="I68" s="390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174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77" t="s">
        <v>41</v>
      </c>
      <c r="G71" s="378"/>
      <c r="H71" s="277"/>
      <c r="I71" s="377" t="s">
        <v>42</v>
      </c>
      <c r="J71" s="379"/>
      <c r="K71" s="378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88" t="s">
        <v>40</v>
      </c>
      <c r="C73" s="389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44000</v>
      </c>
      <c r="H73" s="292"/>
      <c r="I73" s="296">
        <f>IF(C77&gt;0,$K$2,C75)</f>
        <v>30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30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44000</v>
      </c>
      <c r="H75" s="292"/>
      <c r="I75" s="383" t="s">
        <v>67</v>
      </c>
      <c r="J75" s="384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4000</v>
      </c>
      <c r="H76" s="292"/>
      <c r="I76" s="383" t="s">
        <v>68</v>
      </c>
      <c r="J76" s="384"/>
      <c r="K76" s="295">
        <f>G76</f>
        <v>4000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202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77" t="s">
        <v>61</v>
      </c>
      <c r="J77" s="378"/>
      <c r="K77" s="234">
        <f>K75-K76</f>
        <v>76000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4"/>
      <c r="V80" s="38"/>
      <c r="W80" s="64" t="str">
        <f t="shared" si="14"/>
        <v/>
      </c>
      <c r="X80" s="38"/>
      <c r="Y80" s="64" t="str">
        <f t="shared" si="15"/>
        <v/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85" t="s">
        <v>38</v>
      </c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7"/>
      <c r="M82" s="24"/>
      <c r="N82" s="28"/>
      <c r="O82" s="380" t="s">
        <v>40</v>
      </c>
      <c r="P82" s="381"/>
      <c r="Q82" s="381"/>
      <c r="R82" s="382"/>
      <c r="S82" s="29"/>
      <c r="T82" s="380" t="s">
        <v>41</v>
      </c>
      <c r="U82" s="381"/>
      <c r="V82" s="381"/>
      <c r="W82" s="381"/>
      <c r="X82" s="381"/>
      <c r="Y82" s="382"/>
      <c r="Z82" s="30"/>
      <c r="AA82" s="24"/>
    </row>
    <row r="83" spans="1:27" s="25" customFormat="1" ht="18" customHeight="1" x14ac:dyDescent="0.2">
      <c r="A83" s="279"/>
      <c r="B83" s="277"/>
      <c r="C83" s="391" t="s">
        <v>213</v>
      </c>
      <c r="D83" s="391"/>
      <c r="E83" s="391"/>
      <c r="F83" s="391"/>
      <c r="G83" s="280" t="str">
        <f>$J$1</f>
        <v>November</v>
      </c>
      <c r="H83" s="390">
        <f>$K$1</f>
        <v>2023</v>
      </c>
      <c r="I83" s="390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77" t="s">
        <v>41</v>
      </c>
      <c r="G86" s="378"/>
      <c r="H86" s="277"/>
      <c r="I86" s="377" t="s">
        <v>42</v>
      </c>
      <c r="J86" s="379"/>
      <c r="K86" s="378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88" t="s">
        <v>40</v>
      </c>
      <c r="C88" s="389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30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103</v>
      </c>
      <c r="J89" s="297" t="s">
        <v>60</v>
      </c>
      <c r="K89" s="301">
        <f>K84/$K$2/8*I89</f>
        <v>30041.666666666668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83" t="s">
        <v>67</v>
      </c>
      <c r="J90" s="384"/>
      <c r="K90" s="301">
        <f>K88+K89</f>
        <v>100041.66666666667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0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83" t="s">
        <v>68</v>
      </c>
      <c r="J91" s="384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7"/>
      <c r="E92" s="277"/>
      <c r="F92" s="309" t="s">
        <v>202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77" t="s">
        <v>61</v>
      </c>
      <c r="J92" s="378"/>
      <c r="K92" s="234">
        <f>K90-K91</f>
        <v>100041.66666666667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4"/>
      <c r="V95" s="38"/>
      <c r="W95" s="64" t="str">
        <f t="shared" si="18"/>
        <v/>
      </c>
      <c r="X95" s="38"/>
      <c r="Y95" s="64" t="str">
        <f t="shared" si="19"/>
        <v/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85" t="s">
        <v>38</v>
      </c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7"/>
      <c r="M97" s="24"/>
      <c r="N97" s="28"/>
      <c r="O97" s="380" t="s">
        <v>40</v>
      </c>
      <c r="P97" s="381"/>
      <c r="Q97" s="381"/>
      <c r="R97" s="382"/>
      <c r="S97" s="29"/>
      <c r="T97" s="380" t="s">
        <v>41</v>
      </c>
      <c r="U97" s="381"/>
      <c r="V97" s="381"/>
      <c r="W97" s="381"/>
      <c r="X97" s="381"/>
      <c r="Y97" s="382"/>
      <c r="Z97" s="30"/>
    </row>
    <row r="98" spans="1:27" s="25" customFormat="1" ht="18" customHeight="1" x14ac:dyDescent="0.2">
      <c r="A98" s="279"/>
      <c r="B98" s="277"/>
      <c r="C98" s="391" t="s">
        <v>213</v>
      </c>
      <c r="D98" s="391"/>
      <c r="E98" s="391"/>
      <c r="F98" s="391"/>
      <c r="G98" s="280" t="str">
        <f>$J$1</f>
        <v>November</v>
      </c>
      <c r="H98" s="390">
        <f>$K$1</f>
        <v>2023</v>
      </c>
      <c r="I98" s="390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77" t="s">
        <v>41</v>
      </c>
      <c r="G101" s="378"/>
      <c r="H101" s="277"/>
      <c r="I101" s="377" t="s">
        <v>42</v>
      </c>
      <c r="J101" s="379"/>
      <c r="K101" s="378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88" t="s">
        <v>40</v>
      </c>
      <c r="C103" s="389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30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29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92"/>
      <c r="I105" s="383" t="s">
        <v>67</v>
      </c>
      <c r="J105" s="384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92"/>
      <c r="I106" s="383" t="s">
        <v>68</v>
      </c>
      <c r="J106" s="384"/>
      <c r="K106" s="295">
        <f>G106</f>
        <v>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9</v>
      </c>
      <c r="D107" s="277"/>
      <c r="E107" s="277"/>
      <c r="F107" s="309" t="s">
        <v>202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77" t="s">
        <v>61</v>
      </c>
      <c r="J107" s="378"/>
      <c r="K107" s="234">
        <f>K105-K106</f>
        <v>41000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196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/>
      <c r="Q110" s="36"/>
      <c r="R110" s="36">
        <f t="shared" si="23"/>
        <v>9</v>
      </c>
      <c r="S110" s="27"/>
      <c r="T110" s="36" t="s">
        <v>56</v>
      </c>
      <c r="U110" s="64"/>
      <c r="V110" s="38"/>
      <c r="W110" s="64" t="str">
        <f t="shared" si="20"/>
        <v/>
      </c>
      <c r="X110" s="38"/>
      <c r="Y110" s="64" t="str">
        <f t="shared" si="21"/>
        <v/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85" t="s">
        <v>38</v>
      </c>
      <c r="B112" s="386"/>
      <c r="C112" s="386"/>
      <c r="D112" s="386"/>
      <c r="E112" s="386"/>
      <c r="F112" s="386"/>
      <c r="G112" s="386"/>
      <c r="H112" s="386"/>
      <c r="I112" s="386"/>
      <c r="J112" s="386"/>
      <c r="K112" s="386"/>
      <c r="L112" s="387"/>
      <c r="M112" s="24"/>
      <c r="N112" s="28"/>
      <c r="O112" s="380" t="s">
        <v>40</v>
      </c>
      <c r="P112" s="381"/>
      <c r="Q112" s="381"/>
      <c r="R112" s="382"/>
      <c r="S112" s="29"/>
      <c r="T112" s="380" t="s">
        <v>41</v>
      </c>
      <c r="U112" s="381"/>
      <c r="V112" s="381"/>
      <c r="W112" s="381"/>
      <c r="X112" s="381"/>
      <c r="Y112" s="382"/>
      <c r="Z112" s="30"/>
      <c r="AA112" s="24"/>
    </row>
    <row r="113" spans="1:27" s="25" customFormat="1" ht="18" customHeight="1" x14ac:dyDescent="0.2">
      <c r="A113" s="279"/>
      <c r="B113" s="277"/>
      <c r="C113" s="391" t="s">
        <v>213</v>
      </c>
      <c r="D113" s="391"/>
      <c r="E113" s="391"/>
      <c r="F113" s="391"/>
      <c r="G113" s="280" t="str">
        <f>$J$1</f>
        <v>November</v>
      </c>
      <c r="H113" s="390">
        <f>$K$1</f>
        <v>2023</v>
      </c>
      <c r="I113" s="390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77" t="s">
        <v>41</v>
      </c>
      <c r="G116" s="378"/>
      <c r="H116" s="277"/>
      <c r="I116" s="377" t="s">
        <v>42</v>
      </c>
      <c r="J116" s="379"/>
      <c r="K116" s="378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88" t="s">
        <v>40</v>
      </c>
      <c r="C118" s="389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67500</v>
      </c>
      <c r="H118" s="292"/>
      <c r="I118" s="296">
        <f>IF(C122&gt;0,$K$2,C120)</f>
        <v>30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>
        <v>25</v>
      </c>
      <c r="J119" s="297" t="s">
        <v>60</v>
      </c>
      <c r="K119" s="301">
        <f>K114/$K$2/8*I119</f>
        <v>4479.1666666666661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72500</v>
      </c>
      <c r="H120" s="292"/>
      <c r="I120" s="383" t="s">
        <v>67</v>
      </c>
      <c r="J120" s="384"/>
      <c r="K120" s="301">
        <f>K118+K119</f>
        <v>47479.166666666664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7000</v>
      </c>
      <c r="H121" s="292"/>
      <c r="I121" s="383" t="s">
        <v>68</v>
      </c>
      <c r="J121" s="384"/>
      <c r="K121" s="295">
        <f>G121</f>
        <v>7000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7"/>
      <c r="E122" s="277"/>
      <c r="F122" s="309" t="s">
        <v>202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65500</v>
      </c>
      <c r="H122" s="277"/>
      <c r="I122" s="377" t="s">
        <v>61</v>
      </c>
      <c r="J122" s="378"/>
      <c r="K122" s="234">
        <f>K120-K121</f>
        <v>40479.166666666664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4">
        <v>0</v>
      </c>
      <c r="V125" s="38"/>
      <c r="W125" s="64">
        <f t="shared" si="26"/>
        <v>0</v>
      </c>
      <c r="X125" s="38"/>
      <c r="Y125" s="64">
        <f t="shared" si="27"/>
        <v>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85" t="s">
        <v>38</v>
      </c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7"/>
      <c r="M127" s="24"/>
      <c r="N127" s="28"/>
      <c r="O127" s="380" t="s">
        <v>40</v>
      </c>
      <c r="P127" s="381"/>
      <c r="Q127" s="381"/>
      <c r="R127" s="382"/>
      <c r="S127" s="29"/>
      <c r="T127" s="380" t="s">
        <v>41</v>
      </c>
      <c r="U127" s="381"/>
      <c r="V127" s="381"/>
      <c r="W127" s="381"/>
      <c r="X127" s="381"/>
      <c r="Y127" s="382"/>
      <c r="Z127" s="30"/>
      <c r="AA127" s="24"/>
    </row>
    <row r="128" spans="1:27" s="25" customFormat="1" ht="18" customHeight="1" x14ac:dyDescent="0.2">
      <c r="A128" s="279"/>
      <c r="B128" s="277"/>
      <c r="C128" s="391" t="s">
        <v>213</v>
      </c>
      <c r="D128" s="391"/>
      <c r="E128" s="391"/>
      <c r="F128" s="391"/>
      <c r="G128" s="280" t="str">
        <f>$J$1</f>
        <v>November</v>
      </c>
      <c r="H128" s="390">
        <f>$K$1</f>
        <v>2023</v>
      </c>
      <c r="I128" s="390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77" t="s">
        <v>41</v>
      </c>
      <c r="G131" s="378"/>
      <c r="H131" s="277"/>
      <c r="I131" s="377" t="s">
        <v>42</v>
      </c>
      <c r="J131" s="379"/>
      <c r="K131" s="378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76281.25</v>
      </c>
    </row>
    <row r="133" spans="1:28" s="25" customFormat="1" ht="18" customHeight="1" x14ac:dyDescent="0.2">
      <c r="A133" s="279"/>
      <c r="B133" s="388" t="s">
        <v>40</v>
      </c>
      <c r="C133" s="389"/>
      <c r="D133" s="277"/>
      <c r="E133" s="277"/>
      <c r="F133" s="294" t="s">
        <v>62</v>
      </c>
      <c r="G133" s="295" t="str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/>
      </c>
      <c r="H133" s="292"/>
      <c r="I133" s="296">
        <f>IF(C137&gt;0,$K$2,C135)</f>
        <v>30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5.5</v>
      </c>
      <c r="J134" s="297" t="s">
        <v>60</v>
      </c>
      <c r="K134" s="301">
        <f>K129/$K$2/8*I134</f>
        <v>802.08333333333337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29</v>
      </c>
      <c r="D135" s="277"/>
      <c r="E135" s="277"/>
      <c r="F135" s="294" t="s">
        <v>63</v>
      </c>
      <c r="G135" s="295" t="str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/>
      </c>
      <c r="H135" s="292"/>
      <c r="I135" s="383" t="s">
        <v>67</v>
      </c>
      <c r="J135" s="384"/>
      <c r="K135" s="301">
        <f>K133+K134</f>
        <v>35802.083333333336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83" t="s">
        <v>68</v>
      </c>
      <c r="J136" s="384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10</v>
      </c>
      <c r="D137" s="277"/>
      <c r="E137" s="277"/>
      <c r="F137" s="309" t="s">
        <v>202</v>
      </c>
      <c r="G137" s="295" t="str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/>
      </c>
      <c r="H137" s="277"/>
      <c r="I137" s="377" t="s">
        <v>61</v>
      </c>
      <c r="J137" s="378"/>
      <c r="K137" s="234">
        <f>K135-K136</f>
        <v>35802.083333333336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/>
      <c r="Q140" s="36"/>
      <c r="R140" s="36" t="str">
        <f t="shared" si="28"/>
        <v/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85" t="s">
        <v>38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7"/>
      <c r="M142" s="24"/>
      <c r="N142" s="28"/>
      <c r="O142" s="380" t="s">
        <v>40</v>
      </c>
      <c r="P142" s="381"/>
      <c r="Q142" s="381"/>
      <c r="R142" s="382"/>
      <c r="S142" s="29"/>
      <c r="T142" s="380" t="s">
        <v>41</v>
      </c>
      <c r="U142" s="381"/>
      <c r="V142" s="381"/>
      <c r="W142" s="381"/>
      <c r="X142" s="381"/>
      <c r="Y142" s="382"/>
      <c r="Z142" s="30"/>
      <c r="AA142" s="24"/>
    </row>
    <row r="143" spans="1:28" s="25" customFormat="1" ht="18" customHeight="1" x14ac:dyDescent="0.2">
      <c r="A143" s="279"/>
      <c r="B143" s="277"/>
      <c r="C143" s="391" t="s">
        <v>213</v>
      </c>
      <c r="D143" s="391"/>
      <c r="E143" s="391"/>
      <c r="F143" s="391"/>
      <c r="G143" s="280" t="str">
        <f>$J$1</f>
        <v>November</v>
      </c>
      <c r="H143" s="390">
        <f>$K$1</f>
        <v>2023</v>
      </c>
      <c r="I143" s="390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v>30000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77" t="s">
        <v>41</v>
      </c>
      <c r="G146" s="378"/>
      <c r="H146" s="277"/>
      <c r="I146" s="377" t="s">
        <v>42</v>
      </c>
      <c r="J146" s="379"/>
      <c r="K146" s="378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88" t="s">
        <v>40</v>
      </c>
      <c r="C148" s="389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46867</v>
      </c>
      <c r="H148" s="292"/>
      <c r="I148" s="296">
        <f>IF(C152&gt;0,$K$2,C150)</f>
        <v>30</v>
      </c>
      <c r="J148" s="297" t="s">
        <v>59</v>
      </c>
      <c r="K148" s="298">
        <f>K144/$K$2*I148</f>
        <v>30000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1000</v>
      </c>
      <c r="H149" s="292"/>
      <c r="I149" s="296">
        <v>151</v>
      </c>
      <c r="J149" s="297" t="s">
        <v>60</v>
      </c>
      <c r="K149" s="301">
        <f>K144/$K$2/8*I149</f>
        <v>18875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83" t="s">
        <v>67</v>
      </c>
      <c r="J150" s="384"/>
      <c r="K150" s="301">
        <f>K148+K149</f>
        <v>48875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1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83" t="s">
        <v>68</v>
      </c>
      <c r="J151" s="384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9</v>
      </c>
      <c r="D152" s="277"/>
      <c r="E152" s="277"/>
      <c r="F152" s="309" t="s">
        <v>202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77" t="s">
        <v>61</v>
      </c>
      <c r="J152" s="378"/>
      <c r="K152" s="234">
        <f>K150-K151</f>
        <v>41875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/>
      <c r="Q155" s="36"/>
      <c r="R155" s="36" t="str">
        <f t="shared" si="32"/>
        <v/>
      </c>
      <c r="S155" s="27"/>
      <c r="T155" s="36" t="s">
        <v>56</v>
      </c>
      <c r="U155" s="64"/>
      <c r="V155" s="38"/>
      <c r="W155" s="64" t="str">
        <f t="shared" si="34"/>
        <v/>
      </c>
      <c r="X155" s="38"/>
      <c r="Y155" s="64" t="str">
        <f t="shared" si="35"/>
        <v/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85" t="s">
        <v>38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24"/>
      <c r="N157" s="28"/>
      <c r="O157" s="380" t="s">
        <v>40</v>
      </c>
      <c r="P157" s="381"/>
      <c r="Q157" s="381"/>
      <c r="R157" s="382"/>
      <c r="S157" s="29"/>
      <c r="T157" s="380" t="s">
        <v>41</v>
      </c>
      <c r="U157" s="381"/>
      <c r="V157" s="381"/>
      <c r="W157" s="381"/>
      <c r="X157" s="381"/>
      <c r="Y157" s="382"/>
      <c r="Z157" s="30"/>
      <c r="AA157" s="24"/>
    </row>
    <row r="158" spans="1:27" s="25" customFormat="1" ht="18" customHeight="1" x14ac:dyDescent="0.2">
      <c r="A158" s="279"/>
      <c r="B158" s="277"/>
      <c r="C158" s="391" t="s">
        <v>213</v>
      </c>
      <c r="D158" s="391"/>
      <c r="E158" s="391"/>
      <c r="F158" s="391"/>
      <c r="G158" s="280" t="str">
        <f>$J$1</f>
        <v>November</v>
      </c>
      <c r="H158" s="390">
        <f>$K$1</f>
        <v>2023</v>
      </c>
      <c r="I158" s="390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77" t="s">
        <v>41</v>
      </c>
      <c r="G161" s="378"/>
      <c r="H161" s="277"/>
      <c r="I161" s="377" t="s">
        <v>42</v>
      </c>
      <c r="J161" s="379"/>
      <c r="K161" s="378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88" t="s">
        <v>40</v>
      </c>
      <c r="C163" s="389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58200</v>
      </c>
      <c r="H163" s="292"/>
      <c r="I163" s="296">
        <f>IF(C167&gt;=C166,$K$2,C165+C167)</f>
        <v>30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11</v>
      </c>
      <c r="J164" s="297" t="s">
        <v>60</v>
      </c>
      <c r="K164" s="301">
        <f>K159/$K$2/8*I164</f>
        <v>2750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58200</v>
      </c>
      <c r="H165" s="292"/>
      <c r="I165" s="383" t="s">
        <v>67</v>
      </c>
      <c r="J165" s="384"/>
      <c r="K165" s="301">
        <f>K163+K164</f>
        <v>62750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83" t="s">
        <v>68</v>
      </c>
      <c r="J166" s="384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32</v>
      </c>
      <c r="D167" s="277"/>
      <c r="E167" s="277"/>
      <c r="F167" s="309" t="s">
        <v>202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53200</v>
      </c>
      <c r="H167" s="277"/>
      <c r="I167" s="377" t="s">
        <v>61</v>
      </c>
      <c r="J167" s="378"/>
      <c r="K167" s="234">
        <f>K165-K166</f>
        <v>57750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/>
      <c r="Q170" s="36"/>
      <c r="R170" s="36" t="str">
        <f t="shared" si="36"/>
        <v/>
      </c>
      <c r="S170" s="27"/>
      <c r="T170" s="36" t="s">
        <v>56</v>
      </c>
      <c r="U170" s="64">
        <v>0</v>
      </c>
      <c r="V170" s="38"/>
      <c r="W170" s="64">
        <f t="shared" si="38"/>
        <v>0</v>
      </c>
      <c r="X170" s="38"/>
      <c r="Y170" s="64">
        <f t="shared" si="39"/>
        <v>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85" t="s">
        <v>38</v>
      </c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7"/>
      <c r="M172" s="24"/>
      <c r="N172" s="28"/>
      <c r="O172" s="380" t="s">
        <v>40</v>
      </c>
      <c r="P172" s="381"/>
      <c r="Q172" s="381"/>
      <c r="R172" s="382"/>
      <c r="S172" s="29"/>
      <c r="T172" s="380" t="s">
        <v>41</v>
      </c>
      <c r="U172" s="381"/>
      <c r="V172" s="381"/>
      <c r="W172" s="381"/>
      <c r="X172" s="381"/>
      <c r="Y172" s="382"/>
      <c r="Z172" s="30"/>
      <c r="AA172" s="24"/>
    </row>
    <row r="173" spans="1:27" s="25" customFormat="1" ht="18" customHeight="1" x14ac:dyDescent="0.2">
      <c r="A173" s="279"/>
      <c r="B173" s="277"/>
      <c r="C173" s="391" t="s">
        <v>213</v>
      </c>
      <c r="D173" s="391"/>
      <c r="E173" s="391"/>
      <c r="F173" s="391"/>
      <c r="G173" s="280" t="str">
        <f>$J$1</f>
        <v>November</v>
      </c>
      <c r="H173" s="390">
        <f>$K$1</f>
        <v>2023</v>
      </c>
      <c r="I173" s="390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77" t="s">
        <v>41</v>
      </c>
      <c r="G176" s="378"/>
      <c r="H176" s="277"/>
      <c r="I176" s="377" t="s">
        <v>42</v>
      </c>
      <c r="J176" s="379"/>
      <c r="K176" s="378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88" t="s">
        <v>40</v>
      </c>
      <c r="C178" s="389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296">
        <f>IF(C182&gt;0,$K$2,C180)</f>
        <v>30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9" s="292"/>
      <c r="I179" s="296">
        <v>1</v>
      </c>
      <c r="J179" s="297" t="s">
        <v>60</v>
      </c>
      <c r="K179" s="301">
        <f>K174/$K$2/8*I179</f>
        <v>208.33333333333334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72000</v>
      </c>
      <c r="H180" s="292"/>
      <c r="I180" s="383" t="s">
        <v>67</v>
      </c>
      <c r="J180" s="384"/>
      <c r="K180" s="301">
        <f>K178+K179</f>
        <v>50208.333333333336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92"/>
      <c r="I181" s="383" t="s">
        <v>68</v>
      </c>
      <c r="J181" s="384"/>
      <c r="K181" s="295">
        <f>G181</f>
        <v>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82" s="277"/>
      <c r="E182" s="277"/>
      <c r="F182" s="309" t="s">
        <v>202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77" t="s">
        <v>61</v>
      </c>
      <c r="J182" s="378"/>
      <c r="K182" s="234">
        <f>K180-K181</f>
        <v>50208.333333333336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/>
      <c r="Q185" s="36"/>
      <c r="R185" s="36" t="str">
        <f t="shared" si="40"/>
        <v/>
      </c>
      <c r="S185" s="27"/>
      <c r="T185" s="36" t="s">
        <v>56</v>
      </c>
      <c r="U185" s="64">
        <v>0</v>
      </c>
      <c r="V185" s="38"/>
      <c r="W185" s="64">
        <f t="shared" si="41"/>
        <v>0</v>
      </c>
      <c r="X185" s="38"/>
      <c r="Y185" s="64">
        <f t="shared" si="42"/>
        <v>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85" t="s">
        <v>38</v>
      </c>
      <c r="B187" s="386"/>
      <c r="C187" s="386"/>
      <c r="D187" s="386"/>
      <c r="E187" s="386"/>
      <c r="F187" s="386"/>
      <c r="G187" s="386"/>
      <c r="H187" s="386"/>
      <c r="I187" s="386"/>
      <c r="J187" s="386"/>
      <c r="K187" s="386"/>
      <c r="L187" s="387"/>
      <c r="M187" s="24"/>
      <c r="N187" s="28"/>
      <c r="O187" s="380" t="s">
        <v>40</v>
      </c>
      <c r="P187" s="381"/>
      <c r="Q187" s="381"/>
      <c r="R187" s="382"/>
      <c r="S187" s="29"/>
      <c r="T187" s="380" t="s">
        <v>41</v>
      </c>
      <c r="U187" s="381"/>
      <c r="V187" s="381"/>
      <c r="W187" s="381"/>
      <c r="X187" s="381"/>
      <c r="Y187" s="382"/>
      <c r="Z187" s="30"/>
      <c r="AA187" s="24"/>
    </row>
    <row r="188" spans="1:27" s="25" customFormat="1" ht="18" customHeight="1" x14ac:dyDescent="0.2">
      <c r="A188" s="279"/>
      <c r="B188" s="277"/>
      <c r="C188" s="391" t="s">
        <v>213</v>
      </c>
      <c r="D188" s="391"/>
      <c r="E188" s="391"/>
      <c r="F188" s="391"/>
      <c r="G188" s="280" t="str">
        <f>$J$1</f>
        <v>November</v>
      </c>
      <c r="H188" s="390">
        <f>$K$1</f>
        <v>2023</v>
      </c>
      <c r="I188" s="390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77" t="s">
        <v>41</v>
      </c>
      <c r="G191" s="378"/>
      <c r="H191" s="277"/>
      <c r="I191" s="377" t="s">
        <v>42</v>
      </c>
      <c r="J191" s="379"/>
      <c r="K191" s="378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88" t="s">
        <v>40</v>
      </c>
      <c r="C193" s="389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84000</v>
      </c>
      <c r="H193" s="292"/>
      <c r="I193" s="296">
        <f>IF(C197&gt;=C196,$K$2,C195+C197)</f>
        <v>27</v>
      </c>
      <c r="J193" s="297" t="s">
        <v>59</v>
      </c>
      <c r="K193" s="298">
        <f>K189/$K$2*I193</f>
        <v>31500.000000000004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92"/>
      <c r="I194" s="296">
        <v>96</v>
      </c>
      <c r="J194" s="297" t="s">
        <v>60</v>
      </c>
      <c r="K194" s="301">
        <f>K189/$K$2/8*I194</f>
        <v>14000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27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84000</v>
      </c>
      <c r="H195" s="292"/>
      <c r="I195" s="383" t="s">
        <v>67</v>
      </c>
      <c r="J195" s="384"/>
      <c r="K195" s="301">
        <f>K193+K194</f>
        <v>45500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3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2"/>
      <c r="I196" s="383" t="s">
        <v>68</v>
      </c>
      <c r="J196" s="384"/>
      <c r="K196" s="295">
        <f>G196</f>
        <v>5000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202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7"/>
      <c r="I197" s="377" t="s">
        <v>61</v>
      </c>
      <c r="J197" s="378"/>
      <c r="K197" s="234">
        <f>K195-K196</f>
        <v>40500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4">
        <v>0</v>
      </c>
      <c r="V200" s="38"/>
      <c r="W200" s="64">
        <f t="shared" si="46"/>
        <v>0</v>
      </c>
      <c r="X200" s="38"/>
      <c r="Y200" s="64">
        <f t="shared" si="47"/>
        <v>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85" t="s">
        <v>38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7"/>
      <c r="M202" s="24"/>
      <c r="N202" s="28"/>
      <c r="O202" s="380" t="s">
        <v>40</v>
      </c>
      <c r="P202" s="381"/>
      <c r="Q202" s="381"/>
      <c r="R202" s="382"/>
      <c r="S202" s="29"/>
      <c r="T202" s="380" t="s">
        <v>41</v>
      </c>
      <c r="U202" s="381"/>
      <c r="V202" s="381"/>
      <c r="W202" s="381"/>
      <c r="X202" s="381"/>
      <c r="Y202" s="382"/>
      <c r="Z202" s="30"/>
    </row>
    <row r="203" spans="1:26" s="25" customFormat="1" ht="18" customHeight="1" x14ac:dyDescent="0.2">
      <c r="A203" s="279"/>
      <c r="B203" s="277"/>
      <c r="C203" s="391" t="s">
        <v>213</v>
      </c>
      <c r="D203" s="391"/>
      <c r="E203" s="391"/>
      <c r="F203" s="391"/>
      <c r="G203" s="280" t="str">
        <f>$J$1</f>
        <v>November</v>
      </c>
      <c r="H203" s="390">
        <f>$K$1</f>
        <v>2023</v>
      </c>
      <c r="I203" s="390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77" t="s">
        <v>41</v>
      </c>
      <c r="G206" s="378"/>
      <c r="H206" s="277"/>
      <c r="I206" s="377" t="s">
        <v>42</v>
      </c>
      <c r="J206" s="379"/>
      <c r="K206" s="378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88" t="s">
        <v>40</v>
      </c>
      <c r="C208" s="389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9225</v>
      </c>
      <c r="H208" s="292"/>
      <c r="I208" s="296">
        <f>IF(C212&gt;=C211,$K$2,C210+C212)</f>
        <v>27</v>
      </c>
      <c r="J208" s="297" t="s">
        <v>59</v>
      </c>
      <c r="K208" s="298">
        <f>K204/$K$2*I208</f>
        <v>23400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11000</v>
      </c>
      <c r="H209" s="292"/>
      <c r="I209" s="296">
        <v>16</v>
      </c>
      <c r="J209" s="297" t="s">
        <v>60</v>
      </c>
      <c r="K209" s="301">
        <f>K204/$K$2/8*I209</f>
        <v>1733.3333333333333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20225</v>
      </c>
      <c r="H210" s="292"/>
      <c r="I210" s="383" t="s">
        <v>67</v>
      </c>
      <c r="J210" s="384"/>
      <c r="K210" s="301">
        <f>K208+K209</f>
        <v>25133.333333333332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3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83" t="s">
        <v>68</v>
      </c>
      <c r="J211" s="384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202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12225</v>
      </c>
      <c r="H212" s="277"/>
      <c r="I212" s="377" t="s">
        <v>61</v>
      </c>
      <c r="J212" s="378"/>
      <c r="K212" s="234">
        <f>K210-K211</f>
        <v>17133.333333333332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4">
        <v>0</v>
      </c>
      <c r="V215" s="38"/>
      <c r="W215" s="64">
        <f t="shared" si="50"/>
        <v>0</v>
      </c>
      <c r="X215" s="38"/>
      <c r="Y215" s="64">
        <f t="shared" si="51"/>
        <v>0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85" t="s">
        <v>38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7"/>
      <c r="M217" s="24"/>
      <c r="N217" s="28"/>
      <c r="O217" s="380" t="s">
        <v>40</v>
      </c>
      <c r="P217" s="381"/>
      <c r="Q217" s="381"/>
      <c r="R217" s="382"/>
      <c r="S217" s="29"/>
      <c r="T217" s="380" t="s">
        <v>41</v>
      </c>
      <c r="U217" s="381"/>
      <c r="V217" s="381"/>
      <c r="W217" s="381"/>
      <c r="X217" s="381"/>
      <c r="Y217" s="382"/>
      <c r="Z217" s="30"/>
    </row>
    <row r="218" spans="1:26" s="25" customFormat="1" ht="18" customHeight="1" x14ac:dyDescent="0.2">
      <c r="A218" s="279"/>
      <c r="B218" s="277"/>
      <c r="C218" s="391" t="s">
        <v>213</v>
      </c>
      <c r="D218" s="391"/>
      <c r="E218" s="391"/>
      <c r="F218" s="391"/>
      <c r="G218" s="280" t="str">
        <f>$J$1</f>
        <v>November</v>
      </c>
      <c r="H218" s="390">
        <f>$K$1</f>
        <v>2023</v>
      </c>
      <c r="I218" s="390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77" t="s">
        <v>41</v>
      </c>
      <c r="G221" s="378"/>
      <c r="H221" s="277"/>
      <c r="I221" s="377" t="s">
        <v>42</v>
      </c>
      <c r="J221" s="379"/>
      <c r="K221" s="378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88" t="s">
        <v>40</v>
      </c>
      <c r="C223" s="389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296">
        <f>IF(C227&gt;=C226,$K$2,C225+C227)</f>
        <v>27</v>
      </c>
      <c r="J223" s="297" t="s">
        <v>59</v>
      </c>
      <c r="K223" s="298">
        <f>K219/$K$2*I223</f>
        <v>31500.000000000004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2000</v>
      </c>
      <c r="H224" s="292"/>
      <c r="I224" s="296">
        <v>52</v>
      </c>
      <c r="J224" s="297" t="s">
        <v>60</v>
      </c>
      <c r="K224" s="301">
        <f>K219/$K$2/8*I224</f>
        <v>7583.3333333333339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27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11000</v>
      </c>
      <c r="H225" s="292"/>
      <c r="I225" s="383" t="s">
        <v>67</v>
      </c>
      <c r="J225" s="384"/>
      <c r="K225" s="301">
        <f>K223+K224</f>
        <v>39083.333333333336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3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83" t="s">
        <v>68</v>
      </c>
      <c r="J226" s="384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>Y225</f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7"/>
      <c r="E227" s="277"/>
      <c r="F227" s="309" t="s">
        <v>202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9000</v>
      </c>
      <c r="H227" s="277"/>
      <c r="I227" s="377" t="s">
        <v>61</v>
      </c>
      <c r="J227" s="378"/>
      <c r="K227" s="234">
        <f>K225-K226</f>
        <v>37083.333333333336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>Y226</f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>Y227</f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>Y228</f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/>
      <c r="Q230" s="36"/>
      <c r="R230" s="36">
        <v>0</v>
      </c>
      <c r="S230" s="27"/>
      <c r="T230" s="36" t="s">
        <v>56</v>
      </c>
      <c r="U230" s="64">
        <v>0</v>
      </c>
      <c r="V230" s="38"/>
      <c r="W230" s="64">
        <f t="shared" si="53"/>
        <v>0</v>
      </c>
      <c r="X230" s="38"/>
      <c r="Y230" s="64">
        <f t="shared" si="54"/>
        <v>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85" t="s">
        <v>38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7"/>
      <c r="M232" s="24"/>
      <c r="N232" s="28"/>
      <c r="O232" s="380" t="s">
        <v>40</v>
      </c>
      <c r="P232" s="381"/>
      <c r="Q232" s="381"/>
      <c r="R232" s="382"/>
      <c r="S232" s="29"/>
      <c r="T232" s="380" t="s">
        <v>41</v>
      </c>
      <c r="U232" s="381"/>
      <c r="V232" s="381"/>
      <c r="W232" s="381"/>
      <c r="X232" s="381"/>
      <c r="Y232" s="382"/>
      <c r="Z232" s="27"/>
    </row>
    <row r="233" spans="1:26" s="25" customFormat="1" ht="18" customHeight="1" x14ac:dyDescent="0.2">
      <c r="A233" s="279"/>
      <c r="B233" s="277"/>
      <c r="C233" s="391" t="s">
        <v>213</v>
      </c>
      <c r="D233" s="391"/>
      <c r="E233" s="391"/>
      <c r="F233" s="391"/>
      <c r="G233" s="280" t="str">
        <f>$J$1</f>
        <v>November</v>
      </c>
      <c r="H233" s="390">
        <f>$K$1</f>
        <v>2023</v>
      </c>
      <c r="I233" s="390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216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77" t="s">
        <v>41</v>
      </c>
      <c r="G236" s="378"/>
      <c r="H236" s="277"/>
      <c r="I236" s="377" t="s">
        <v>42</v>
      </c>
      <c r="J236" s="379"/>
      <c r="K236" s="378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5">IF(U236="","",U236+V236)</f>
        <v/>
      </c>
      <c r="X236" s="38"/>
      <c r="Y236" s="64" t="str">
        <f t="shared" ref="Y236:Y245" si="56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7">IF(Q237="","",R236-Q237)</f>
        <v/>
      </c>
      <c r="S237" s="27"/>
      <c r="T237" s="36" t="s">
        <v>45</v>
      </c>
      <c r="U237" s="64"/>
      <c r="V237" s="38"/>
      <c r="W237" s="64" t="str">
        <f t="shared" si="55"/>
        <v/>
      </c>
      <c r="X237" s="38"/>
      <c r="Y237" s="64" t="str">
        <f t="shared" si="56"/>
        <v/>
      </c>
      <c r="Z237" s="27"/>
    </row>
    <row r="238" spans="1:26" s="25" customFormat="1" ht="18" customHeight="1" x14ac:dyDescent="0.2">
      <c r="A238" s="279"/>
      <c r="B238" s="388" t="s">
        <v>40</v>
      </c>
      <c r="C238" s="389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30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7"/>
        <v/>
      </c>
      <c r="S238" s="27"/>
      <c r="T238" s="36" t="s">
        <v>46</v>
      </c>
      <c r="U238" s="64"/>
      <c r="V238" s="38"/>
      <c r="W238" s="64" t="str">
        <f t="shared" si="55"/>
        <v/>
      </c>
      <c r="X238" s="38"/>
      <c r="Y238" s="64" t="str">
        <f t="shared" si="56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62</v>
      </c>
      <c r="J239" s="297" t="s">
        <v>60</v>
      </c>
      <c r="K239" s="301">
        <f>K234/$K$2/8*I239</f>
        <v>6458.3333333333339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6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30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83" t="s">
        <v>67</v>
      </c>
      <c r="J240" s="384"/>
      <c r="K240" s="301">
        <f>K238+K239</f>
        <v>31458.333333333336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5"/>
        <v/>
      </c>
      <c r="X240" s="38"/>
      <c r="Y240" s="64" t="str">
        <f t="shared" si="56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83" t="s">
        <v>68</v>
      </c>
      <c r="J241" s="384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7"/>
        <v/>
      </c>
      <c r="S241" s="27"/>
      <c r="T241" s="36" t="s">
        <v>49</v>
      </c>
      <c r="U241" s="64"/>
      <c r="V241" s="38"/>
      <c r="W241" s="64" t="str">
        <f t="shared" si="55"/>
        <v/>
      </c>
      <c r="X241" s="38"/>
      <c r="Y241" s="64" t="str">
        <f t="shared" si="56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202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77" t="s">
        <v>61</v>
      </c>
      <c r="J242" s="378"/>
      <c r="K242" s="234">
        <f>K240-K241</f>
        <v>31458.333333333336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5"/>
        <v/>
      </c>
      <c r="X242" s="38"/>
      <c r="Y242" s="64" t="str">
        <f t="shared" si="56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5"/>
        <v/>
      </c>
      <c r="X243" s="38"/>
      <c r="Y243" s="64" t="str">
        <f t="shared" si="56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7"/>
        <v>0</v>
      </c>
      <c r="S244" s="27"/>
      <c r="T244" s="36" t="s">
        <v>55</v>
      </c>
      <c r="U244" s="64"/>
      <c r="V244" s="38"/>
      <c r="W244" s="64" t="str">
        <f t="shared" si="55"/>
        <v/>
      </c>
      <c r="X244" s="38"/>
      <c r="Y244" s="64" t="str">
        <f t="shared" si="56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/>
      <c r="Q245" s="36"/>
      <c r="R245" s="36" t="str">
        <f t="shared" si="57"/>
        <v/>
      </c>
      <c r="S245" s="27"/>
      <c r="T245" s="36" t="s">
        <v>56</v>
      </c>
      <c r="U245" s="64"/>
      <c r="V245" s="38"/>
      <c r="W245" s="64" t="str">
        <f t="shared" si="55"/>
        <v/>
      </c>
      <c r="X245" s="38"/>
      <c r="Y245" s="64" t="str">
        <f t="shared" si="56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85" t="s">
        <v>38</v>
      </c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24"/>
      <c r="N247" s="28"/>
      <c r="O247" s="380" t="s">
        <v>40</v>
      </c>
      <c r="P247" s="381"/>
      <c r="Q247" s="381"/>
      <c r="R247" s="382"/>
      <c r="S247" s="29"/>
      <c r="T247" s="380" t="s">
        <v>41</v>
      </c>
      <c r="U247" s="381"/>
      <c r="V247" s="381"/>
      <c r="W247" s="381"/>
      <c r="X247" s="381"/>
      <c r="Y247" s="382"/>
      <c r="Z247" s="27"/>
    </row>
    <row r="248" spans="1:26" s="25" customFormat="1" ht="18" customHeight="1" x14ac:dyDescent="0.2">
      <c r="A248" s="279"/>
      <c r="B248" s="277"/>
      <c r="C248" s="391" t="s">
        <v>213</v>
      </c>
      <c r="D248" s="391"/>
      <c r="E248" s="391"/>
      <c r="F248" s="391"/>
      <c r="G248" s="280" t="str">
        <f>$J$1</f>
        <v>November</v>
      </c>
      <c r="H248" s="390">
        <f>$K$1</f>
        <v>2023</v>
      </c>
      <c r="I248" s="390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200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77" t="s">
        <v>41</v>
      </c>
      <c r="G251" s="378"/>
      <c r="H251" s="277"/>
      <c r="I251" s="377" t="s">
        <v>42</v>
      </c>
      <c r="J251" s="379"/>
      <c r="K251" s="378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88" t="s">
        <v>40</v>
      </c>
      <c r="C253" s="389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30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97</v>
      </c>
      <c r="J254" s="297" t="s">
        <v>60</v>
      </c>
      <c r="K254" s="301">
        <f>K249/$K$2/8*I254</f>
        <v>14145.833333333334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8">Y253</f>
        <v>0</v>
      </c>
      <c r="V254" s="38">
        <v>5000</v>
      </c>
      <c r="W254" s="64">
        <f t="shared" ref="W254" si="59">IF(U254="","",U254+V254)</f>
        <v>5000</v>
      </c>
      <c r="X254" s="38">
        <v>5000</v>
      </c>
      <c r="Y254" s="64">
        <f t="shared" ref="Y254" si="60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83" t="s">
        <v>67</v>
      </c>
      <c r="J255" s="384"/>
      <c r="K255" s="301">
        <f>K253+K254</f>
        <v>49145.833333333336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83" t="s">
        <v>68</v>
      </c>
      <c r="J256" s="384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202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77" t="s">
        <v>61</v>
      </c>
      <c r="J257" s="378"/>
      <c r="K257" s="234">
        <f>K255-K256</f>
        <v>49145.833333333336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1">IF(U257="","",U257+V257)</f>
        <v/>
      </c>
      <c r="X257" s="38"/>
      <c r="Y257" s="64" t="str">
        <f t="shared" ref="Y257:Y258" si="62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1"/>
        <v/>
      </c>
      <c r="X258" s="38"/>
      <c r="Y258" s="64" t="str">
        <f t="shared" si="62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/>
      <c r="Q260" s="36"/>
      <c r="R260" s="36" t="str">
        <f t="shared" ref="R260" si="63">IF(Q260="","",R259-Q260)</f>
        <v/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85" t="s">
        <v>38</v>
      </c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7"/>
      <c r="M262" s="24"/>
      <c r="N262" s="28"/>
      <c r="O262" s="380" t="s">
        <v>40</v>
      </c>
      <c r="P262" s="381"/>
      <c r="Q262" s="381"/>
      <c r="R262" s="382"/>
      <c r="S262" s="29"/>
      <c r="T262" s="380" t="s">
        <v>41</v>
      </c>
      <c r="U262" s="381"/>
      <c r="V262" s="381"/>
      <c r="W262" s="381"/>
      <c r="X262" s="381"/>
      <c r="Y262" s="382"/>
      <c r="Z262" s="30"/>
    </row>
    <row r="263" spans="1:26" s="25" customFormat="1" ht="18" customHeight="1" x14ac:dyDescent="0.2">
      <c r="A263" s="279"/>
      <c r="B263" s="277"/>
      <c r="C263" s="391" t="s">
        <v>213</v>
      </c>
      <c r="D263" s="391"/>
      <c r="E263" s="391"/>
      <c r="F263" s="391"/>
      <c r="G263" s="280" t="str">
        <f>$J$1</f>
        <v>November</v>
      </c>
      <c r="H263" s="390">
        <f>$K$1</f>
        <v>2023</v>
      </c>
      <c r="I263" s="390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199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4">IF(Q265="","",R264-Q265)</f>
        <v/>
      </c>
      <c r="S265" s="27"/>
      <c r="T265" s="36" t="s">
        <v>69</v>
      </c>
      <c r="U265" s="64">
        <f t="shared" ref="U265:U271" si="65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77" t="s">
        <v>41</v>
      </c>
      <c r="G266" s="378"/>
      <c r="H266" s="277"/>
      <c r="I266" s="377" t="s">
        <v>42</v>
      </c>
      <c r="J266" s="379"/>
      <c r="K266" s="378"/>
      <c r="L266" s="291"/>
      <c r="N266" s="35"/>
      <c r="O266" s="36" t="s">
        <v>44</v>
      </c>
      <c r="P266" s="36"/>
      <c r="Q266" s="36"/>
      <c r="R266" s="36" t="str">
        <f t="shared" si="64"/>
        <v/>
      </c>
      <c r="S266" s="27"/>
      <c r="T266" s="36" t="s">
        <v>44</v>
      </c>
      <c r="U266" s="64">
        <f t="shared" si="65"/>
        <v>0</v>
      </c>
      <c r="V266" s="38"/>
      <c r="W266" s="64">
        <f t="shared" ref="W266:W275" si="66">IF(U266="","",U266+V266)</f>
        <v>0</v>
      </c>
      <c r="X266" s="38"/>
      <c r="Y266" s="64">
        <f t="shared" ref="Y266:Y275" si="67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4"/>
        <v/>
      </c>
      <c r="S267" s="27"/>
      <c r="T267" s="36" t="s">
        <v>45</v>
      </c>
      <c r="U267" s="64">
        <f>Y266</f>
        <v>0</v>
      </c>
      <c r="V267" s="38"/>
      <c r="W267" s="64">
        <f t="shared" si="66"/>
        <v>0</v>
      </c>
      <c r="X267" s="38"/>
      <c r="Y267" s="64">
        <f t="shared" si="67"/>
        <v>0</v>
      </c>
      <c r="Z267" s="40"/>
    </row>
    <row r="268" spans="1:26" s="25" customFormat="1" ht="18" customHeight="1" x14ac:dyDescent="0.2">
      <c r="A268" s="279"/>
      <c r="B268" s="388" t="s">
        <v>40</v>
      </c>
      <c r="C268" s="389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5000</v>
      </c>
      <c r="H268" s="292"/>
      <c r="I268" s="296">
        <f>IF(C272&gt;=C271,$K$2,C270+C272)</f>
        <v>29</v>
      </c>
      <c r="J268" s="297" t="s">
        <v>59</v>
      </c>
      <c r="K268" s="298">
        <f>K264/$K$2*I268</f>
        <v>33833.333333333336</v>
      </c>
      <c r="L268" s="299"/>
      <c r="N268" s="35"/>
      <c r="O268" s="36" t="s">
        <v>46</v>
      </c>
      <c r="P268" s="36"/>
      <c r="Q268" s="36"/>
      <c r="R268" s="36" t="str">
        <f t="shared" si="64"/>
        <v/>
      </c>
      <c r="S268" s="27"/>
      <c r="T268" s="36" t="s">
        <v>46</v>
      </c>
      <c r="U268" s="64">
        <v>0</v>
      </c>
      <c r="V268" s="38"/>
      <c r="W268" s="64">
        <f t="shared" si="66"/>
        <v>0</v>
      </c>
      <c r="X268" s="38"/>
      <c r="Y268" s="64">
        <f t="shared" si="67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50</v>
      </c>
      <c r="J269" s="297" t="s">
        <v>60</v>
      </c>
      <c r="K269" s="301">
        <f>K264/$K$2/8*I269</f>
        <v>7291.666666666667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5"/>
        <v>0</v>
      </c>
      <c r="V269" s="38">
        <v>5000</v>
      </c>
      <c r="W269" s="64">
        <f t="shared" si="66"/>
        <v>5000</v>
      </c>
      <c r="X269" s="38">
        <v>5000</v>
      </c>
      <c r="Y269" s="64">
        <f t="shared" si="67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5000</v>
      </c>
      <c r="H270" s="292"/>
      <c r="I270" s="383" t="s">
        <v>67</v>
      </c>
      <c r="J270" s="384"/>
      <c r="K270" s="301">
        <f>K268+K269</f>
        <v>41125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5"/>
        <v>0</v>
      </c>
      <c r="V270" s="38"/>
      <c r="W270" s="64">
        <f t="shared" si="66"/>
        <v>0</v>
      </c>
      <c r="X270" s="38"/>
      <c r="Y270" s="64">
        <f t="shared" si="67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292"/>
      <c r="I271" s="383" t="s">
        <v>68</v>
      </c>
      <c r="J271" s="384"/>
      <c r="K271" s="295">
        <f>G271</f>
        <v>5000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5"/>
        <v>0</v>
      </c>
      <c r="V271" s="38"/>
      <c r="W271" s="64">
        <f t="shared" si="66"/>
        <v>0</v>
      </c>
      <c r="X271" s="38"/>
      <c r="Y271" s="64">
        <f t="shared" si="67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202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77" t="s">
        <v>61</v>
      </c>
      <c r="J272" s="378"/>
      <c r="K272" s="234">
        <f>K270-K271</f>
        <v>36125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6"/>
        <v>0</v>
      </c>
      <c r="X272" s="38"/>
      <c r="Y272" s="64">
        <f t="shared" si="67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6"/>
        <v>10000</v>
      </c>
      <c r="X273" s="38">
        <v>5000</v>
      </c>
      <c r="Y273" s="64">
        <f t="shared" si="67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6"/>
        <v>5000</v>
      </c>
      <c r="X274" s="38">
        <v>5000</v>
      </c>
      <c r="Y274" s="64">
        <f t="shared" si="67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4">
        <v>0</v>
      </c>
      <c r="V275" s="38"/>
      <c r="W275" s="64">
        <f t="shared" si="66"/>
        <v>0</v>
      </c>
      <c r="X275" s="38"/>
      <c r="Y275" s="64">
        <f t="shared" si="67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85" t="s">
        <v>38</v>
      </c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7"/>
      <c r="M277" s="24"/>
      <c r="N277" s="28"/>
      <c r="O277" s="380" t="s">
        <v>40</v>
      </c>
      <c r="P277" s="381"/>
      <c r="Q277" s="381"/>
      <c r="R277" s="382"/>
      <c r="S277" s="29"/>
      <c r="T277" s="380" t="s">
        <v>41</v>
      </c>
      <c r="U277" s="381"/>
      <c r="V277" s="381"/>
      <c r="W277" s="381"/>
      <c r="X277" s="381"/>
      <c r="Y277" s="382"/>
      <c r="Z277" s="30"/>
      <c r="AA277" s="24"/>
    </row>
    <row r="278" spans="1:27" s="25" customFormat="1" ht="18" customHeight="1" x14ac:dyDescent="0.2">
      <c r="A278" s="279"/>
      <c r="B278" s="277"/>
      <c r="C278" s="391" t="s">
        <v>213</v>
      </c>
      <c r="D278" s="391"/>
      <c r="E278" s="391"/>
      <c r="F278" s="391"/>
      <c r="G278" s="280" t="str">
        <f>$J$1</f>
        <v>November</v>
      </c>
      <c r="H278" s="390">
        <f>$K$1</f>
        <v>2023</v>
      </c>
      <c r="I278" s="390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77" t="s">
        <v>41</v>
      </c>
      <c r="G281" s="378"/>
      <c r="H281" s="277"/>
      <c r="I281" s="377" t="s">
        <v>42</v>
      </c>
      <c r="J281" s="379"/>
      <c r="K281" s="378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8">Y280</f>
        <v>17870</v>
      </c>
      <c r="V281" s="38">
        <f>2000+2000</f>
        <v>4000</v>
      </c>
      <c r="W281" s="64">
        <f t="shared" ref="W281:W288" si="69">IF(U281="","",U281+V281)</f>
        <v>21870</v>
      </c>
      <c r="X281" s="38">
        <v>5000</v>
      </c>
      <c r="Y281" s="64">
        <f t="shared" ref="Y281:Y288" si="70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8"/>
        <v>16870</v>
      </c>
      <c r="V282" s="38">
        <v>5000</v>
      </c>
      <c r="W282" s="64">
        <f t="shared" si="69"/>
        <v>21870</v>
      </c>
      <c r="X282" s="38">
        <v>5000</v>
      </c>
      <c r="Y282" s="64">
        <f t="shared" si="70"/>
        <v>16870</v>
      </c>
      <c r="Z282" s="40"/>
    </row>
    <row r="283" spans="1:27" s="25" customFormat="1" ht="18" customHeight="1" x14ac:dyDescent="0.2">
      <c r="A283" s="279"/>
      <c r="B283" s="388" t="s">
        <v>40</v>
      </c>
      <c r="C283" s="389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26870</v>
      </c>
      <c r="H283" s="292"/>
      <c r="I283" s="329">
        <f>IF(C287&gt;=C286,$K$2,C285+C287)-2</f>
        <v>28</v>
      </c>
      <c r="J283" s="297" t="s">
        <v>59</v>
      </c>
      <c r="K283" s="298">
        <f>K279/$K$2*I283</f>
        <v>32666.666666666668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8"/>
        <v>16870</v>
      </c>
      <c r="V283" s="38">
        <v>3000</v>
      </c>
      <c r="W283" s="64">
        <f t="shared" si="69"/>
        <v>19870</v>
      </c>
      <c r="X283" s="38">
        <v>5000</v>
      </c>
      <c r="Y283" s="64">
        <f t="shared" si="70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30000</v>
      </c>
      <c r="H284" s="292"/>
      <c r="I284" s="314">
        <v>14</v>
      </c>
      <c r="J284" s="297" t="s">
        <v>60</v>
      </c>
      <c r="K284" s="301">
        <f>K279/$K$2/8*I284</f>
        <v>2041.6666666666667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8"/>
        <v>14870</v>
      </c>
      <c r="V284" s="38">
        <v>15000</v>
      </c>
      <c r="W284" s="64">
        <f t="shared" si="69"/>
        <v>29870</v>
      </c>
      <c r="X284" s="38">
        <v>15000</v>
      </c>
      <c r="Y284" s="64">
        <f t="shared" si="70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26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56870</v>
      </c>
      <c r="H285" s="292"/>
      <c r="I285" s="383" t="s">
        <v>67</v>
      </c>
      <c r="J285" s="384"/>
      <c r="K285" s="301">
        <f>K283+K284</f>
        <v>34708.333333333336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8"/>
        <v>14870</v>
      </c>
      <c r="V285" s="38">
        <v>2000</v>
      </c>
      <c r="W285" s="64">
        <f t="shared" si="69"/>
        <v>16870</v>
      </c>
      <c r="X285" s="38">
        <v>5000</v>
      </c>
      <c r="Y285" s="64">
        <f t="shared" si="70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4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83" t="s">
        <v>68</v>
      </c>
      <c r="J286" s="384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8"/>
        <v>11870</v>
      </c>
      <c r="V286" s="38">
        <v>25000</v>
      </c>
      <c r="W286" s="64">
        <f t="shared" si="69"/>
        <v>36870</v>
      </c>
      <c r="X286" s="38">
        <v>5000</v>
      </c>
      <c r="Y286" s="64">
        <f t="shared" si="70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11</v>
      </c>
      <c r="D287" s="277"/>
      <c r="E287" s="277"/>
      <c r="F287" s="309" t="s">
        <v>202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51870</v>
      </c>
      <c r="H287" s="277"/>
      <c r="I287" s="377" t="s">
        <v>61</v>
      </c>
      <c r="J287" s="378"/>
      <c r="K287" s="234">
        <f>K285-K286</f>
        <v>29708.333333333336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69"/>
        <v>33870</v>
      </c>
      <c r="X287" s="38">
        <v>7000</v>
      </c>
      <c r="Y287" s="64">
        <f t="shared" si="70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69"/>
        <v>26870</v>
      </c>
      <c r="X288" s="38"/>
      <c r="Y288" s="64">
        <f t="shared" si="70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30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1">IF(U289="","",U289+V289)</f>
        <v>56870</v>
      </c>
      <c r="X289" s="38">
        <v>5000</v>
      </c>
      <c r="Y289" s="64">
        <f t="shared" ref="Y289:Y290" si="72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/>
      <c r="Q290" s="36"/>
      <c r="R290" s="36">
        <f>R289-Q290</f>
        <v>11</v>
      </c>
      <c r="S290" s="27"/>
      <c r="T290" s="36" t="s">
        <v>56</v>
      </c>
      <c r="U290" s="64">
        <v>0</v>
      </c>
      <c r="V290" s="38"/>
      <c r="W290" s="64">
        <f t="shared" si="71"/>
        <v>0</v>
      </c>
      <c r="X290" s="38"/>
      <c r="Y290" s="64">
        <f t="shared" si="72"/>
        <v>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85" t="s">
        <v>38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7"/>
      <c r="M292" s="24"/>
      <c r="N292" s="28"/>
      <c r="O292" s="380" t="s">
        <v>40</v>
      </c>
      <c r="P292" s="381"/>
      <c r="Q292" s="381"/>
      <c r="R292" s="382"/>
      <c r="S292" s="29"/>
      <c r="T292" s="380" t="s">
        <v>41</v>
      </c>
      <c r="U292" s="381"/>
      <c r="V292" s="381"/>
      <c r="W292" s="381"/>
      <c r="X292" s="381"/>
      <c r="Y292" s="382"/>
      <c r="Z292" s="30"/>
      <c r="AA292" s="24"/>
    </row>
    <row r="293" spans="1:27" s="25" customFormat="1" ht="18" customHeight="1" x14ac:dyDescent="0.2">
      <c r="A293" s="279"/>
      <c r="B293" s="277"/>
      <c r="C293" s="391" t="s">
        <v>213</v>
      </c>
      <c r="D293" s="391"/>
      <c r="E293" s="391"/>
      <c r="F293" s="391"/>
      <c r="G293" s="280" t="str">
        <f>$J$1</f>
        <v>November</v>
      </c>
      <c r="H293" s="390">
        <f>$K$1</f>
        <v>2023</v>
      </c>
      <c r="I293" s="390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77" t="s">
        <v>41</v>
      </c>
      <c r="G296" s="378"/>
      <c r="H296" s="277"/>
      <c r="I296" s="377" t="s">
        <v>42</v>
      </c>
      <c r="J296" s="379"/>
      <c r="K296" s="378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5" si="73">R295-Q296</f>
        <v>15</v>
      </c>
      <c r="S296" s="27"/>
      <c r="T296" s="36" t="s">
        <v>44</v>
      </c>
      <c r="U296" s="64">
        <f t="shared" ref="U296:U301" si="74">Y295</f>
        <v>11000</v>
      </c>
      <c r="V296" s="38">
        <v>2000</v>
      </c>
      <c r="W296" s="38">
        <f>V296+U296</f>
        <v>13000</v>
      </c>
      <c r="X296" s="38"/>
      <c r="Y296" s="64">
        <f t="shared" ref="Y296:Y305" si="75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3"/>
        <v>15</v>
      </c>
      <c r="S297" s="27"/>
      <c r="T297" s="36" t="s">
        <v>45</v>
      </c>
      <c r="U297" s="64">
        <f t="shared" si="74"/>
        <v>13000</v>
      </c>
      <c r="V297" s="38"/>
      <c r="W297" s="64">
        <f t="shared" ref="W297:W305" si="76">IF(U297="","",U297+V297)</f>
        <v>13000</v>
      </c>
      <c r="X297" s="38">
        <v>3000</v>
      </c>
      <c r="Y297" s="64">
        <f t="shared" si="75"/>
        <v>10000</v>
      </c>
      <c r="Z297" s="40"/>
    </row>
    <row r="298" spans="1:27" s="25" customFormat="1" ht="18" customHeight="1" x14ac:dyDescent="0.2">
      <c r="A298" s="279"/>
      <c r="B298" s="388" t="s">
        <v>40</v>
      </c>
      <c r="C298" s="389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296">
        <f>IF(C302&gt;=C301,$K$2,C300+C302)</f>
        <v>30</v>
      </c>
      <c r="J298" s="297" t="s">
        <v>59</v>
      </c>
      <c r="K298" s="298">
        <f>K294/$K$2*I298</f>
        <v>64999.999999999993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3"/>
        <v>13</v>
      </c>
      <c r="S298" s="27"/>
      <c r="T298" s="36" t="s">
        <v>46</v>
      </c>
      <c r="U298" s="64">
        <f t="shared" si="74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5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3"/>
        <v>13</v>
      </c>
      <c r="S299" s="27"/>
      <c r="T299" s="36" t="s">
        <v>47</v>
      </c>
      <c r="U299" s="64">
        <f t="shared" si="74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5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12000</v>
      </c>
      <c r="H300" s="292"/>
      <c r="I300" s="383" t="s">
        <v>67</v>
      </c>
      <c r="J300" s="384"/>
      <c r="K300" s="301">
        <f>K298+K299</f>
        <v>64999.999999999993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3"/>
        <v>12</v>
      </c>
      <c r="S300" s="27"/>
      <c r="T300" s="36" t="s">
        <v>48</v>
      </c>
      <c r="U300" s="64">
        <f t="shared" si="74"/>
        <v>12000</v>
      </c>
      <c r="V300" s="38">
        <v>3000</v>
      </c>
      <c r="W300" s="64">
        <f t="shared" si="76"/>
        <v>15000</v>
      </c>
      <c r="X300" s="38">
        <v>5000</v>
      </c>
      <c r="Y300" s="64">
        <f t="shared" si="75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5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92"/>
      <c r="I301" s="383" t="s">
        <v>68</v>
      </c>
      <c r="J301" s="384"/>
      <c r="K301" s="295">
        <f>G301</f>
        <v>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3"/>
        <v>12</v>
      </c>
      <c r="S301" s="27"/>
      <c r="T301" s="36" t="s">
        <v>49</v>
      </c>
      <c r="U301" s="64">
        <f t="shared" si="74"/>
        <v>10000</v>
      </c>
      <c r="V301" s="38">
        <v>2000</v>
      </c>
      <c r="W301" s="64">
        <f t="shared" si="76"/>
        <v>12000</v>
      </c>
      <c r="X301" s="38"/>
      <c r="Y301" s="64">
        <f t="shared" si="75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302" s="277"/>
      <c r="E302" s="277"/>
      <c r="F302" s="309" t="s">
        <v>202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77" t="s">
        <v>61</v>
      </c>
      <c r="J302" s="378"/>
      <c r="K302" s="234">
        <f>K300-K301</f>
        <v>64999.999999999993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3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7">IF(U302="","",U302+V302)</f>
        <v>27000</v>
      </c>
      <c r="X302" s="38">
        <v>10000</v>
      </c>
      <c r="Y302" s="64">
        <f t="shared" si="75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3"/>
        <v>10</v>
      </c>
      <c r="S303" s="27"/>
      <c r="T303" s="36" t="s">
        <v>50</v>
      </c>
      <c r="U303" s="64">
        <f>Y302</f>
        <v>17000</v>
      </c>
      <c r="V303" s="38"/>
      <c r="W303" s="64">
        <f t="shared" si="77"/>
        <v>17000</v>
      </c>
      <c r="X303" s="38">
        <v>5000</v>
      </c>
      <c r="Y303" s="64">
        <f t="shared" si="75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3"/>
        <v>5</v>
      </c>
      <c r="S304" s="27"/>
      <c r="T304" s="36" t="s">
        <v>55</v>
      </c>
      <c r="U304" s="64">
        <f>Y303</f>
        <v>12000</v>
      </c>
      <c r="V304" s="38"/>
      <c r="W304" s="64">
        <f t="shared" si="76"/>
        <v>12000</v>
      </c>
      <c r="X304" s="38"/>
      <c r="Y304" s="64">
        <f t="shared" si="75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/>
      <c r="Q305" s="36"/>
      <c r="R305" s="36">
        <f t="shared" si="73"/>
        <v>5</v>
      </c>
      <c r="S305" s="27"/>
      <c r="T305" s="36" t="s">
        <v>56</v>
      </c>
      <c r="U305" s="64">
        <v>0</v>
      </c>
      <c r="V305" s="38"/>
      <c r="W305" s="64">
        <f t="shared" si="76"/>
        <v>0</v>
      </c>
      <c r="X305" s="38"/>
      <c r="Y305" s="64">
        <f t="shared" si="75"/>
        <v>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85" t="s">
        <v>38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7"/>
      <c r="M307" s="24"/>
      <c r="N307" s="28"/>
      <c r="O307" s="380" t="s">
        <v>40</v>
      </c>
      <c r="P307" s="381"/>
      <c r="Q307" s="381"/>
      <c r="R307" s="382"/>
      <c r="S307" s="29"/>
      <c r="T307" s="380" t="s">
        <v>41</v>
      </c>
      <c r="U307" s="381"/>
      <c r="V307" s="381"/>
      <c r="W307" s="381"/>
      <c r="X307" s="381"/>
      <c r="Y307" s="382"/>
      <c r="Z307" s="30"/>
      <c r="AA307" s="24"/>
    </row>
    <row r="308" spans="1:27" s="25" customFormat="1" ht="18" customHeight="1" x14ac:dyDescent="0.2">
      <c r="A308" s="279"/>
      <c r="B308" s="277"/>
      <c r="C308" s="391" t="s">
        <v>213</v>
      </c>
      <c r="D308" s="391"/>
      <c r="E308" s="391"/>
      <c r="F308" s="391"/>
      <c r="G308" s="280" t="str">
        <f>$J$1</f>
        <v>November</v>
      </c>
      <c r="H308" s="390">
        <f>$K$1</f>
        <v>2023</v>
      </c>
      <c r="I308" s="390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77" t="s">
        <v>41</v>
      </c>
      <c r="G311" s="378"/>
      <c r="H311" s="277"/>
      <c r="I311" s="377" t="s">
        <v>42</v>
      </c>
      <c r="J311" s="379"/>
      <c r="K311" s="378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8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79">IF(U311="","",U311+V311)</f>
        <v>6760</v>
      </c>
      <c r="X311" s="38">
        <v>4000</v>
      </c>
      <c r="Y311" s="64">
        <f t="shared" ref="Y311:Y320" si="80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8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79"/>
        <v>6760</v>
      </c>
      <c r="X312" s="38">
        <v>4000</v>
      </c>
      <c r="Y312" s="64">
        <f t="shared" si="80"/>
        <v>2760</v>
      </c>
      <c r="Z312" s="40"/>
    </row>
    <row r="313" spans="1:27" s="25" customFormat="1" ht="18" customHeight="1" x14ac:dyDescent="0.2">
      <c r="A313" s="279"/>
      <c r="B313" s="388" t="s">
        <v>40</v>
      </c>
      <c r="C313" s="389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20760</v>
      </c>
      <c r="H313" s="292"/>
      <c r="I313" s="296">
        <f>IF(C317&gt;=C316,$K$2,C315+C317)</f>
        <v>30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8"/>
        <v>10</v>
      </c>
      <c r="S313" s="27"/>
      <c r="T313" s="36" t="s">
        <v>46</v>
      </c>
      <c r="U313" s="64">
        <f t="shared" ref="U313:U319" si="81">Y312</f>
        <v>2760</v>
      </c>
      <c r="V313" s="38">
        <v>2000</v>
      </c>
      <c r="W313" s="64">
        <f t="shared" si="79"/>
        <v>4760</v>
      </c>
      <c r="X313" s="38">
        <v>3000</v>
      </c>
      <c r="Y313" s="64">
        <f t="shared" si="80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58</v>
      </c>
      <c r="J314" s="297" t="s">
        <v>60</v>
      </c>
      <c r="K314" s="301">
        <f>K309/$K$2/8*I314</f>
        <v>8458.3333333333339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8"/>
        <v>10</v>
      </c>
      <c r="S314" s="27"/>
      <c r="T314" s="36" t="s">
        <v>47</v>
      </c>
      <c r="U314" s="64">
        <f t="shared" si="81"/>
        <v>1760</v>
      </c>
      <c r="V314" s="38">
        <f>10000+10000</f>
        <v>20000</v>
      </c>
      <c r="W314" s="64">
        <f t="shared" si="79"/>
        <v>21760</v>
      </c>
      <c r="X314" s="38">
        <v>10000</v>
      </c>
      <c r="Y314" s="64">
        <f t="shared" si="80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20760</v>
      </c>
      <c r="H315" s="292"/>
      <c r="I315" s="383" t="s">
        <v>67</v>
      </c>
      <c r="J315" s="384"/>
      <c r="K315" s="301">
        <f>K313+K314</f>
        <v>43458.333333333336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8"/>
        <v>10</v>
      </c>
      <c r="S315" s="27"/>
      <c r="T315" s="36" t="s">
        <v>48</v>
      </c>
      <c r="U315" s="64">
        <f t="shared" si="81"/>
        <v>11760</v>
      </c>
      <c r="V315" s="38">
        <v>2000</v>
      </c>
      <c r="W315" s="64">
        <f t="shared" si="79"/>
        <v>13760</v>
      </c>
      <c r="X315" s="38">
        <v>3000</v>
      </c>
      <c r="Y315" s="64">
        <f t="shared" si="80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83" t="s">
        <v>68</v>
      </c>
      <c r="J316" s="384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8"/>
        <v>10</v>
      </c>
      <c r="S316" s="27"/>
      <c r="T316" s="36" t="s">
        <v>49</v>
      </c>
      <c r="U316" s="64">
        <f t="shared" si="81"/>
        <v>10760</v>
      </c>
      <c r="V316" s="38">
        <v>2000</v>
      </c>
      <c r="W316" s="64">
        <f t="shared" si="79"/>
        <v>12760</v>
      </c>
      <c r="X316" s="38">
        <v>2000</v>
      </c>
      <c r="Y316" s="64">
        <f t="shared" si="80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202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17760</v>
      </c>
      <c r="H317" s="277"/>
      <c r="I317" s="377" t="s">
        <v>61</v>
      </c>
      <c r="J317" s="378"/>
      <c r="K317" s="234">
        <f>K315-K316</f>
        <v>40458.333333333336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8"/>
        <v>9</v>
      </c>
      <c r="S317" s="27"/>
      <c r="T317" s="36" t="s">
        <v>54</v>
      </c>
      <c r="U317" s="64">
        <f t="shared" si="81"/>
        <v>10760</v>
      </c>
      <c r="V317" s="38">
        <v>10000</v>
      </c>
      <c r="W317" s="64">
        <f t="shared" si="79"/>
        <v>20760</v>
      </c>
      <c r="X317" s="38">
        <v>2000</v>
      </c>
      <c r="Y317" s="64">
        <f t="shared" si="80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8"/>
        <v>8</v>
      </c>
      <c r="S318" s="27"/>
      <c r="T318" s="36" t="s">
        <v>50</v>
      </c>
      <c r="U318" s="64">
        <f t="shared" si="81"/>
        <v>18760</v>
      </c>
      <c r="V318" s="38">
        <v>5000</v>
      </c>
      <c r="W318" s="64">
        <f t="shared" si="79"/>
        <v>23760</v>
      </c>
      <c r="X318" s="38">
        <v>3000</v>
      </c>
      <c r="Y318" s="64">
        <f t="shared" si="80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8"/>
        <v>8</v>
      </c>
      <c r="S319" s="27"/>
      <c r="T319" s="36" t="s">
        <v>55</v>
      </c>
      <c r="U319" s="64">
        <f t="shared" si="81"/>
        <v>20760</v>
      </c>
      <c r="V319" s="38"/>
      <c r="W319" s="64">
        <f t="shared" si="79"/>
        <v>20760</v>
      </c>
      <c r="X319" s="38">
        <v>3000</v>
      </c>
      <c r="Y319" s="64">
        <f t="shared" si="80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/>
      <c r="Q320" s="36"/>
      <c r="R320" s="36">
        <f t="shared" si="78"/>
        <v>8</v>
      </c>
      <c r="S320" s="27"/>
      <c r="T320" s="36" t="s">
        <v>56</v>
      </c>
      <c r="U320" s="64">
        <v>0</v>
      </c>
      <c r="V320" s="38"/>
      <c r="W320" s="64">
        <f t="shared" si="79"/>
        <v>0</v>
      </c>
      <c r="X320" s="38"/>
      <c r="Y320" s="64">
        <f t="shared" si="80"/>
        <v>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85" t="s">
        <v>38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24"/>
      <c r="N322" s="28"/>
      <c r="O322" s="380" t="s">
        <v>40</v>
      </c>
      <c r="P322" s="381"/>
      <c r="Q322" s="381"/>
      <c r="R322" s="382"/>
      <c r="S322" s="29"/>
      <c r="T322" s="380" t="s">
        <v>41</v>
      </c>
      <c r="U322" s="381"/>
      <c r="V322" s="381"/>
      <c r="W322" s="381"/>
      <c r="X322" s="381"/>
      <c r="Y322" s="382"/>
      <c r="Z322" s="30"/>
      <c r="AA322" s="24"/>
    </row>
    <row r="323" spans="1:27" s="25" customFormat="1" ht="18" customHeight="1" x14ac:dyDescent="0.2">
      <c r="A323" s="279"/>
      <c r="B323" s="277"/>
      <c r="C323" s="391" t="s">
        <v>213</v>
      </c>
      <c r="D323" s="391"/>
      <c r="E323" s="391"/>
      <c r="F323" s="391"/>
      <c r="G323" s="280" t="str">
        <f>$J$1</f>
        <v>November</v>
      </c>
      <c r="H323" s="390">
        <f>$K$1</f>
        <v>2023</v>
      </c>
      <c r="I323" s="390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</f>
        <v>22000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2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77" t="s">
        <v>41</v>
      </c>
      <c r="G326" s="378"/>
      <c r="H326" s="277"/>
      <c r="I326" s="377" t="s">
        <v>42</v>
      </c>
      <c r="J326" s="379"/>
      <c r="K326" s="378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2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3">IF(U326="","",U326+V326)</f>
        <v>0</v>
      </c>
      <c r="X326" s="38"/>
      <c r="Y326" s="64">
        <f t="shared" ref="Y326:Y335" si="84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2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3"/>
        <v>0</v>
      </c>
      <c r="X327" s="38"/>
      <c r="Y327" s="64">
        <f t="shared" si="84"/>
        <v>0</v>
      </c>
      <c r="Z327" s="40"/>
    </row>
    <row r="328" spans="1:27" s="25" customFormat="1" ht="18" customHeight="1" x14ac:dyDescent="0.2">
      <c r="A328" s="279"/>
      <c r="B328" s="388" t="s">
        <v>40</v>
      </c>
      <c r="C328" s="389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22000</v>
      </c>
      <c r="H328" s="292"/>
      <c r="I328" s="296">
        <f>IF(C332&gt;=C331,$K$2,C330+C332)</f>
        <v>30</v>
      </c>
      <c r="J328" s="297" t="s">
        <v>59</v>
      </c>
      <c r="K328" s="298">
        <f>K324/$K$2*I328</f>
        <v>22000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2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3"/>
        <v>0</v>
      </c>
      <c r="X328" s="38"/>
      <c r="Y328" s="64">
        <f t="shared" si="84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126</v>
      </c>
      <c r="J329" s="297" t="s">
        <v>60</v>
      </c>
      <c r="K329" s="301">
        <f>K324/$K$2/8*I329</f>
        <v>11550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2"/>
        <v>13</v>
      </c>
      <c r="S329" s="27"/>
      <c r="T329" s="36" t="s">
        <v>47</v>
      </c>
      <c r="U329" s="64">
        <f t="shared" ref="U329:U334" si="85">Y328</f>
        <v>0</v>
      </c>
      <c r="V329" s="38">
        <f>15000+30000</f>
        <v>45000</v>
      </c>
      <c r="W329" s="64">
        <f t="shared" si="83"/>
        <v>45000</v>
      </c>
      <c r="X329" s="38">
        <v>15000</v>
      </c>
      <c r="Y329" s="64">
        <f t="shared" si="84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22000</v>
      </c>
      <c r="H330" s="292"/>
      <c r="I330" s="383" t="s">
        <v>67</v>
      </c>
      <c r="J330" s="384"/>
      <c r="K330" s="301">
        <f>K328+K329</f>
        <v>33550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2"/>
        <v>11</v>
      </c>
      <c r="S330" s="27"/>
      <c r="T330" s="36" t="s">
        <v>48</v>
      </c>
      <c r="U330" s="64">
        <f t="shared" si="85"/>
        <v>30000</v>
      </c>
      <c r="V330" s="38"/>
      <c r="W330" s="64">
        <f t="shared" ref="W330:W333" si="86">IF(U330="","",U330+V330)</f>
        <v>30000</v>
      </c>
      <c r="X330" s="38">
        <v>2000</v>
      </c>
      <c r="Y330" s="64">
        <f t="shared" ref="Y330:Y333" si="87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83" t="s">
        <v>68</v>
      </c>
      <c r="J331" s="384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2"/>
        <v>11</v>
      </c>
      <c r="S331" s="27"/>
      <c r="T331" s="36" t="s">
        <v>49</v>
      </c>
      <c r="U331" s="64">
        <f t="shared" si="85"/>
        <v>28000</v>
      </c>
      <c r="V331" s="38"/>
      <c r="W331" s="64">
        <f t="shared" si="86"/>
        <v>28000</v>
      </c>
      <c r="X331" s="38">
        <v>2000</v>
      </c>
      <c r="Y331" s="64">
        <f t="shared" si="87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202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20000</v>
      </c>
      <c r="H332" s="277"/>
      <c r="I332" s="377" t="s">
        <v>61</v>
      </c>
      <c r="J332" s="378"/>
      <c r="K332" s="234">
        <f>K330-K331</f>
        <v>31550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2"/>
        <v>11</v>
      </c>
      <c r="S332" s="27"/>
      <c r="T332" s="36" t="s">
        <v>54</v>
      </c>
      <c r="U332" s="64">
        <f t="shared" si="85"/>
        <v>26000</v>
      </c>
      <c r="V332" s="38"/>
      <c r="W332" s="64">
        <f t="shared" si="86"/>
        <v>26000</v>
      </c>
      <c r="X332" s="38">
        <v>2000</v>
      </c>
      <c r="Y332" s="64">
        <f t="shared" si="87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2"/>
        <v>10</v>
      </c>
      <c r="S333" s="27"/>
      <c r="T333" s="36" t="s">
        <v>50</v>
      </c>
      <c r="U333" s="64">
        <f t="shared" si="85"/>
        <v>24000</v>
      </c>
      <c r="V333" s="38"/>
      <c r="W333" s="64">
        <f t="shared" si="86"/>
        <v>24000</v>
      </c>
      <c r="X333" s="38">
        <v>2000</v>
      </c>
      <c r="Y333" s="64">
        <f t="shared" si="87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2"/>
        <v>8</v>
      </c>
      <c r="S334" s="27"/>
      <c r="T334" s="36" t="s">
        <v>55</v>
      </c>
      <c r="U334" s="64">
        <f t="shared" si="85"/>
        <v>22000</v>
      </c>
      <c r="V334" s="38"/>
      <c r="W334" s="64">
        <f t="shared" si="83"/>
        <v>22000</v>
      </c>
      <c r="X334" s="38">
        <v>2000</v>
      </c>
      <c r="Y334" s="64">
        <f t="shared" si="84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/>
      <c r="Q335" s="36"/>
      <c r="R335" s="36" t="str">
        <f t="shared" si="82"/>
        <v/>
      </c>
      <c r="S335" s="27"/>
      <c r="T335" s="36" t="s">
        <v>56</v>
      </c>
      <c r="U335" s="64">
        <v>0</v>
      </c>
      <c r="V335" s="38"/>
      <c r="W335" s="64">
        <f t="shared" si="83"/>
        <v>0</v>
      </c>
      <c r="X335" s="38"/>
      <c r="Y335" s="64">
        <f t="shared" si="84"/>
        <v>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85" t="s">
        <v>38</v>
      </c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24"/>
      <c r="N337" s="28"/>
      <c r="O337" s="380" t="s">
        <v>40</v>
      </c>
      <c r="P337" s="381"/>
      <c r="Q337" s="381"/>
      <c r="R337" s="382"/>
      <c r="S337" s="29"/>
      <c r="T337" s="380" t="s">
        <v>41</v>
      </c>
      <c r="U337" s="381"/>
      <c r="V337" s="381"/>
      <c r="W337" s="381"/>
      <c r="X337" s="381"/>
      <c r="Y337" s="382"/>
      <c r="Z337" s="30"/>
    </row>
    <row r="338" spans="1:26" s="25" customFormat="1" ht="18" customHeight="1" x14ac:dyDescent="0.2">
      <c r="A338" s="279"/>
      <c r="B338" s="277"/>
      <c r="C338" s="391" t="s">
        <v>213</v>
      </c>
      <c r="D338" s="391"/>
      <c r="E338" s="391"/>
      <c r="F338" s="391"/>
      <c r="G338" s="280" t="str">
        <f>$J$1</f>
        <v>November</v>
      </c>
      <c r="H338" s="390">
        <f>$K$1</f>
        <v>2023</v>
      </c>
      <c r="I338" s="390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v>27000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8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77" t="s">
        <v>41</v>
      </c>
      <c r="G341" s="378"/>
      <c r="H341" s="277"/>
      <c r="I341" s="377" t="s">
        <v>42</v>
      </c>
      <c r="J341" s="379"/>
      <c r="K341" s="378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8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89">IF(U341="","",U341+V341)</f>
        <v>0</v>
      </c>
      <c r="X341" s="38"/>
      <c r="Y341" s="64">
        <f t="shared" ref="Y341:Y344" si="90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8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89"/>
        <v>0</v>
      </c>
      <c r="X342" s="38"/>
      <c r="Y342" s="64">
        <f t="shared" si="90"/>
        <v>0</v>
      </c>
      <c r="Z342" s="40"/>
    </row>
    <row r="343" spans="1:26" s="25" customFormat="1" ht="18" customHeight="1" x14ac:dyDescent="0.2">
      <c r="A343" s="279"/>
      <c r="B343" s="388" t="s">
        <v>40</v>
      </c>
      <c r="C343" s="389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30</v>
      </c>
      <c r="J343" s="297" t="s">
        <v>59</v>
      </c>
      <c r="K343" s="298">
        <f>K339/$K$2*I343</f>
        <v>27000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8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89"/>
        <v>0</v>
      </c>
      <c r="X343" s="38"/>
      <c r="Y343" s="64">
        <f t="shared" si="90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38</v>
      </c>
      <c r="J344" s="297" t="s">
        <v>60</v>
      </c>
      <c r="K344" s="301">
        <f>K339/$K$2/8*I344</f>
        <v>4275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8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89"/>
        <v>15000</v>
      </c>
      <c r="X344" s="38">
        <v>15000</v>
      </c>
      <c r="Y344" s="64">
        <f t="shared" si="90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83" t="s">
        <v>67</v>
      </c>
      <c r="J345" s="384"/>
      <c r="K345" s="301">
        <f>K343+K344</f>
        <v>31275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8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1">IF(U345="","",U345+V345)</f>
        <v>0</v>
      </c>
      <c r="X345" s="38"/>
      <c r="Y345" s="64">
        <f t="shared" ref="Y345:Y350" si="92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83" t="s">
        <v>68</v>
      </c>
      <c r="J346" s="384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8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1"/>
        <v>0</v>
      </c>
      <c r="X346" s="38"/>
      <c r="Y346" s="64">
        <f t="shared" si="92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202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77" t="s">
        <v>61</v>
      </c>
      <c r="J347" s="378"/>
      <c r="K347" s="234">
        <f>K345-K346</f>
        <v>31275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8"/>
        <v>6</v>
      </c>
      <c r="S347" s="27"/>
      <c r="T347" s="36" t="s">
        <v>54</v>
      </c>
      <c r="U347" s="64">
        <f>Y346</f>
        <v>0</v>
      </c>
      <c r="V347" s="38"/>
      <c r="W347" s="64">
        <f t="shared" si="91"/>
        <v>0</v>
      </c>
      <c r="X347" s="38"/>
      <c r="Y347" s="64">
        <f t="shared" si="92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8"/>
        <v>6</v>
      </c>
      <c r="S348" s="27"/>
      <c r="T348" s="36" t="s">
        <v>50</v>
      </c>
      <c r="U348" s="64">
        <f>Y347</f>
        <v>0</v>
      </c>
      <c r="V348" s="38"/>
      <c r="W348" s="64">
        <f t="shared" si="91"/>
        <v>0</v>
      </c>
      <c r="X348" s="38"/>
      <c r="Y348" s="64">
        <f t="shared" si="92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8"/>
        <v>6</v>
      </c>
      <c r="S349" s="27"/>
      <c r="T349" s="36" t="s">
        <v>55</v>
      </c>
      <c r="U349" s="64">
        <f>Y348</f>
        <v>0</v>
      </c>
      <c r="V349" s="38"/>
      <c r="W349" s="64">
        <f t="shared" si="91"/>
        <v>0</v>
      </c>
      <c r="X349" s="38"/>
      <c r="Y349" s="64">
        <f t="shared" si="92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/>
      <c r="Q350" s="36"/>
      <c r="R350" s="36" t="str">
        <f t="shared" si="88"/>
        <v/>
      </c>
      <c r="S350" s="27"/>
      <c r="T350" s="36" t="s">
        <v>56</v>
      </c>
      <c r="U350" s="64">
        <v>0</v>
      </c>
      <c r="V350" s="38"/>
      <c r="W350" s="64">
        <f t="shared" si="91"/>
        <v>0</v>
      </c>
      <c r="X350" s="38"/>
      <c r="Y350" s="64">
        <f t="shared" si="92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85" t="s">
        <v>38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7"/>
      <c r="M352" s="24"/>
      <c r="N352" s="28"/>
      <c r="O352" s="380" t="s">
        <v>40</v>
      </c>
      <c r="P352" s="381"/>
      <c r="Q352" s="381"/>
      <c r="R352" s="382"/>
      <c r="S352" s="29"/>
      <c r="T352" s="380" t="s">
        <v>41</v>
      </c>
      <c r="U352" s="381"/>
      <c r="V352" s="381"/>
      <c r="W352" s="381"/>
      <c r="X352" s="381"/>
      <c r="Y352" s="382"/>
      <c r="Z352" s="30"/>
    </row>
    <row r="353" spans="1:26" s="25" customFormat="1" ht="18" customHeight="1" x14ac:dyDescent="0.2">
      <c r="A353" s="279"/>
      <c r="B353" s="277"/>
      <c r="C353" s="391" t="s">
        <v>213</v>
      </c>
      <c r="D353" s="391"/>
      <c r="E353" s="391"/>
      <c r="F353" s="391"/>
      <c r="G353" s="280" t="str">
        <f>$J$1</f>
        <v>November</v>
      </c>
      <c r="H353" s="390">
        <f>$K$1</f>
        <v>2023</v>
      </c>
      <c r="I353" s="390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v>21000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5" si="93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77" t="s">
        <v>41</v>
      </c>
      <c r="G356" s="378"/>
      <c r="H356" s="277"/>
      <c r="I356" s="377" t="s">
        <v>42</v>
      </c>
      <c r="J356" s="379"/>
      <c r="K356" s="378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3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4">IF(U356="","",U356+V356)</f>
        <v>0</v>
      </c>
      <c r="X356" s="38"/>
      <c r="Y356" s="64">
        <f t="shared" ref="Y356:Y359" si="95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3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4"/>
        <v>0</v>
      </c>
      <c r="X357" s="38"/>
      <c r="Y357" s="64">
        <f t="shared" si="95"/>
        <v>0</v>
      </c>
      <c r="Z357" s="40"/>
    </row>
    <row r="358" spans="1:26" s="25" customFormat="1" ht="18" customHeight="1" x14ac:dyDescent="0.2">
      <c r="A358" s="279"/>
      <c r="B358" s="388" t="s">
        <v>40</v>
      </c>
      <c r="C358" s="389"/>
      <c r="D358" s="277"/>
      <c r="E358" s="277"/>
      <c r="F358" s="294" t="s">
        <v>62</v>
      </c>
      <c r="G358" s="295" t="str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/>
      </c>
      <c r="H358" s="292"/>
      <c r="I358" s="296">
        <f>IF(C362&gt;=C361,$K$2,C360+C362)</f>
        <v>30</v>
      </c>
      <c r="J358" s="297" t="s">
        <v>59</v>
      </c>
      <c r="K358" s="298">
        <f>K354/$K$2*I358</f>
        <v>21000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3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4"/>
        <v>0</v>
      </c>
      <c r="X358" s="38"/>
      <c r="Y358" s="64">
        <f t="shared" si="95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13</v>
      </c>
      <c r="J359" s="297" t="s">
        <v>60</v>
      </c>
      <c r="K359" s="301">
        <f>K354/$K$2/8*I359</f>
        <v>1137.5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3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4"/>
        <v>15000</v>
      </c>
      <c r="X359" s="38">
        <v>15000</v>
      </c>
      <c r="Y359" s="64">
        <f t="shared" si="95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30</v>
      </c>
      <c r="D360" s="277"/>
      <c r="E360" s="277"/>
      <c r="F360" s="294" t="s">
        <v>63</v>
      </c>
      <c r="G360" s="295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60" s="292"/>
      <c r="I360" s="383" t="s">
        <v>67</v>
      </c>
      <c r="J360" s="384"/>
      <c r="K360" s="301">
        <f>K358+K359</f>
        <v>22137.5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3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6">IF(U360="","",U360+V360)</f>
        <v>0</v>
      </c>
      <c r="X360" s="38"/>
      <c r="Y360" s="64">
        <f t="shared" ref="Y360:Y363" si="97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83" t="s">
        <v>68</v>
      </c>
      <c r="J361" s="384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3"/>
        <v>10</v>
      </c>
      <c r="S361" s="27"/>
      <c r="T361" s="36" t="s">
        <v>49</v>
      </c>
      <c r="U361" s="64"/>
      <c r="V361" s="38"/>
      <c r="W361" s="64" t="str">
        <f t="shared" si="96"/>
        <v/>
      </c>
      <c r="X361" s="38"/>
      <c r="Y361" s="64" t="str">
        <f t="shared" si="97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7"/>
      <c r="E362" s="277"/>
      <c r="F362" s="309" t="s">
        <v>202</v>
      </c>
      <c r="G362" s="295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62" s="277"/>
      <c r="I362" s="377" t="s">
        <v>61</v>
      </c>
      <c r="J362" s="378"/>
      <c r="K362" s="234">
        <f>K360-K361</f>
        <v>22137.5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3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6"/>
        <v/>
      </c>
      <c r="X362" s="38"/>
      <c r="Y362" s="64" t="str">
        <f t="shared" si="97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3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6"/>
        <v/>
      </c>
      <c r="X363" s="38"/>
      <c r="Y363" s="64" t="str">
        <f t="shared" si="97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3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8">IF(U364="","",U364+V364)</f>
        <v/>
      </c>
      <c r="X364" s="38"/>
      <c r="Y364" s="64" t="str">
        <f t="shared" ref="Y364:Y365" si="99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/>
      <c r="Q365" s="36"/>
      <c r="R365" s="36" t="str">
        <f t="shared" si="93"/>
        <v/>
      </c>
      <c r="S365" s="27"/>
      <c r="T365" s="36" t="s">
        <v>56</v>
      </c>
      <c r="U365" s="64">
        <v>0</v>
      </c>
      <c r="V365" s="38"/>
      <c r="W365" s="64">
        <f t="shared" si="98"/>
        <v>0</v>
      </c>
      <c r="X365" s="38"/>
      <c r="Y365" s="64">
        <f t="shared" si="99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85" t="s">
        <v>38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24"/>
      <c r="N367" s="28"/>
      <c r="O367" s="380" t="s">
        <v>40</v>
      </c>
      <c r="P367" s="381"/>
      <c r="Q367" s="381"/>
      <c r="R367" s="382"/>
      <c r="S367" s="29"/>
      <c r="T367" s="380" t="s">
        <v>41</v>
      </c>
      <c r="U367" s="381"/>
      <c r="V367" s="381"/>
      <c r="W367" s="381"/>
      <c r="X367" s="381"/>
      <c r="Y367" s="382"/>
      <c r="Z367" s="30"/>
    </row>
    <row r="368" spans="1:26" s="25" customFormat="1" ht="18" customHeight="1" x14ac:dyDescent="0.2">
      <c r="A368" s="279"/>
      <c r="B368" s="277"/>
      <c r="C368" s="391" t="s">
        <v>213</v>
      </c>
      <c r="D368" s="391"/>
      <c r="E368" s="391"/>
      <c r="F368" s="391"/>
      <c r="G368" s="280" t="str">
        <f>$J$1</f>
        <v>November</v>
      </c>
      <c r="H368" s="390">
        <f>$K$1</f>
        <v>2023</v>
      </c>
      <c r="I368" s="390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77" t="s">
        <v>41</v>
      </c>
      <c r="G371" s="378"/>
      <c r="H371" s="277"/>
      <c r="I371" s="377" t="s">
        <v>42</v>
      </c>
      <c r="J371" s="379"/>
      <c r="K371" s="378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0">IF(U371="","",U371+V371)</f>
        <v>0</v>
      </c>
      <c r="X371" s="38"/>
      <c r="Y371" s="64">
        <f t="shared" ref="Y371:Y374" si="101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0"/>
        <v>0</v>
      </c>
      <c r="X372" s="38"/>
      <c r="Y372" s="64">
        <f t="shared" si="101"/>
        <v>0</v>
      </c>
      <c r="Z372" s="40"/>
    </row>
    <row r="373" spans="1:27" s="25" customFormat="1" ht="18" customHeight="1" x14ac:dyDescent="0.2">
      <c r="A373" s="279"/>
      <c r="B373" s="388" t="s">
        <v>40</v>
      </c>
      <c r="C373" s="389"/>
      <c r="D373" s="277"/>
      <c r="E373" s="277"/>
      <c r="F373" s="294" t="s">
        <v>62</v>
      </c>
      <c r="G373" s="295" t="str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/>
      </c>
      <c r="H373" s="292"/>
      <c r="I373" s="296">
        <f>IF(C377&gt;=C376,$K$2,C375+C377)</f>
        <v>30</v>
      </c>
      <c r="J373" s="297" t="s">
        <v>59</v>
      </c>
      <c r="K373" s="298">
        <f>K369/$K$2*I373</f>
        <v>28000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0"/>
        <v>0</v>
      </c>
      <c r="X373" s="38"/>
      <c r="Y373" s="64">
        <f t="shared" si="101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>
        <v>5</v>
      </c>
      <c r="J374" s="297" t="s">
        <v>60</v>
      </c>
      <c r="K374" s="301">
        <f>K369/$K$2/8*I374</f>
        <v>583.33333333333337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0"/>
        <v>15000</v>
      </c>
      <c r="X374" s="38">
        <v>15000</v>
      </c>
      <c r="Y374" s="64">
        <f t="shared" si="101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D375" s="277"/>
      <c r="E375" s="277"/>
      <c r="F375" s="294" t="s">
        <v>63</v>
      </c>
      <c r="G375" s="295" t="str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/>
      </c>
      <c r="H375" s="292"/>
      <c r="I375" s="383" t="s">
        <v>67</v>
      </c>
      <c r="J375" s="384"/>
      <c r="K375" s="301">
        <f>K373+K374</f>
        <v>28583.333333333332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2">IF(U375="","",U375+V375)</f>
        <v>0</v>
      </c>
      <c r="X375" s="38"/>
      <c r="Y375" s="64">
        <f t="shared" ref="Y375:Y380" si="103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83" t="s">
        <v>68</v>
      </c>
      <c r="J376" s="384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2"/>
        <v/>
      </c>
      <c r="X376" s="38"/>
      <c r="Y376" s="64" t="str">
        <f t="shared" si="103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12</v>
      </c>
      <c r="D377" s="277"/>
      <c r="E377" s="277"/>
      <c r="F377" s="309" t="s">
        <v>202</v>
      </c>
      <c r="G377" s="295" t="str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/>
      </c>
      <c r="H377" s="277"/>
      <c r="I377" s="377" t="s">
        <v>61</v>
      </c>
      <c r="J377" s="378"/>
      <c r="K377" s="234">
        <f>K375-K376</f>
        <v>28583.333333333332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2"/>
        <v/>
      </c>
      <c r="X377" s="38"/>
      <c r="Y377" s="64" t="str">
        <f t="shared" si="103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2"/>
        <v/>
      </c>
      <c r="X378" s="38"/>
      <c r="Y378" s="64" t="str">
        <f t="shared" si="103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2"/>
        <v/>
      </c>
      <c r="X379" s="38"/>
      <c r="Y379" s="64" t="str">
        <f t="shared" si="103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/>
      <c r="Q380" s="36"/>
      <c r="R380" s="36">
        <f>R379-Q380</f>
        <v>12</v>
      </c>
      <c r="S380" s="27"/>
      <c r="T380" s="36" t="s">
        <v>56</v>
      </c>
      <c r="U380" s="64">
        <v>0</v>
      </c>
      <c r="V380" s="38"/>
      <c r="W380" s="64">
        <f t="shared" si="102"/>
        <v>0</v>
      </c>
      <c r="X380" s="38"/>
      <c r="Y380" s="64">
        <f t="shared" si="103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85" t="s">
        <v>38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24"/>
      <c r="N382" s="28"/>
      <c r="O382" s="380" t="s">
        <v>40</v>
      </c>
      <c r="P382" s="381"/>
      <c r="Q382" s="381"/>
      <c r="R382" s="382"/>
      <c r="S382" s="29"/>
      <c r="T382" s="380" t="s">
        <v>41</v>
      </c>
      <c r="U382" s="381"/>
      <c r="V382" s="381"/>
      <c r="W382" s="381"/>
      <c r="X382" s="381"/>
      <c r="Y382" s="382"/>
      <c r="Z382" s="30"/>
      <c r="AA382" s="24"/>
    </row>
    <row r="383" spans="1:27" s="25" customFormat="1" ht="18" customHeight="1" x14ac:dyDescent="0.2">
      <c r="A383" s="279"/>
      <c r="B383" s="277"/>
      <c r="C383" s="391" t="s">
        <v>213</v>
      </c>
      <c r="D383" s="391"/>
      <c r="E383" s="391"/>
      <c r="F383" s="391"/>
      <c r="G383" s="280" t="str">
        <f>$J$1</f>
        <v>November</v>
      </c>
      <c r="H383" s="390">
        <f>$K$1</f>
        <v>2023</v>
      </c>
      <c r="I383" s="390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v>20000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4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77" t="s">
        <v>41</v>
      </c>
      <c r="G386" s="378"/>
      <c r="H386" s="277"/>
      <c r="I386" s="377" t="s">
        <v>42</v>
      </c>
      <c r="J386" s="379"/>
      <c r="K386" s="378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4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5">IF(U386="","",U386+V386)</f>
        <v>10000</v>
      </c>
      <c r="X386" s="38">
        <v>2000</v>
      </c>
      <c r="Y386" s="64">
        <f t="shared" ref="Y386:Y395" si="106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4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5"/>
        <v>8000</v>
      </c>
      <c r="X387" s="38">
        <v>2000</v>
      </c>
      <c r="Y387" s="64">
        <f t="shared" si="106"/>
        <v>6000</v>
      </c>
      <c r="Z387" s="40"/>
    </row>
    <row r="388" spans="1:27" s="25" customFormat="1" ht="18" customHeight="1" x14ac:dyDescent="0.2">
      <c r="A388" s="279"/>
      <c r="B388" s="388" t="s">
        <v>40</v>
      </c>
      <c r="C388" s="389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24000</v>
      </c>
      <c r="H388" s="292"/>
      <c r="I388" s="296">
        <f>IF(C392&gt;=C391,$K$2,C390+C392)</f>
        <v>30</v>
      </c>
      <c r="J388" s="297" t="s">
        <v>59</v>
      </c>
      <c r="K388" s="298">
        <f>K384/$K$2*I388</f>
        <v>20000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4"/>
        <v>12</v>
      </c>
      <c r="S388" s="27"/>
      <c r="T388" s="36" t="s">
        <v>46</v>
      </c>
      <c r="U388" s="64">
        <f t="shared" ref="U388:U394" si="107">Y387</f>
        <v>6000</v>
      </c>
      <c r="V388" s="38">
        <v>15000</v>
      </c>
      <c r="W388" s="64">
        <f t="shared" si="105"/>
        <v>21000</v>
      </c>
      <c r="X388" s="38">
        <v>2000</v>
      </c>
      <c r="Y388" s="64">
        <f t="shared" si="106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7</v>
      </c>
      <c r="J389" s="297" t="s">
        <v>60</v>
      </c>
      <c r="K389" s="301">
        <f>K384/$K$2/8*I389</f>
        <v>583.33333333333326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4"/>
        <v>12</v>
      </c>
      <c r="S389" s="27"/>
      <c r="T389" s="36" t="s">
        <v>47</v>
      </c>
      <c r="U389" s="64">
        <f t="shared" si="107"/>
        <v>19000</v>
      </c>
      <c r="V389" s="38">
        <v>15000</v>
      </c>
      <c r="W389" s="64">
        <f t="shared" si="105"/>
        <v>34000</v>
      </c>
      <c r="X389" s="38">
        <v>17000</v>
      </c>
      <c r="Y389" s="64">
        <f t="shared" si="106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24000</v>
      </c>
      <c r="H390" s="292"/>
      <c r="I390" s="383" t="s">
        <v>67</v>
      </c>
      <c r="J390" s="384"/>
      <c r="K390" s="301">
        <f>K388+K389</f>
        <v>20583.333333333332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4"/>
        <v>11</v>
      </c>
      <c r="S390" s="27"/>
      <c r="T390" s="36" t="s">
        <v>48</v>
      </c>
      <c r="U390" s="64">
        <f t="shared" si="107"/>
        <v>17000</v>
      </c>
      <c r="V390" s="38"/>
      <c r="W390" s="64">
        <f t="shared" si="105"/>
        <v>17000</v>
      </c>
      <c r="X390" s="38">
        <v>2000</v>
      </c>
      <c r="Y390" s="64">
        <f t="shared" si="106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83" t="s">
        <v>68</v>
      </c>
      <c r="J391" s="384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4"/>
        <v>11</v>
      </c>
      <c r="S391" s="27"/>
      <c r="T391" s="36" t="s">
        <v>49</v>
      </c>
      <c r="U391" s="64">
        <f t="shared" si="107"/>
        <v>15000</v>
      </c>
      <c r="V391" s="38"/>
      <c r="W391" s="64">
        <f t="shared" si="105"/>
        <v>15000</v>
      </c>
      <c r="X391" s="38">
        <v>2000</v>
      </c>
      <c r="Y391" s="64">
        <f t="shared" si="106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202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22000</v>
      </c>
      <c r="H392" s="277"/>
      <c r="I392" s="377" t="s">
        <v>61</v>
      </c>
      <c r="J392" s="378"/>
      <c r="K392" s="234">
        <f>K390-K391</f>
        <v>18583.333333333332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4"/>
        <v>11</v>
      </c>
      <c r="S392" s="27"/>
      <c r="T392" s="36" t="s">
        <v>54</v>
      </c>
      <c r="U392" s="64">
        <f t="shared" si="107"/>
        <v>13000</v>
      </c>
      <c r="V392" s="38"/>
      <c r="W392" s="64">
        <f t="shared" si="105"/>
        <v>13000</v>
      </c>
      <c r="X392" s="38">
        <v>2000</v>
      </c>
      <c r="Y392" s="64">
        <f t="shared" si="106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4"/>
        <v>10</v>
      </c>
      <c r="S393" s="27"/>
      <c r="T393" s="36" t="s">
        <v>50</v>
      </c>
      <c r="U393" s="64">
        <f t="shared" si="107"/>
        <v>11000</v>
      </c>
      <c r="V393" s="38">
        <v>15000</v>
      </c>
      <c r="W393" s="64">
        <f t="shared" si="105"/>
        <v>26000</v>
      </c>
      <c r="X393" s="38">
        <v>2000</v>
      </c>
      <c r="Y393" s="64">
        <f t="shared" si="106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4"/>
        <v>10</v>
      </c>
      <c r="S394" s="27"/>
      <c r="T394" s="36" t="s">
        <v>55</v>
      </c>
      <c r="U394" s="64">
        <f t="shared" si="107"/>
        <v>24000</v>
      </c>
      <c r="V394" s="38"/>
      <c r="W394" s="64">
        <f t="shared" si="105"/>
        <v>24000</v>
      </c>
      <c r="X394" s="38">
        <v>2000</v>
      </c>
      <c r="Y394" s="64">
        <f t="shared" si="106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/>
      <c r="Q395" s="36"/>
      <c r="R395" s="36" t="str">
        <f t="shared" si="104"/>
        <v/>
      </c>
      <c r="S395" s="27"/>
      <c r="T395" s="36" t="s">
        <v>56</v>
      </c>
      <c r="U395" s="64">
        <v>0</v>
      </c>
      <c r="V395" s="38"/>
      <c r="W395" s="64">
        <f t="shared" si="105"/>
        <v>0</v>
      </c>
      <c r="X395" s="38"/>
      <c r="Y395" s="64">
        <f t="shared" si="106"/>
        <v>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85" t="s">
        <v>38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24"/>
      <c r="N397" s="28"/>
      <c r="O397" s="380" t="s">
        <v>40</v>
      </c>
      <c r="P397" s="381"/>
      <c r="Q397" s="381"/>
      <c r="R397" s="382"/>
      <c r="S397" s="29"/>
      <c r="T397" s="380" t="s">
        <v>41</v>
      </c>
      <c r="U397" s="381"/>
      <c r="V397" s="381"/>
      <c r="W397" s="381"/>
      <c r="X397" s="381"/>
      <c r="Y397" s="382"/>
      <c r="Z397" s="30"/>
      <c r="AA397" s="24"/>
    </row>
    <row r="398" spans="1:27" s="25" customFormat="1" ht="18" customHeight="1" x14ac:dyDescent="0.2">
      <c r="A398" s="279"/>
      <c r="B398" s="277"/>
      <c r="C398" s="391" t="s">
        <v>213</v>
      </c>
      <c r="D398" s="391"/>
      <c r="E398" s="391"/>
      <c r="F398" s="391"/>
      <c r="G398" s="280" t="str">
        <f>$J$1</f>
        <v>November</v>
      </c>
      <c r="H398" s="390">
        <f>$K$1</f>
        <v>2023</v>
      </c>
      <c r="I398" s="390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8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77" t="s">
        <v>41</v>
      </c>
      <c r="G401" s="378"/>
      <c r="H401" s="277"/>
      <c r="I401" s="377" t="s">
        <v>42</v>
      </c>
      <c r="J401" s="379"/>
      <c r="K401" s="378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8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09">IF(U401="","",U401+V401)</f>
        <v>6000</v>
      </c>
      <c r="X401" s="38">
        <v>2500</v>
      </c>
      <c r="Y401" s="64">
        <f t="shared" ref="Y401:Y410" si="110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8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09"/>
        <v>3500</v>
      </c>
      <c r="X402" s="38">
        <v>2500</v>
      </c>
      <c r="Y402" s="64">
        <f t="shared" si="110"/>
        <v>1000</v>
      </c>
      <c r="Z402" s="40"/>
    </row>
    <row r="403" spans="1:26" s="25" customFormat="1" ht="18" customHeight="1" x14ac:dyDescent="0.2">
      <c r="A403" s="279"/>
      <c r="B403" s="388" t="s">
        <v>40</v>
      </c>
      <c r="C403" s="389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16500</v>
      </c>
      <c r="H403" s="292"/>
      <c r="I403" s="296">
        <f>IF(C407&gt;=C406,$K$2,C405+C407)</f>
        <v>30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8"/>
        <v>13</v>
      </c>
      <c r="S403" s="27"/>
      <c r="T403" s="36" t="s">
        <v>46</v>
      </c>
      <c r="U403" s="64">
        <f t="shared" ref="U403:U409" si="111">Y402</f>
        <v>1000</v>
      </c>
      <c r="V403" s="38">
        <v>3000</v>
      </c>
      <c r="W403" s="64">
        <f t="shared" si="109"/>
        <v>4000</v>
      </c>
      <c r="X403" s="38">
        <v>2000</v>
      </c>
      <c r="Y403" s="64">
        <f t="shared" si="110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500</v>
      </c>
      <c r="H404" s="292"/>
      <c r="I404" s="296">
        <v>51</v>
      </c>
      <c r="J404" s="297" t="s">
        <v>60</v>
      </c>
      <c r="K404" s="301">
        <f>K399/$K$2/8*I404</f>
        <v>5737.5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8"/>
        <v>13</v>
      </c>
      <c r="S404" s="27"/>
      <c r="T404" s="36" t="s">
        <v>47</v>
      </c>
      <c r="U404" s="64">
        <f t="shared" si="111"/>
        <v>2000</v>
      </c>
      <c r="V404" s="38">
        <f>4000+500</f>
        <v>4500</v>
      </c>
      <c r="W404" s="64">
        <f t="shared" si="109"/>
        <v>6500</v>
      </c>
      <c r="X404" s="38">
        <v>2000</v>
      </c>
      <c r="Y404" s="64">
        <f t="shared" si="110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17000</v>
      </c>
      <c r="H405" s="292"/>
      <c r="I405" s="383" t="s">
        <v>67</v>
      </c>
      <c r="J405" s="384"/>
      <c r="K405" s="301">
        <f>K403+K404</f>
        <v>32737.5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8"/>
        <v>13</v>
      </c>
      <c r="S405" s="27"/>
      <c r="T405" s="36" t="s">
        <v>48</v>
      </c>
      <c r="U405" s="64">
        <f t="shared" si="111"/>
        <v>4500</v>
      </c>
      <c r="V405" s="38">
        <f>10000+1000</f>
        <v>11000</v>
      </c>
      <c r="W405" s="64">
        <f t="shared" si="109"/>
        <v>15500</v>
      </c>
      <c r="X405" s="38">
        <v>2000</v>
      </c>
      <c r="Y405" s="64">
        <f t="shared" si="110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1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83" t="s">
        <v>68</v>
      </c>
      <c r="J406" s="384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8"/>
        <v>12</v>
      </c>
      <c r="S406" s="27"/>
      <c r="T406" s="36" t="s">
        <v>49</v>
      </c>
      <c r="U406" s="64">
        <f t="shared" si="111"/>
        <v>13500</v>
      </c>
      <c r="V406" s="38">
        <v>5000</v>
      </c>
      <c r="W406" s="64">
        <f t="shared" si="109"/>
        <v>18500</v>
      </c>
      <c r="X406" s="38">
        <v>2000</v>
      </c>
      <c r="Y406" s="64">
        <f t="shared" si="110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8</v>
      </c>
      <c r="D407" s="277"/>
      <c r="E407" s="277"/>
      <c r="F407" s="309" t="s">
        <v>202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15000</v>
      </c>
      <c r="H407" s="277"/>
      <c r="I407" s="377" t="s">
        <v>61</v>
      </c>
      <c r="J407" s="378"/>
      <c r="K407" s="234">
        <f>K405-K406</f>
        <v>30737.5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8"/>
        <v>11</v>
      </c>
      <c r="S407" s="27"/>
      <c r="T407" s="36" t="s">
        <v>54</v>
      </c>
      <c r="U407" s="64">
        <f t="shared" si="111"/>
        <v>16500</v>
      </c>
      <c r="V407" s="38">
        <v>3000</v>
      </c>
      <c r="W407" s="64">
        <f t="shared" si="109"/>
        <v>19500</v>
      </c>
      <c r="X407" s="38">
        <v>2000</v>
      </c>
      <c r="Y407" s="64">
        <f t="shared" si="110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8"/>
        <v>9</v>
      </c>
      <c r="S408" s="27"/>
      <c r="T408" s="36" t="s">
        <v>50</v>
      </c>
      <c r="U408" s="64">
        <f t="shared" si="111"/>
        <v>17500</v>
      </c>
      <c r="V408" s="38">
        <v>1000</v>
      </c>
      <c r="W408" s="64">
        <f t="shared" si="109"/>
        <v>18500</v>
      </c>
      <c r="X408" s="38">
        <v>2000</v>
      </c>
      <c r="Y408" s="64">
        <f t="shared" si="110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8"/>
        <v>8</v>
      </c>
      <c r="S409" s="27"/>
      <c r="T409" s="36" t="s">
        <v>55</v>
      </c>
      <c r="U409" s="64">
        <f t="shared" si="111"/>
        <v>16500</v>
      </c>
      <c r="V409" s="38">
        <v>500</v>
      </c>
      <c r="W409" s="64">
        <f t="shared" si="109"/>
        <v>17000</v>
      </c>
      <c r="X409" s="38">
        <v>2000</v>
      </c>
      <c r="Y409" s="64">
        <f t="shared" si="110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/>
      <c r="Q410" s="36"/>
      <c r="R410" s="36" t="str">
        <f t="shared" si="108"/>
        <v/>
      </c>
      <c r="S410" s="27"/>
      <c r="T410" s="36" t="s">
        <v>56</v>
      </c>
      <c r="U410" s="64">
        <v>0</v>
      </c>
      <c r="V410" s="38"/>
      <c r="W410" s="64">
        <f t="shared" si="109"/>
        <v>0</v>
      </c>
      <c r="X410" s="38"/>
      <c r="Y410" s="64">
        <f t="shared" si="110"/>
        <v>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85" t="s">
        <v>38</v>
      </c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7"/>
      <c r="M412" s="24"/>
      <c r="N412" s="28"/>
      <c r="O412" s="380" t="s">
        <v>40</v>
      </c>
      <c r="P412" s="381"/>
      <c r="Q412" s="381"/>
      <c r="R412" s="382"/>
      <c r="S412" s="29"/>
      <c r="T412" s="380" t="s">
        <v>41</v>
      </c>
      <c r="U412" s="381"/>
      <c r="V412" s="381"/>
      <c r="W412" s="381"/>
      <c r="X412" s="381"/>
      <c r="Y412" s="382"/>
      <c r="Z412" s="30"/>
    </row>
    <row r="413" spans="1:26" s="25" customFormat="1" ht="18" customHeight="1" x14ac:dyDescent="0.2">
      <c r="A413" s="279"/>
      <c r="B413" s="277"/>
      <c r="C413" s="391" t="s">
        <v>213</v>
      </c>
      <c r="D413" s="391"/>
      <c r="E413" s="391"/>
      <c r="F413" s="391"/>
      <c r="G413" s="280" t="str">
        <f>$J$1</f>
        <v>November</v>
      </c>
      <c r="H413" s="390">
        <f>$K$1</f>
        <v>2023</v>
      </c>
      <c r="I413" s="390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192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77" t="s">
        <v>41</v>
      </c>
      <c r="G416" s="378"/>
      <c r="H416" s="277"/>
      <c r="I416" s="377" t="s">
        <v>42</v>
      </c>
      <c r="J416" s="379"/>
      <c r="K416" s="378"/>
      <c r="L416" s="291"/>
      <c r="N416" s="35"/>
      <c r="O416" s="36" t="s">
        <v>44</v>
      </c>
      <c r="P416" s="36"/>
      <c r="Q416" s="36"/>
      <c r="R416" s="36" t="str">
        <f t="shared" ref="R416:R417" si="112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3">IF(U416="","",U416+V416)</f>
        <v>0</v>
      </c>
      <c r="X416" s="38"/>
      <c r="Y416" s="64">
        <f t="shared" ref="Y416:Y425" si="114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2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3"/>
        <v>0</v>
      </c>
      <c r="X417" s="38"/>
      <c r="Y417" s="64">
        <f t="shared" si="114"/>
        <v>0</v>
      </c>
      <c r="Z417" s="40"/>
    </row>
    <row r="418" spans="1:29" s="25" customFormat="1" ht="18" customHeight="1" x14ac:dyDescent="0.2">
      <c r="A418" s="279"/>
      <c r="B418" s="388" t="s">
        <v>40</v>
      </c>
      <c r="C418" s="389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38500</v>
      </c>
      <c r="H418" s="292"/>
      <c r="I418" s="296">
        <f>IF(C422&gt;=C421,$K$2,C420+C422)</f>
        <v>26</v>
      </c>
      <c r="J418" s="297" t="s">
        <v>59</v>
      </c>
      <c r="K418" s="298">
        <f>K414/$K$2*I418</f>
        <v>26000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5">Y417</f>
        <v>0</v>
      </c>
      <c r="V418" s="38">
        <f>5000+4000</f>
        <v>9000</v>
      </c>
      <c r="W418" s="64">
        <f t="shared" si="113"/>
        <v>9000</v>
      </c>
      <c r="X418" s="38">
        <v>3000</v>
      </c>
      <c r="Y418" s="64">
        <f t="shared" si="114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1000</v>
      </c>
      <c r="H419" s="292"/>
      <c r="I419" s="296">
        <v>28</v>
      </c>
      <c r="J419" s="297" t="s">
        <v>60</v>
      </c>
      <c r="K419" s="301">
        <f>K414/$K$2/8*I419</f>
        <v>3500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5"/>
        <v>6000</v>
      </c>
      <c r="V419" s="38">
        <f>4000+15000</f>
        <v>19000</v>
      </c>
      <c r="W419" s="64">
        <f t="shared" si="113"/>
        <v>25000</v>
      </c>
      <c r="X419" s="38">
        <v>5000</v>
      </c>
      <c r="Y419" s="64">
        <f t="shared" si="114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26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39500</v>
      </c>
      <c r="H420" s="292"/>
      <c r="I420" s="383" t="s">
        <v>67</v>
      </c>
      <c r="J420" s="384"/>
      <c r="K420" s="301">
        <f>K418+K419</f>
        <v>29500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5"/>
        <v>20000</v>
      </c>
      <c r="V420" s="38">
        <f>20000+500</f>
        <v>20500</v>
      </c>
      <c r="W420" s="64">
        <f t="shared" si="113"/>
        <v>40500</v>
      </c>
      <c r="X420" s="38">
        <v>5500</v>
      </c>
      <c r="Y420" s="64">
        <f t="shared" si="114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4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83" t="s">
        <v>68</v>
      </c>
      <c r="J421" s="384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5"/>
        <v>35000</v>
      </c>
      <c r="V421" s="38">
        <v>10000</v>
      </c>
      <c r="W421" s="64">
        <f t="shared" si="113"/>
        <v>45000</v>
      </c>
      <c r="X421" s="38">
        <v>15000</v>
      </c>
      <c r="Y421" s="64">
        <f t="shared" si="114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202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33500</v>
      </c>
      <c r="H422" s="277"/>
      <c r="I422" s="377" t="s">
        <v>61</v>
      </c>
      <c r="J422" s="378"/>
      <c r="K422" s="234">
        <f>K420-K421</f>
        <v>23500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5"/>
        <v>30000</v>
      </c>
      <c r="V422" s="38">
        <f>3000+500</f>
        <v>3500</v>
      </c>
      <c r="W422" s="64">
        <f t="shared" si="113"/>
        <v>33500</v>
      </c>
      <c r="X422" s="38">
        <v>10000</v>
      </c>
      <c r="Y422" s="64">
        <f t="shared" si="114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5"/>
        <v>23500</v>
      </c>
      <c r="V423" s="38">
        <v>20000</v>
      </c>
      <c r="W423" s="64">
        <f t="shared" si="113"/>
        <v>43500</v>
      </c>
      <c r="X423" s="38">
        <v>5000</v>
      </c>
      <c r="Y423" s="64">
        <f t="shared" si="114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5"/>
        <v>38500</v>
      </c>
      <c r="V424" s="38">
        <v>1000</v>
      </c>
      <c r="W424" s="64">
        <f t="shared" si="113"/>
        <v>39500</v>
      </c>
      <c r="X424" s="38">
        <v>6000</v>
      </c>
      <c r="Y424" s="64">
        <f t="shared" si="114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/>
      <c r="Q425" s="36"/>
      <c r="R425" s="36">
        <v>0</v>
      </c>
      <c r="S425" s="27"/>
      <c r="T425" s="36" t="s">
        <v>56</v>
      </c>
      <c r="U425" s="64">
        <v>0</v>
      </c>
      <c r="V425" s="38"/>
      <c r="W425" s="64">
        <f t="shared" si="113"/>
        <v>0</v>
      </c>
      <c r="X425" s="38"/>
      <c r="Y425" s="64">
        <f t="shared" si="114"/>
        <v>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85" t="s">
        <v>38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7"/>
      <c r="M427" s="24"/>
      <c r="N427" s="28"/>
      <c r="O427" s="380" t="s">
        <v>40</v>
      </c>
      <c r="P427" s="381"/>
      <c r="Q427" s="381"/>
      <c r="R427" s="382"/>
      <c r="S427" s="29"/>
      <c r="T427" s="380" t="s">
        <v>41</v>
      </c>
      <c r="U427" s="381"/>
      <c r="V427" s="381"/>
      <c r="W427" s="381"/>
      <c r="X427" s="381"/>
      <c r="Y427" s="382"/>
      <c r="Z427" s="30"/>
      <c r="AA427" s="24"/>
    </row>
    <row r="428" spans="1:29" s="25" customFormat="1" ht="18" customHeight="1" x14ac:dyDescent="0.2">
      <c r="A428" s="279"/>
      <c r="B428" s="277"/>
      <c r="C428" s="391" t="s">
        <v>213</v>
      </c>
      <c r="D428" s="391"/>
      <c r="E428" s="391"/>
      <c r="F428" s="391"/>
      <c r="G428" s="280" t="str">
        <f>$J$1</f>
        <v>November</v>
      </c>
      <c r="H428" s="390">
        <f>$K$1</f>
        <v>2023</v>
      </c>
      <c r="I428" s="390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77" t="s">
        <v>41</v>
      </c>
      <c r="G431" s="378"/>
      <c r="H431" s="277"/>
      <c r="I431" s="377" t="s">
        <v>42</v>
      </c>
      <c r="J431" s="379"/>
      <c r="K431" s="378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6">IF(U431="","",U431+V431)</f>
        <v>0</v>
      </c>
      <c r="X431" s="38"/>
      <c r="Y431" s="64">
        <f t="shared" ref="Y431:Y440" si="117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6"/>
        <v>0</v>
      </c>
      <c r="X432" s="38"/>
      <c r="Y432" s="64">
        <f t="shared" si="117"/>
        <v>0</v>
      </c>
      <c r="Z432" s="40"/>
    </row>
    <row r="433" spans="1:26" s="25" customFormat="1" ht="18" customHeight="1" x14ac:dyDescent="0.2">
      <c r="A433" s="279"/>
      <c r="B433" s="388" t="s">
        <v>40</v>
      </c>
      <c r="C433" s="389"/>
      <c r="D433" s="277"/>
      <c r="E433" s="277"/>
      <c r="F433" s="294" t="s">
        <v>62</v>
      </c>
      <c r="G433" s="295" t="str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/>
      </c>
      <c r="H433" s="292"/>
      <c r="I433" s="296">
        <f>IF(C437&gt;=C436,$K$2,C435+C437)</f>
        <v>30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6"/>
        <v>0</v>
      </c>
      <c r="X433" s="38"/>
      <c r="Y433" s="64">
        <f t="shared" si="117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77</v>
      </c>
      <c r="J434" s="297" t="s">
        <v>60</v>
      </c>
      <c r="K434" s="301">
        <f>K429/$K$2/8*I434</f>
        <v>8502.0833333333339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6"/>
        <v>0</v>
      </c>
      <c r="X434" s="38"/>
      <c r="Y434" s="64">
        <f t="shared" si="117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30</v>
      </c>
      <c r="D435" s="277"/>
      <c r="E435" s="277"/>
      <c r="F435" s="294" t="s">
        <v>63</v>
      </c>
      <c r="G435" s="295" t="str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/>
      </c>
      <c r="H435" s="292"/>
      <c r="I435" s="383" t="s">
        <v>67</v>
      </c>
      <c r="J435" s="384"/>
      <c r="K435" s="301">
        <f>K433+K434</f>
        <v>35002.083333333336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6"/>
        <v>0</v>
      </c>
      <c r="X435" s="38"/>
      <c r="Y435" s="64">
        <f t="shared" si="117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83" t="s">
        <v>68</v>
      </c>
      <c r="J436" s="384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6"/>
        <v>0</v>
      </c>
      <c r="X436" s="38"/>
      <c r="Y436" s="64">
        <f t="shared" si="117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202</v>
      </c>
      <c r="G437" s="295" t="str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/>
      </c>
      <c r="H437" s="277"/>
      <c r="I437" s="377" t="s">
        <v>61</v>
      </c>
      <c r="J437" s="378"/>
      <c r="K437" s="234">
        <f>K435-K436</f>
        <v>35002.083333333336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6"/>
        <v/>
      </c>
      <c r="X437" s="38"/>
      <c r="Y437" s="64" t="str">
        <f t="shared" si="117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6"/>
        <v/>
      </c>
      <c r="X438" s="38"/>
      <c r="Y438" s="64" t="str">
        <f t="shared" si="117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8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6"/>
        <v/>
      </c>
      <c r="X439" s="38"/>
      <c r="Y439" s="64" t="str">
        <f t="shared" si="117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/>
      <c r="Q440" s="36"/>
      <c r="R440" s="36" t="str">
        <f t="shared" si="118"/>
        <v/>
      </c>
      <c r="S440" s="27"/>
      <c r="T440" s="36" t="s">
        <v>56</v>
      </c>
      <c r="U440" s="64">
        <v>0</v>
      </c>
      <c r="V440" s="38"/>
      <c r="W440" s="64">
        <f t="shared" si="116"/>
        <v>0</v>
      </c>
      <c r="X440" s="38"/>
      <c r="Y440" s="64">
        <f t="shared" si="117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85" t="s">
        <v>38</v>
      </c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7"/>
      <c r="M442" s="24"/>
      <c r="N442" s="28"/>
      <c r="O442" s="380" t="s">
        <v>40</v>
      </c>
      <c r="P442" s="381"/>
      <c r="Q442" s="381"/>
      <c r="R442" s="382"/>
      <c r="S442" s="29"/>
      <c r="T442" s="380" t="s">
        <v>41</v>
      </c>
      <c r="U442" s="381"/>
      <c r="V442" s="381"/>
      <c r="W442" s="381"/>
      <c r="X442" s="381"/>
      <c r="Y442" s="382"/>
      <c r="Z442" s="30"/>
    </row>
    <row r="443" spans="1:26" s="25" customFormat="1" ht="18" customHeight="1" x14ac:dyDescent="0.2">
      <c r="A443" s="279"/>
      <c r="B443" s="277"/>
      <c r="C443" s="391" t="s">
        <v>213</v>
      </c>
      <c r="D443" s="391"/>
      <c r="E443" s="391"/>
      <c r="F443" s="391"/>
      <c r="G443" s="280" t="str">
        <f>$J$1</f>
        <v>November</v>
      </c>
      <c r="H443" s="390">
        <f>$K$1</f>
        <v>2023</v>
      </c>
      <c r="I443" s="390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77" t="s">
        <v>41</v>
      </c>
      <c r="G446" s="378"/>
      <c r="H446" s="277"/>
      <c r="I446" s="377" t="s">
        <v>42</v>
      </c>
      <c r="J446" s="379"/>
      <c r="K446" s="378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19">IF(U446="","",U446+V446)</f>
        <v>0</v>
      </c>
      <c r="X446" s="38"/>
      <c r="Y446" s="64">
        <f t="shared" ref="Y446:Y455" si="120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19"/>
        <v>0</v>
      </c>
      <c r="X447" s="38"/>
      <c r="Y447" s="64">
        <f t="shared" si="120"/>
        <v>0</v>
      </c>
      <c r="Z447" s="40"/>
    </row>
    <row r="448" spans="1:26" s="25" customFormat="1" ht="18" customHeight="1" x14ac:dyDescent="0.2">
      <c r="A448" s="279"/>
      <c r="B448" s="388" t="s">
        <v>40</v>
      </c>
      <c r="C448" s="389"/>
      <c r="D448" s="277"/>
      <c r="E448" s="277"/>
      <c r="F448" s="294" t="s">
        <v>62</v>
      </c>
      <c r="G448" s="295" t="str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/>
      </c>
      <c r="H448" s="292"/>
      <c r="I448" s="296">
        <f>IF(C452&gt;=C451,$K$2,C450+C452)</f>
        <v>27</v>
      </c>
      <c r="J448" s="297" t="s">
        <v>59</v>
      </c>
      <c r="K448" s="298">
        <f>K444/$K$2*I448</f>
        <v>23850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19"/>
        <v>0</v>
      </c>
      <c r="X448" s="38"/>
      <c r="Y448" s="64">
        <f t="shared" si="120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63</v>
      </c>
      <c r="J449" s="297" t="s">
        <v>60</v>
      </c>
      <c r="K449" s="301">
        <f>K444/$K$2/8*I449</f>
        <v>6956.25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19"/>
        <v>0</v>
      </c>
      <c r="X449" s="38"/>
      <c r="Y449" s="64">
        <f t="shared" si="120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27</v>
      </c>
      <c r="D450" s="277"/>
      <c r="E450" s="277"/>
      <c r="F450" s="294" t="s">
        <v>63</v>
      </c>
      <c r="G450" s="295" t="str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/>
      </c>
      <c r="H450" s="292"/>
      <c r="I450" s="383" t="s">
        <v>67</v>
      </c>
      <c r="J450" s="384"/>
      <c r="K450" s="301">
        <f>K448+K449</f>
        <v>30806.25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19"/>
        <v>0</v>
      </c>
      <c r="X450" s="38"/>
      <c r="Y450" s="64">
        <f t="shared" si="120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3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83" t="s">
        <v>68</v>
      </c>
      <c r="J451" s="384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19"/>
        <v>0</v>
      </c>
      <c r="X451" s="38"/>
      <c r="Y451" s="64">
        <f t="shared" si="120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202</v>
      </c>
      <c r="G452" s="295" t="str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/>
      </c>
      <c r="H452" s="277"/>
      <c r="I452" s="377" t="s">
        <v>61</v>
      </c>
      <c r="J452" s="378"/>
      <c r="K452" s="234">
        <f>K450-K451</f>
        <v>30806.25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19"/>
        <v/>
      </c>
      <c r="X452" s="38"/>
      <c r="Y452" s="64" t="str">
        <f t="shared" si="120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19"/>
        <v/>
      </c>
      <c r="X453" s="38"/>
      <c r="Y453" s="64" t="str">
        <f t="shared" si="120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19"/>
        <v/>
      </c>
      <c r="X454" s="38"/>
      <c r="Y454" s="64" t="str">
        <f t="shared" si="120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/>
      <c r="Q455" s="36"/>
      <c r="R455" s="36"/>
      <c r="S455" s="27"/>
      <c r="T455" s="36" t="s">
        <v>56</v>
      </c>
      <c r="U455" s="64">
        <v>0</v>
      </c>
      <c r="V455" s="38"/>
      <c r="W455" s="64">
        <f t="shared" si="119"/>
        <v>0</v>
      </c>
      <c r="X455" s="38"/>
      <c r="Y455" s="64">
        <f t="shared" si="120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85" t="s">
        <v>38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24"/>
      <c r="N457" s="28"/>
      <c r="O457" s="380" t="s">
        <v>40</v>
      </c>
      <c r="P457" s="381"/>
      <c r="Q457" s="381"/>
      <c r="R457" s="382"/>
      <c r="S457" s="29"/>
      <c r="T457" s="380" t="s">
        <v>41</v>
      </c>
      <c r="U457" s="381"/>
      <c r="V457" s="381"/>
      <c r="W457" s="381"/>
      <c r="X457" s="381"/>
      <c r="Y457" s="382"/>
      <c r="Z457" s="30"/>
      <c r="AA457" s="24"/>
    </row>
    <row r="458" spans="1:27" s="25" customFormat="1" ht="18" customHeight="1" x14ac:dyDescent="0.2">
      <c r="A458" s="279"/>
      <c r="B458" s="277"/>
      <c r="C458" s="391" t="s">
        <v>213</v>
      </c>
      <c r="D458" s="391"/>
      <c r="E458" s="391"/>
      <c r="F458" s="391"/>
      <c r="G458" s="280" t="str">
        <f>$J$1</f>
        <v>November</v>
      </c>
      <c r="H458" s="390">
        <f>$K$1</f>
        <v>2023</v>
      </c>
      <c r="I458" s="390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198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70" si="121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77" t="s">
        <v>41</v>
      </c>
      <c r="G461" s="378"/>
      <c r="H461" s="277"/>
      <c r="I461" s="377" t="s">
        <v>42</v>
      </c>
      <c r="J461" s="379"/>
      <c r="K461" s="378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2">IF(U461="","",U461+V461)</f>
        <v/>
      </c>
      <c r="X461" s="38"/>
      <c r="Y461" s="64" t="str">
        <f t="shared" ref="Y461:Y470" si="123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1"/>
        <v>0</v>
      </c>
      <c r="S462" s="27"/>
      <c r="T462" s="36" t="s">
        <v>45</v>
      </c>
      <c r="U462" s="64"/>
      <c r="V462" s="38"/>
      <c r="W462" s="64" t="str">
        <f t="shared" si="122"/>
        <v/>
      </c>
      <c r="X462" s="38"/>
      <c r="Y462" s="64" t="str">
        <f t="shared" si="123"/>
        <v/>
      </c>
      <c r="Z462" s="40"/>
    </row>
    <row r="463" spans="1:27" s="25" customFormat="1" ht="18" customHeight="1" x14ac:dyDescent="0.2">
      <c r="A463" s="279"/>
      <c r="B463" s="388" t="s">
        <v>40</v>
      </c>
      <c r="C463" s="389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30</v>
      </c>
      <c r="J463" s="297" t="s">
        <v>59</v>
      </c>
      <c r="K463" s="298">
        <f>K459/$K$2*I463</f>
        <v>32000.000000000004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1"/>
        <v>0</v>
      </c>
      <c r="S463" s="27"/>
      <c r="T463" s="36" t="s">
        <v>46</v>
      </c>
      <c r="U463" s="64"/>
      <c r="V463" s="38"/>
      <c r="W463" s="64" t="str">
        <f t="shared" si="122"/>
        <v/>
      </c>
      <c r="X463" s="38"/>
      <c r="Y463" s="64" t="str">
        <f t="shared" si="123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9</v>
      </c>
      <c r="J464" s="297" t="s">
        <v>60</v>
      </c>
      <c r="K464" s="301">
        <f>K459/$K$2/8*I464</f>
        <v>1200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1"/>
        <v>0</v>
      </c>
      <c r="S464" s="27"/>
      <c r="T464" s="36" t="s">
        <v>47</v>
      </c>
      <c r="U464" s="64"/>
      <c r="V464" s="38"/>
      <c r="W464" s="64" t="str">
        <f t="shared" si="122"/>
        <v/>
      </c>
      <c r="X464" s="38"/>
      <c r="Y464" s="64" t="str">
        <f t="shared" si="123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30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83" t="s">
        <v>67</v>
      </c>
      <c r="J465" s="384"/>
      <c r="K465" s="301">
        <f>K463+K464</f>
        <v>33200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1"/>
        <v>0</v>
      </c>
      <c r="S465" s="27"/>
      <c r="T465" s="36" t="s">
        <v>48</v>
      </c>
      <c r="U465" s="64"/>
      <c r="V465" s="38"/>
      <c r="W465" s="64" t="str">
        <f t="shared" si="122"/>
        <v/>
      </c>
      <c r="X465" s="38"/>
      <c r="Y465" s="64" t="str">
        <f t="shared" si="123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83" t="s">
        <v>68</v>
      </c>
      <c r="J466" s="384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1"/>
        <v>0</v>
      </c>
      <c r="S466" s="27"/>
      <c r="T466" s="36" t="s">
        <v>49</v>
      </c>
      <c r="U466" s="64">
        <v>0</v>
      </c>
      <c r="V466" s="38"/>
      <c r="W466" s="64">
        <f t="shared" si="122"/>
        <v>0</v>
      </c>
      <c r="X466" s="38"/>
      <c r="Y466" s="64">
        <f t="shared" si="123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202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77" t="s">
        <v>61</v>
      </c>
      <c r="J467" s="378"/>
      <c r="K467" s="234">
        <f>K465-K466</f>
        <v>33200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2"/>
        <v/>
      </c>
      <c r="X467" s="38"/>
      <c r="Y467" s="64" t="str">
        <f t="shared" si="123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2"/>
        <v/>
      </c>
      <c r="X468" s="38"/>
      <c r="Y468" s="64" t="str">
        <f t="shared" si="123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1"/>
        <v>0</v>
      </c>
      <c r="S469" s="27"/>
      <c r="T469" s="36" t="s">
        <v>55</v>
      </c>
      <c r="U469" s="64"/>
      <c r="V469" s="38"/>
      <c r="W469" s="64" t="str">
        <f t="shared" si="122"/>
        <v/>
      </c>
      <c r="X469" s="38"/>
      <c r="Y469" s="64" t="str">
        <f t="shared" si="123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/>
      <c r="Q470" s="36"/>
      <c r="R470" s="36" t="str">
        <f t="shared" si="121"/>
        <v/>
      </c>
      <c r="S470" s="27"/>
      <c r="T470" s="36" t="s">
        <v>56</v>
      </c>
      <c r="U470" s="64"/>
      <c r="V470" s="38"/>
      <c r="W470" s="64" t="str">
        <f t="shared" si="122"/>
        <v/>
      </c>
      <c r="X470" s="38"/>
      <c r="Y470" s="64" t="str">
        <f t="shared" si="123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85" t="s">
        <v>38</v>
      </c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7"/>
      <c r="M472" s="24"/>
      <c r="N472" s="28"/>
      <c r="O472" s="380" t="s">
        <v>40</v>
      </c>
      <c r="P472" s="381"/>
      <c r="Q472" s="381"/>
      <c r="R472" s="382"/>
      <c r="S472" s="29"/>
      <c r="T472" s="380" t="s">
        <v>41</v>
      </c>
      <c r="U472" s="381"/>
      <c r="V472" s="381"/>
      <c r="W472" s="381"/>
      <c r="X472" s="381"/>
      <c r="Y472" s="382"/>
      <c r="Z472" s="30"/>
    </row>
    <row r="473" spans="1:26" s="25" customFormat="1" ht="18" customHeight="1" x14ac:dyDescent="0.2">
      <c r="A473" s="279"/>
      <c r="B473" s="277"/>
      <c r="C473" s="391" t="s">
        <v>213</v>
      </c>
      <c r="D473" s="391"/>
      <c r="E473" s="391"/>
      <c r="F473" s="391"/>
      <c r="G473" s="280" t="str">
        <f>$J$1</f>
        <v>November</v>
      </c>
      <c r="H473" s="390">
        <f>$K$1</f>
        <v>2023</v>
      </c>
      <c r="I473" s="390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77" t="s">
        <v>41</v>
      </c>
      <c r="G476" s="378"/>
      <c r="H476" s="277"/>
      <c r="I476" s="377" t="s">
        <v>42</v>
      </c>
      <c r="J476" s="379"/>
      <c r="K476" s="378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4">IF(U476="","",U476+V476)</f>
        <v>0</v>
      </c>
      <c r="X476" s="38"/>
      <c r="Y476" s="64">
        <f t="shared" ref="Y476:Y485" si="125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4"/>
        <v>0</v>
      </c>
      <c r="X477" s="38"/>
      <c r="Y477" s="64">
        <f t="shared" si="125"/>
        <v>0</v>
      </c>
      <c r="Z477" s="40"/>
    </row>
    <row r="478" spans="1:26" s="25" customFormat="1" ht="18" customHeight="1" x14ac:dyDescent="0.2">
      <c r="A478" s="279"/>
      <c r="B478" s="388" t="s">
        <v>40</v>
      </c>
      <c r="C478" s="389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30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4"/>
        <v>0</v>
      </c>
      <c r="X478" s="38"/>
      <c r="Y478" s="64">
        <f t="shared" si="125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29</v>
      </c>
      <c r="J479" s="297" t="s">
        <v>60</v>
      </c>
      <c r="K479" s="301">
        <f>K474/$K$2/8*I479</f>
        <v>3806.25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4"/>
        <v>0</v>
      </c>
      <c r="X479" s="38"/>
      <c r="Y479" s="64">
        <f t="shared" si="125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83" t="s">
        <v>67</v>
      </c>
      <c r="J480" s="384"/>
      <c r="K480" s="301">
        <f>K478+K479</f>
        <v>35306.25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4"/>
        <v>0</v>
      </c>
      <c r="X480" s="38"/>
      <c r="Y480" s="64">
        <f t="shared" si="125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83" t="s">
        <v>68</v>
      </c>
      <c r="J481" s="384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4"/>
        <v>0</v>
      </c>
      <c r="X481" s="38"/>
      <c r="Y481" s="64">
        <f t="shared" si="125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202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77" t="s">
        <v>61</v>
      </c>
      <c r="J482" s="378"/>
      <c r="K482" s="234">
        <f>K480-K481</f>
        <v>35306.25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4"/>
        <v/>
      </c>
      <c r="X482" s="38"/>
      <c r="Y482" s="64" t="str">
        <f t="shared" si="125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4"/>
        <v/>
      </c>
      <c r="X483" s="38"/>
      <c r="Y483" s="64" t="str">
        <f t="shared" si="125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4"/>
        <v/>
      </c>
      <c r="X484" s="38"/>
      <c r="Y484" s="64" t="str">
        <f t="shared" si="125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/>
      <c r="Q485" s="36"/>
      <c r="R485" s="36">
        <v>0</v>
      </c>
      <c r="S485" s="27"/>
      <c r="T485" s="36" t="s">
        <v>56</v>
      </c>
      <c r="U485" s="64"/>
      <c r="V485" s="38"/>
      <c r="W485" s="64" t="str">
        <f t="shared" si="124"/>
        <v/>
      </c>
      <c r="X485" s="38"/>
      <c r="Y485" s="64" t="str">
        <f t="shared" si="125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85" t="s">
        <v>38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7"/>
      <c r="M487" s="24"/>
      <c r="N487" s="28"/>
      <c r="O487" s="380" t="s">
        <v>40</v>
      </c>
      <c r="P487" s="381"/>
      <c r="Q487" s="381"/>
      <c r="R487" s="382"/>
      <c r="S487" s="29"/>
      <c r="T487" s="380" t="s">
        <v>41</v>
      </c>
      <c r="U487" s="381"/>
      <c r="V487" s="381"/>
      <c r="W487" s="381"/>
      <c r="X487" s="381"/>
      <c r="Y487" s="382"/>
      <c r="Z487" s="30"/>
      <c r="AA487" s="24"/>
    </row>
    <row r="488" spans="1:27" s="25" customFormat="1" ht="18" customHeight="1" x14ac:dyDescent="0.2">
      <c r="A488" s="279"/>
      <c r="B488" s="277"/>
      <c r="C488" s="391" t="s">
        <v>213</v>
      </c>
      <c r="D488" s="391"/>
      <c r="E488" s="391"/>
      <c r="F488" s="391"/>
      <c r="G488" s="280" t="str">
        <f>$J$1</f>
        <v>November</v>
      </c>
      <c r="H488" s="390">
        <f>$K$1</f>
        <v>2023</v>
      </c>
      <c r="I488" s="390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77" t="s">
        <v>41</v>
      </c>
      <c r="G491" s="378"/>
      <c r="H491" s="277"/>
      <c r="I491" s="377" t="s">
        <v>42</v>
      </c>
      <c r="J491" s="379"/>
      <c r="K491" s="378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6">IF(U491="","",U491+V491)</f>
        <v>10000</v>
      </c>
      <c r="X491" s="38">
        <v>5000</v>
      </c>
      <c r="Y491" s="64">
        <f t="shared" ref="Y491:Y500" si="127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6"/>
        <v>5000</v>
      </c>
      <c r="X492" s="38">
        <v>5000</v>
      </c>
      <c r="Y492" s="64">
        <f t="shared" si="127"/>
        <v>0</v>
      </c>
      <c r="Z492" s="40"/>
    </row>
    <row r="493" spans="1:27" s="25" customFormat="1" ht="18" customHeight="1" x14ac:dyDescent="0.2">
      <c r="A493" s="279"/>
      <c r="B493" s="388" t="s">
        <v>40</v>
      </c>
      <c r="C493" s="389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15000</v>
      </c>
      <c r="H493" s="292"/>
      <c r="I493" s="296">
        <f>IF(C497&gt;=C496,$K$2,C495+C497)</f>
        <v>30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8">Y492</f>
        <v>0</v>
      </c>
      <c r="V493" s="38"/>
      <c r="W493" s="64">
        <f t="shared" si="126"/>
        <v>0</v>
      </c>
      <c r="X493" s="38"/>
      <c r="Y493" s="64">
        <f t="shared" si="127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50000</v>
      </c>
      <c r="H494" s="292"/>
      <c r="I494" s="296">
        <v>48</v>
      </c>
      <c r="J494" s="297" t="s">
        <v>60</v>
      </c>
      <c r="K494" s="301">
        <f>K489/$K$2/8*I494</f>
        <v>6000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8"/>
        <v>0</v>
      </c>
      <c r="V494" s="38">
        <f>2000+25000</f>
        <v>27000</v>
      </c>
      <c r="W494" s="64">
        <f t="shared" si="126"/>
        <v>27000</v>
      </c>
      <c r="X494" s="38">
        <v>27000</v>
      </c>
      <c r="Y494" s="64">
        <f t="shared" si="127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30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65000</v>
      </c>
      <c r="H495" s="292"/>
      <c r="I495" s="383" t="s">
        <v>67</v>
      </c>
      <c r="J495" s="384"/>
      <c r="K495" s="301">
        <f>K493+K494</f>
        <v>36000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8"/>
        <v>0</v>
      </c>
      <c r="V495" s="38">
        <v>3000</v>
      </c>
      <c r="W495" s="64">
        <f t="shared" si="126"/>
        <v>3000</v>
      </c>
      <c r="X495" s="38">
        <v>3000</v>
      </c>
      <c r="Y495" s="64">
        <f t="shared" si="127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83" t="s">
        <v>68</v>
      </c>
      <c r="J496" s="384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8"/>
        <v>0</v>
      </c>
      <c r="V496" s="38">
        <v>30000</v>
      </c>
      <c r="W496" s="64">
        <f t="shared" si="126"/>
        <v>30000</v>
      </c>
      <c r="X496" s="38">
        <v>5000</v>
      </c>
      <c r="Y496" s="64">
        <f t="shared" si="127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202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60000</v>
      </c>
      <c r="H497" s="277"/>
      <c r="I497" s="377" t="s">
        <v>61</v>
      </c>
      <c r="J497" s="378"/>
      <c r="K497" s="234">
        <f>K495-K496</f>
        <v>31000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8"/>
        <v>25000</v>
      </c>
      <c r="V497" s="38"/>
      <c r="W497" s="64">
        <f t="shared" si="126"/>
        <v>25000</v>
      </c>
      <c r="X497" s="38">
        <v>5000</v>
      </c>
      <c r="Y497" s="64">
        <f t="shared" si="127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8"/>
        <v>20000</v>
      </c>
      <c r="V498" s="38"/>
      <c r="W498" s="64">
        <f t="shared" si="126"/>
        <v>20000</v>
      </c>
      <c r="X498" s="38">
        <v>5000</v>
      </c>
      <c r="Y498" s="64">
        <f t="shared" si="127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8"/>
        <v>15000</v>
      </c>
      <c r="V499" s="38">
        <v>50000</v>
      </c>
      <c r="W499" s="64">
        <f t="shared" si="126"/>
        <v>65000</v>
      </c>
      <c r="X499" s="38">
        <v>5000</v>
      </c>
      <c r="Y499" s="64">
        <f t="shared" si="127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/>
      <c r="Q500" s="36"/>
      <c r="R500" s="36">
        <v>0</v>
      </c>
      <c r="S500" s="27"/>
      <c r="T500" s="36" t="s">
        <v>56</v>
      </c>
      <c r="U500" s="64">
        <v>0</v>
      </c>
      <c r="V500" s="38"/>
      <c r="W500" s="64">
        <f t="shared" si="126"/>
        <v>0</v>
      </c>
      <c r="X500" s="38"/>
      <c r="Y500" s="64">
        <f t="shared" si="127"/>
        <v>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85" t="s">
        <v>38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7"/>
      <c r="M502" s="24"/>
      <c r="N502" s="28"/>
      <c r="O502" s="380" t="s">
        <v>40</v>
      </c>
      <c r="P502" s="381"/>
      <c r="Q502" s="381"/>
      <c r="R502" s="382"/>
      <c r="S502" s="29"/>
      <c r="T502" s="380" t="s">
        <v>41</v>
      </c>
      <c r="U502" s="381"/>
      <c r="V502" s="381"/>
      <c r="W502" s="381"/>
      <c r="X502" s="381"/>
      <c r="Y502" s="382"/>
      <c r="Z502" s="30"/>
      <c r="AA502" s="24"/>
    </row>
    <row r="503" spans="1:27" s="25" customFormat="1" ht="18" customHeight="1" x14ac:dyDescent="0.2">
      <c r="A503" s="279"/>
      <c r="B503" s="277"/>
      <c r="C503" s="391" t="s">
        <v>213</v>
      </c>
      <c r="D503" s="391"/>
      <c r="E503" s="391"/>
      <c r="F503" s="391"/>
      <c r="G503" s="280" t="str">
        <f>$J$1</f>
        <v>November</v>
      </c>
      <c r="H503" s="390">
        <f>$K$1</f>
        <v>2023</v>
      </c>
      <c r="I503" s="390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77" t="s">
        <v>41</v>
      </c>
      <c r="G506" s="378"/>
      <c r="H506" s="277"/>
      <c r="I506" s="377" t="s">
        <v>42</v>
      </c>
      <c r="J506" s="379"/>
      <c r="K506" s="378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29">IF(U506="","",U506+V506)</f>
        <v>0</v>
      </c>
      <c r="X506" s="38"/>
      <c r="Y506" s="64">
        <f t="shared" ref="Y506:Y515" si="130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29"/>
        <v>0</v>
      </c>
      <c r="X507" s="38"/>
      <c r="Y507" s="64">
        <f t="shared" si="130"/>
        <v>0</v>
      </c>
      <c r="Z507" s="40"/>
    </row>
    <row r="508" spans="1:27" s="25" customFormat="1" ht="18" customHeight="1" x14ac:dyDescent="0.2">
      <c r="A508" s="279"/>
      <c r="B508" s="388" t="s">
        <v>40</v>
      </c>
      <c r="C508" s="389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37500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29"/>
        <v>0</v>
      </c>
      <c r="X508" s="38"/>
      <c r="Y508" s="64">
        <f t="shared" si="130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12</v>
      </c>
      <c r="J509" s="297" t="s">
        <v>60</v>
      </c>
      <c r="K509" s="301">
        <f>K504/$K$2/8*I509</f>
        <v>1875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29"/>
        <v>34500</v>
      </c>
      <c r="X509" s="38">
        <v>34500</v>
      </c>
      <c r="Y509" s="64">
        <f t="shared" si="130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83" t="s">
        <v>67</v>
      </c>
      <c r="J510" s="384"/>
      <c r="K510" s="301">
        <f>K508+K509</f>
        <v>39375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29"/>
        <v>0</v>
      </c>
      <c r="X510" s="38"/>
      <c r="Y510" s="64">
        <f t="shared" si="130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83" t="s">
        <v>68</v>
      </c>
      <c r="J511" s="384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29"/>
        <v>0</v>
      </c>
      <c r="X511" s="38"/>
      <c r="Y511" s="64">
        <f t="shared" si="130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202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77" t="s">
        <v>61</v>
      </c>
      <c r="J512" s="378"/>
      <c r="K512" s="234">
        <f>K510-K511</f>
        <v>39375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29"/>
        <v/>
      </c>
      <c r="X512" s="38"/>
      <c r="Y512" s="64" t="str">
        <f t="shared" si="130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29"/>
        <v/>
      </c>
      <c r="X513" s="38"/>
      <c r="Y513" s="64" t="str">
        <f t="shared" si="130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29"/>
        <v/>
      </c>
      <c r="X514" s="38"/>
      <c r="Y514" s="64" t="str">
        <f t="shared" si="130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/>
      <c r="Q515" s="36"/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29"/>
        <v/>
      </c>
      <c r="X515" s="38"/>
      <c r="Y515" s="64" t="str">
        <f t="shared" si="130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85" t="s">
        <v>38</v>
      </c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7"/>
      <c r="M517" s="24"/>
      <c r="N517" s="28"/>
      <c r="O517" s="380" t="s">
        <v>40</v>
      </c>
      <c r="P517" s="381"/>
      <c r="Q517" s="381"/>
      <c r="R517" s="382"/>
      <c r="S517" s="29"/>
      <c r="T517" s="380" t="s">
        <v>41</v>
      </c>
      <c r="U517" s="381"/>
      <c r="V517" s="381"/>
      <c r="W517" s="381"/>
      <c r="X517" s="381"/>
      <c r="Y517" s="382"/>
      <c r="Z517" s="30"/>
    </row>
    <row r="518" spans="1:26" s="25" customFormat="1" ht="18" customHeight="1" x14ac:dyDescent="0.2">
      <c r="A518" s="279"/>
      <c r="B518" s="277"/>
      <c r="C518" s="391" t="s">
        <v>213</v>
      </c>
      <c r="D518" s="391"/>
      <c r="E518" s="391"/>
      <c r="F518" s="391"/>
      <c r="G518" s="280" t="str">
        <f>$J$1</f>
        <v>November</v>
      </c>
      <c r="H518" s="390">
        <f>$K$1</f>
        <v>2023</v>
      </c>
      <c r="I518" s="390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77" t="s">
        <v>41</v>
      </c>
      <c r="G521" s="378"/>
      <c r="H521" s="277"/>
      <c r="I521" s="377" t="s">
        <v>42</v>
      </c>
      <c r="J521" s="379"/>
      <c r="K521" s="378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1">IF(U521="","",U521+V521)</f>
        <v>10000</v>
      </c>
      <c r="X521" s="38"/>
      <c r="Y521" s="64">
        <f t="shared" ref="Y521:Y530" si="132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1"/>
        <v>10000</v>
      </c>
      <c r="X522" s="38">
        <v>5000</v>
      </c>
      <c r="Y522" s="64">
        <f t="shared" si="132"/>
        <v>5000</v>
      </c>
      <c r="Z522" s="40"/>
    </row>
    <row r="523" spans="1:26" s="25" customFormat="1" ht="18" customHeight="1" x14ac:dyDescent="0.2">
      <c r="A523" s="279"/>
      <c r="B523" s="388" t="s">
        <v>40</v>
      </c>
      <c r="C523" s="389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3000</v>
      </c>
      <c r="H523" s="292"/>
      <c r="I523" s="296">
        <f>IF(C527&gt;=C526,$K$2,C525+C527)</f>
        <v>30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3">Y522</f>
        <v>5000</v>
      </c>
      <c r="V523" s="38"/>
      <c r="W523" s="64">
        <f t="shared" si="131"/>
        <v>5000</v>
      </c>
      <c r="X523" s="38">
        <v>5000</v>
      </c>
      <c r="Y523" s="64">
        <f t="shared" si="132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53</v>
      </c>
      <c r="J524" s="297" t="s">
        <v>60</v>
      </c>
      <c r="K524" s="301">
        <f>K519/$K$2/8*I524</f>
        <v>6514.5833333333339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3"/>
        <v>0</v>
      </c>
      <c r="V524" s="38">
        <f>25000+20000</f>
        <v>45000</v>
      </c>
      <c r="W524" s="64">
        <f t="shared" si="131"/>
        <v>45000</v>
      </c>
      <c r="X524" s="38">
        <v>25000</v>
      </c>
      <c r="Y524" s="64">
        <f t="shared" si="132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30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3000</v>
      </c>
      <c r="H525" s="292"/>
      <c r="I525" s="383" t="s">
        <v>67</v>
      </c>
      <c r="J525" s="384"/>
      <c r="K525" s="301">
        <f>K523+K524</f>
        <v>36014.583333333336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3"/>
        <v>20000</v>
      </c>
      <c r="V525" s="38"/>
      <c r="W525" s="64">
        <f t="shared" si="131"/>
        <v>20000</v>
      </c>
      <c r="X525" s="38">
        <v>5000</v>
      </c>
      <c r="Y525" s="64">
        <f t="shared" si="132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3000</v>
      </c>
      <c r="H526" s="292"/>
      <c r="I526" s="383" t="s">
        <v>68</v>
      </c>
      <c r="J526" s="384"/>
      <c r="K526" s="295">
        <f>G526</f>
        <v>3000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3"/>
        <v>15000</v>
      </c>
      <c r="V526" s="38"/>
      <c r="W526" s="64">
        <f t="shared" si="131"/>
        <v>15000</v>
      </c>
      <c r="X526" s="38">
        <v>5000</v>
      </c>
      <c r="Y526" s="64">
        <f t="shared" si="132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202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77" t="s">
        <v>61</v>
      </c>
      <c r="J527" s="378"/>
      <c r="K527" s="234">
        <f>K525-K526</f>
        <v>33014.583333333336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3"/>
        <v>10000</v>
      </c>
      <c r="V527" s="38">
        <v>3000</v>
      </c>
      <c r="W527" s="64">
        <f t="shared" si="131"/>
        <v>13000</v>
      </c>
      <c r="X527" s="38">
        <v>5000</v>
      </c>
      <c r="Y527" s="64">
        <f t="shared" si="132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3"/>
        <v>8000</v>
      </c>
      <c r="V528" s="38"/>
      <c r="W528" s="64">
        <f t="shared" si="131"/>
        <v>8000</v>
      </c>
      <c r="X528" s="38">
        <v>5000</v>
      </c>
      <c r="Y528" s="64">
        <f t="shared" si="132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3"/>
        <v>3000</v>
      </c>
      <c r="V529" s="38"/>
      <c r="W529" s="64">
        <f t="shared" si="131"/>
        <v>3000</v>
      </c>
      <c r="X529" s="38">
        <v>3000</v>
      </c>
      <c r="Y529" s="64">
        <f t="shared" si="132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/>
      <c r="Q530" s="36"/>
      <c r="R530" s="36">
        <v>0</v>
      </c>
      <c r="S530" s="27"/>
      <c r="T530" s="36" t="s">
        <v>56</v>
      </c>
      <c r="U530" s="64">
        <v>0</v>
      </c>
      <c r="V530" s="38"/>
      <c r="W530" s="64">
        <f t="shared" si="131"/>
        <v>0</v>
      </c>
      <c r="X530" s="38"/>
      <c r="Y530" s="64">
        <f t="shared" si="132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85" t="s">
        <v>38</v>
      </c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7"/>
      <c r="M532" s="24"/>
      <c r="N532" s="28"/>
      <c r="O532" s="380" t="s">
        <v>40</v>
      </c>
      <c r="P532" s="381"/>
      <c r="Q532" s="381"/>
      <c r="R532" s="382"/>
      <c r="S532" s="29"/>
      <c r="T532" s="380" t="s">
        <v>41</v>
      </c>
      <c r="U532" s="381"/>
      <c r="V532" s="381"/>
      <c r="W532" s="381"/>
      <c r="X532" s="381"/>
      <c r="Y532" s="382"/>
      <c r="Z532" s="30"/>
      <c r="AA532" s="24"/>
    </row>
    <row r="533" spans="1:27" s="25" customFormat="1" ht="18" customHeight="1" x14ac:dyDescent="0.2">
      <c r="A533" s="279"/>
      <c r="B533" s="277"/>
      <c r="C533" s="391" t="s">
        <v>213</v>
      </c>
      <c r="D533" s="391"/>
      <c r="E533" s="391"/>
      <c r="F533" s="391"/>
      <c r="G533" s="280" t="str">
        <f>$J$1</f>
        <v>November</v>
      </c>
      <c r="H533" s="390">
        <f>$K$1</f>
        <v>2023</v>
      </c>
      <c r="I533" s="390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169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77" t="s">
        <v>41</v>
      </c>
      <c r="G536" s="378"/>
      <c r="H536" s="277"/>
      <c r="I536" s="377" t="s">
        <v>42</v>
      </c>
      <c r="J536" s="379"/>
      <c r="K536" s="378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4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5">IF(U536="","",U536+V536)</f>
        <v>0</v>
      </c>
      <c r="X536" s="38"/>
      <c r="Y536" s="64">
        <f t="shared" ref="Y536:Y545" si="136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5"/>
        <v>50000</v>
      </c>
      <c r="X537" s="38">
        <v>5000</v>
      </c>
      <c r="Y537" s="64">
        <f t="shared" si="136"/>
        <v>45000</v>
      </c>
      <c r="Z537" s="40"/>
    </row>
    <row r="538" spans="1:27" s="25" customFormat="1" ht="18" customHeight="1" x14ac:dyDescent="0.2">
      <c r="A538" s="279"/>
      <c r="B538" s="388" t="s">
        <v>40</v>
      </c>
      <c r="C538" s="389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31000</v>
      </c>
      <c r="H538" s="292"/>
      <c r="I538" s="296">
        <f>IF(C542&gt;=C541,$K$2,C540+C542)</f>
        <v>30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7">Y537</f>
        <v>45000</v>
      </c>
      <c r="V538" s="38"/>
      <c r="W538" s="64">
        <f t="shared" si="135"/>
        <v>45000</v>
      </c>
      <c r="X538" s="38">
        <v>5000</v>
      </c>
      <c r="Y538" s="64">
        <f t="shared" si="136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58</v>
      </c>
      <c r="J539" s="297" t="s">
        <v>60</v>
      </c>
      <c r="K539" s="301">
        <f>K534/$K$2/8*I539</f>
        <v>6041.666666666667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7"/>
        <v>40000</v>
      </c>
      <c r="V539" s="38">
        <v>15500</v>
      </c>
      <c r="W539" s="64">
        <f t="shared" si="135"/>
        <v>55500</v>
      </c>
      <c r="X539" s="38">
        <v>15500</v>
      </c>
      <c r="Y539" s="64">
        <f t="shared" si="136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30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31000</v>
      </c>
      <c r="H540" s="292"/>
      <c r="I540" s="383" t="s">
        <v>67</v>
      </c>
      <c r="J540" s="384"/>
      <c r="K540" s="301">
        <f>K538+K539</f>
        <v>31041.666666666668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7"/>
        <v>40000</v>
      </c>
      <c r="V540" s="38"/>
      <c r="W540" s="64">
        <f t="shared" si="135"/>
        <v>40000</v>
      </c>
      <c r="X540" s="38">
        <v>5000</v>
      </c>
      <c r="Y540" s="64">
        <f t="shared" si="136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83" t="s">
        <v>68</v>
      </c>
      <c r="J541" s="384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7"/>
        <v>35000</v>
      </c>
      <c r="V541" s="38"/>
      <c r="W541" s="64">
        <f t="shared" si="135"/>
        <v>35000</v>
      </c>
      <c r="X541" s="38"/>
      <c r="Y541" s="64">
        <f t="shared" si="136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202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29000</v>
      </c>
      <c r="H542" s="277"/>
      <c r="I542" s="377" t="s">
        <v>61</v>
      </c>
      <c r="J542" s="378"/>
      <c r="K542" s="234">
        <f>K540-K541</f>
        <v>29041.666666666668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7"/>
        <v>35000</v>
      </c>
      <c r="V542" s="38"/>
      <c r="W542" s="64">
        <f t="shared" si="135"/>
        <v>35000</v>
      </c>
      <c r="X542" s="38">
        <v>2000</v>
      </c>
      <c r="Y542" s="64">
        <f t="shared" si="136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7"/>
        <v>33000</v>
      </c>
      <c r="V543" s="38"/>
      <c r="W543" s="64">
        <f t="shared" si="135"/>
        <v>33000</v>
      </c>
      <c r="X543" s="38">
        <v>2000</v>
      </c>
      <c r="Y543" s="64">
        <f t="shared" si="136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7"/>
        <v>31000</v>
      </c>
      <c r="V544" s="38"/>
      <c r="W544" s="64">
        <f t="shared" si="135"/>
        <v>31000</v>
      </c>
      <c r="X544" s="38">
        <v>2000</v>
      </c>
      <c r="Y544" s="64">
        <f t="shared" si="136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/>
      <c r="Q545" s="36"/>
      <c r="R545" s="36">
        <v>0</v>
      </c>
      <c r="S545" s="27"/>
      <c r="T545" s="36" t="s">
        <v>56</v>
      </c>
      <c r="U545" s="64">
        <v>0</v>
      </c>
      <c r="V545" s="38"/>
      <c r="W545" s="64">
        <f t="shared" si="135"/>
        <v>0</v>
      </c>
      <c r="X545" s="38"/>
      <c r="Y545" s="64">
        <f t="shared" si="136"/>
        <v>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85" t="s">
        <v>38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7"/>
      <c r="M547" s="24"/>
      <c r="N547" s="28"/>
      <c r="O547" s="380" t="s">
        <v>40</v>
      </c>
      <c r="P547" s="381"/>
      <c r="Q547" s="381"/>
      <c r="R547" s="382"/>
      <c r="S547" s="29"/>
      <c r="T547" s="380" t="s">
        <v>41</v>
      </c>
      <c r="U547" s="381"/>
      <c r="V547" s="381"/>
      <c r="W547" s="381"/>
      <c r="X547" s="381"/>
      <c r="Y547" s="382"/>
      <c r="Z547" s="30"/>
      <c r="AA547" s="24"/>
    </row>
    <row r="548" spans="1:27" s="25" customFormat="1" ht="18" customHeight="1" x14ac:dyDescent="0.2">
      <c r="A548" s="279"/>
      <c r="B548" s="277"/>
      <c r="C548" s="391" t="s">
        <v>213</v>
      </c>
      <c r="D548" s="391"/>
      <c r="E548" s="391"/>
      <c r="F548" s="391"/>
      <c r="G548" s="280" t="str">
        <f>$J$1</f>
        <v>November</v>
      </c>
      <c r="H548" s="390">
        <f>$K$1</f>
        <v>2023</v>
      </c>
      <c r="I548" s="390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206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8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77" t="s">
        <v>41</v>
      </c>
      <c r="G551" s="378"/>
      <c r="H551" s="277"/>
      <c r="I551" s="377" t="s">
        <v>42</v>
      </c>
      <c r="J551" s="379"/>
      <c r="K551" s="378"/>
      <c r="L551" s="291"/>
      <c r="N551" s="35"/>
      <c r="O551" s="36" t="s">
        <v>44</v>
      </c>
      <c r="P551" s="36"/>
      <c r="Q551" s="36"/>
      <c r="R551" s="36" t="str">
        <f t="shared" si="138"/>
        <v/>
      </c>
      <c r="S551" s="27"/>
      <c r="T551" s="36" t="s">
        <v>44</v>
      </c>
      <c r="U551" s="64"/>
      <c r="V551" s="38"/>
      <c r="W551" s="64" t="str">
        <f t="shared" ref="W551:W560" si="139">IF(U551="","",U551+V551)</f>
        <v/>
      </c>
      <c r="X551" s="38"/>
      <c r="Y551" s="64" t="str">
        <f t="shared" ref="Y551:Y560" si="140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39"/>
        <v/>
      </c>
      <c r="X552" s="38"/>
      <c r="Y552" s="64" t="str">
        <f t="shared" si="140"/>
        <v/>
      </c>
      <c r="Z552" s="40"/>
    </row>
    <row r="553" spans="1:27" s="25" customFormat="1" ht="18" customHeight="1" x14ac:dyDescent="0.2">
      <c r="A553" s="279"/>
      <c r="B553" s="388" t="s">
        <v>40</v>
      </c>
      <c r="C553" s="389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28</v>
      </c>
      <c r="J553" s="297" t="s">
        <v>59</v>
      </c>
      <c r="K553" s="298">
        <f>K549/$K$2*I553</f>
        <v>42000</v>
      </c>
      <c r="L553" s="299"/>
      <c r="N553" s="35"/>
      <c r="O553" s="36" t="s">
        <v>46</v>
      </c>
      <c r="P553" s="36"/>
      <c r="Q553" s="36"/>
      <c r="R553" s="36" t="str">
        <f t="shared" si="138"/>
        <v/>
      </c>
      <c r="S553" s="27"/>
      <c r="T553" s="36" t="s">
        <v>46</v>
      </c>
      <c r="U553" s="64"/>
      <c r="V553" s="38"/>
      <c r="W553" s="64" t="str">
        <f t="shared" si="139"/>
        <v/>
      </c>
      <c r="X553" s="38"/>
      <c r="Y553" s="64" t="str">
        <f t="shared" si="140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8"/>
        <v/>
      </c>
      <c r="S554" s="27"/>
      <c r="T554" s="36" t="s">
        <v>47</v>
      </c>
      <c r="U554" s="64"/>
      <c r="V554" s="38"/>
      <c r="W554" s="64" t="str">
        <f t="shared" si="139"/>
        <v/>
      </c>
      <c r="X554" s="38"/>
      <c r="Y554" s="64" t="str">
        <f t="shared" si="140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28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83" t="s">
        <v>67</v>
      </c>
      <c r="J555" s="384"/>
      <c r="K555" s="301">
        <f>K553+K554</f>
        <v>42000</v>
      </c>
      <c r="L555" s="302"/>
      <c r="N555" s="35"/>
      <c r="O555" s="36" t="s">
        <v>48</v>
      </c>
      <c r="P555" s="36"/>
      <c r="Q555" s="36"/>
      <c r="R555" s="36" t="str">
        <f t="shared" si="138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0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2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83" t="s">
        <v>68</v>
      </c>
      <c r="J556" s="384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39"/>
        <v>0</v>
      </c>
      <c r="X556" s="38"/>
      <c r="Y556" s="64">
        <f t="shared" si="140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277"/>
      <c r="E557" s="277"/>
      <c r="F557" s="309" t="s">
        <v>202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77" t="s">
        <v>61</v>
      </c>
      <c r="J557" s="378"/>
      <c r="K557" s="234">
        <f>K555-K556</f>
        <v>42000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39"/>
        <v/>
      </c>
      <c r="X557" s="38"/>
      <c r="Y557" s="64" t="str">
        <f t="shared" si="140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39"/>
        <v/>
      </c>
      <c r="X558" s="38"/>
      <c r="Y558" s="64" t="str">
        <f t="shared" si="140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39"/>
        <v/>
      </c>
      <c r="X559" s="38"/>
      <c r="Y559" s="64" t="str">
        <f t="shared" si="140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 t="str">
        <f t="shared" si="138"/>
        <v/>
      </c>
      <c r="S560" s="27"/>
      <c r="T560" s="36" t="s">
        <v>56</v>
      </c>
      <c r="U560" s="64" t="str">
        <f>Y559</f>
        <v/>
      </c>
      <c r="V560" s="38"/>
      <c r="W560" s="64" t="str">
        <f t="shared" si="139"/>
        <v/>
      </c>
      <c r="X560" s="38"/>
      <c r="Y560" s="64" t="str">
        <f t="shared" si="140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85" t="s">
        <v>38</v>
      </c>
      <c r="B562" s="386"/>
      <c r="C562" s="386"/>
      <c r="D562" s="386"/>
      <c r="E562" s="386"/>
      <c r="F562" s="386"/>
      <c r="G562" s="386"/>
      <c r="H562" s="386"/>
      <c r="I562" s="386"/>
      <c r="J562" s="386"/>
      <c r="K562" s="386"/>
      <c r="L562" s="387"/>
      <c r="M562" s="24"/>
      <c r="N562" s="28"/>
      <c r="O562" s="380" t="s">
        <v>40</v>
      </c>
      <c r="P562" s="381"/>
      <c r="Q562" s="381"/>
      <c r="R562" s="382"/>
      <c r="S562" s="29"/>
      <c r="T562" s="380" t="s">
        <v>41</v>
      </c>
      <c r="U562" s="381"/>
      <c r="V562" s="381"/>
      <c r="W562" s="381"/>
      <c r="X562" s="381"/>
      <c r="Y562" s="382"/>
      <c r="Z562" s="30"/>
      <c r="AA562" s="24"/>
    </row>
    <row r="563" spans="1:27" s="25" customFormat="1" ht="18" customHeight="1" x14ac:dyDescent="0.2">
      <c r="A563" s="279"/>
      <c r="B563" s="277"/>
      <c r="C563" s="391" t="s">
        <v>213</v>
      </c>
      <c r="D563" s="391"/>
      <c r="E563" s="391"/>
      <c r="F563" s="391"/>
      <c r="G563" s="280" t="str">
        <f>$J$1</f>
        <v>November</v>
      </c>
      <c r="H563" s="390">
        <f>$K$1</f>
        <v>2023</v>
      </c>
      <c r="I563" s="390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1">IF(Q565="","",R564-Q565)</f>
        <v>20</v>
      </c>
      <c r="S565" s="27"/>
      <c r="T565" s="36" t="s">
        <v>69</v>
      </c>
      <c r="U565" s="64">
        <f t="shared" ref="U565:U570" si="142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77" t="s">
        <v>41</v>
      </c>
      <c r="G566" s="378"/>
      <c r="H566" s="277"/>
      <c r="I566" s="377" t="s">
        <v>42</v>
      </c>
      <c r="J566" s="379"/>
      <c r="K566" s="378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1"/>
        <v>20</v>
      </c>
      <c r="S566" s="27"/>
      <c r="T566" s="36" t="s">
        <v>44</v>
      </c>
      <c r="U566" s="64">
        <f t="shared" si="142"/>
        <v>25000</v>
      </c>
      <c r="V566" s="38"/>
      <c r="W566" s="64">
        <f t="shared" ref="W566:W575" si="143">IF(U566="","",U566+V566)</f>
        <v>25000</v>
      </c>
      <c r="X566" s="38"/>
      <c r="Y566" s="64">
        <f t="shared" ref="Y566:Y575" si="144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1"/>
        <v>20</v>
      </c>
      <c r="S567" s="27"/>
      <c r="T567" s="36" t="s">
        <v>45</v>
      </c>
      <c r="U567" s="64">
        <f t="shared" si="142"/>
        <v>25000</v>
      </c>
      <c r="V567" s="38"/>
      <c r="W567" s="64">
        <f t="shared" si="143"/>
        <v>25000</v>
      </c>
      <c r="X567" s="38">
        <v>5000</v>
      </c>
      <c r="Y567" s="64">
        <f t="shared" si="144"/>
        <v>20000</v>
      </c>
      <c r="Z567" s="40"/>
    </row>
    <row r="568" spans="1:27" s="25" customFormat="1" ht="18" customHeight="1" x14ac:dyDescent="0.2">
      <c r="A568" s="279"/>
      <c r="B568" s="388" t="s">
        <v>40</v>
      </c>
      <c r="C568" s="389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5000</v>
      </c>
      <c r="H568" s="292"/>
      <c r="I568" s="296">
        <f>IF(C572&gt;=C571,$K$2,C570+C572)</f>
        <v>30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1"/>
        <v>20</v>
      </c>
      <c r="S568" s="27"/>
      <c r="T568" s="36" t="s">
        <v>46</v>
      </c>
      <c r="U568" s="64">
        <f t="shared" si="142"/>
        <v>20000</v>
      </c>
      <c r="V568" s="38">
        <v>5000</v>
      </c>
      <c r="W568" s="64">
        <f t="shared" si="143"/>
        <v>25000</v>
      </c>
      <c r="X568" s="38">
        <v>5000</v>
      </c>
      <c r="Y568" s="64">
        <f t="shared" si="144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10000</v>
      </c>
      <c r="H569" s="292"/>
      <c r="I569" s="296">
        <v>108</v>
      </c>
      <c r="J569" s="297" t="s">
        <v>60</v>
      </c>
      <c r="K569" s="301">
        <f>K564/$K$2/8*I569</f>
        <v>15750.000000000002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1"/>
        <v>20</v>
      </c>
      <c r="S569" s="27"/>
      <c r="T569" s="36" t="s">
        <v>47</v>
      </c>
      <c r="U569" s="64">
        <f t="shared" si="142"/>
        <v>20000</v>
      </c>
      <c r="V569" s="38">
        <v>5000</v>
      </c>
      <c r="W569" s="64">
        <f t="shared" si="143"/>
        <v>25000</v>
      </c>
      <c r="X569" s="38">
        <v>5000</v>
      </c>
      <c r="Y569" s="64">
        <f t="shared" si="144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30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15000</v>
      </c>
      <c r="H570" s="292"/>
      <c r="I570" s="383" t="s">
        <v>67</v>
      </c>
      <c r="J570" s="384"/>
      <c r="K570" s="301">
        <f>K568+K569</f>
        <v>50750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1"/>
        <v>20</v>
      </c>
      <c r="S570" s="27"/>
      <c r="T570" s="36" t="s">
        <v>48</v>
      </c>
      <c r="U570" s="64">
        <f t="shared" si="142"/>
        <v>20000</v>
      </c>
      <c r="V570" s="38"/>
      <c r="W570" s="64">
        <f t="shared" si="143"/>
        <v>20000</v>
      </c>
      <c r="X570" s="38">
        <v>5000</v>
      </c>
      <c r="Y570" s="64">
        <f t="shared" si="144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83" t="s">
        <v>68</v>
      </c>
      <c r="J571" s="384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1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3"/>
        <v>15000</v>
      </c>
      <c r="X571" s="38">
        <v>5000</v>
      </c>
      <c r="Y571" s="64">
        <f t="shared" si="144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202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10000</v>
      </c>
      <c r="H572" s="277"/>
      <c r="I572" s="377" t="s">
        <v>61</v>
      </c>
      <c r="J572" s="378"/>
      <c r="K572" s="234">
        <f>K570-K571</f>
        <v>45750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1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3"/>
        <v>10000</v>
      </c>
      <c r="X572" s="38">
        <v>5000</v>
      </c>
      <c r="Y572" s="64">
        <f t="shared" si="144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1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3"/>
        <v>15000</v>
      </c>
      <c r="X573" s="38">
        <v>10000</v>
      </c>
      <c r="Y573" s="64">
        <f t="shared" si="144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1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3"/>
        <v>15000</v>
      </c>
      <c r="X574" s="38">
        <v>5000</v>
      </c>
      <c r="Y574" s="64">
        <f t="shared" si="144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/>
      <c r="Q575" s="36"/>
      <c r="R575" s="36" t="str">
        <f t="shared" si="141"/>
        <v/>
      </c>
      <c r="S575" s="27"/>
      <c r="T575" s="36" t="s">
        <v>56</v>
      </c>
      <c r="U575" s="64">
        <v>0</v>
      </c>
      <c r="V575" s="38"/>
      <c r="W575" s="64">
        <f t="shared" si="143"/>
        <v>0</v>
      </c>
      <c r="X575" s="38"/>
      <c r="Y575" s="64">
        <f t="shared" si="144"/>
        <v>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397" t="s">
        <v>38</v>
      </c>
      <c r="B577" s="398"/>
      <c r="C577" s="398"/>
      <c r="D577" s="398"/>
      <c r="E577" s="398"/>
      <c r="F577" s="398"/>
      <c r="G577" s="398"/>
      <c r="H577" s="398"/>
      <c r="I577" s="398"/>
      <c r="J577" s="398"/>
      <c r="K577" s="398"/>
      <c r="L577" s="399"/>
      <c r="M577" s="24"/>
      <c r="N577" s="28"/>
      <c r="O577" s="380" t="s">
        <v>40</v>
      </c>
      <c r="P577" s="381"/>
      <c r="Q577" s="381"/>
      <c r="R577" s="382"/>
      <c r="S577" s="29"/>
      <c r="T577" s="380" t="s">
        <v>41</v>
      </c>
      <c r="U577" s="381"/>
      <c r="V577" s="381"/>
      <c r="W577" s="381"/>
      <c r="X577" s="381"/>
      <c r="Y577" s="382"/>
      <c r="Z577" s="30"/>
      <c r="AA577" s="24"/>
    </row>
    <row r="578" spans="1:27" s="25" customFormat="1" ht="18" customHeight="1" x14ac:dyDescent="0.2">
      <c r="A578" s="279"/>
      <c r="B578" s="277"/>
      <c r="C578" s="391" t="s">
        <v>213</v>
      </c>
      <c r="D578" s="391"/>
      <c r="E578" s="391"/>
      <c r="F578" s="391"/>
      <c r="G578" s="280" t="str">
        <f>$J$1</f>
        <v>November</v>
      </c>
      <c r="H578" s="390">
        <f>$K$1</f>
        <v>2023</v>
      </c>
      <c r="I578" s="390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225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 t="str">
        <f>IF(Q580="","",R579-Q580)</f>
        <v/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395" t="s">
        <v>41</v>
      </c>
      <c r="G581" s="395"/>
      <c r="H581" s="277"/>
      <c r="I581" s="395" t="s">
        <v>42</v>
      </c>
      <c r="J581" s="395"/>
      <c r="K581" s="395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5">IF(U581="","",U581+V581)</f>
        <v>0</v>
      </c>
      <c r="X581" s="38"/>
      <c r="Y581" s="64">
        <f t="shared" ref="Y581:Y590" si="146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5"/>
        <v>0</v>
      </c>
      <c r="X582" s="38"/>
      <c r="Y582" s="64">
        <f t="shared" si="146"/>
        <v>0</v>
      </c>
      <c r="Z582" s="40"/>
    </row>
    <row r="583" spans="1:27" s="25" customFormat="1" ht="18" customHeight="1" x14ac:dyDescent="0.2">
      <c r="A583" s="279"/>
      <c r="B583" s="388" t="s">
        <v>40</v>
      </c>
      <c r="C583" s="389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27</v>
      </c>
      <c r="J583" s="297" t="s">
        <v>59</v>
      </c>
      <c r="K583" s="298">
        <f>K579/$K$2*I583</f>
        <v>36000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5"/>
        <v>0</v>
      </c>
      <c r="X583" s="38"/>
      <c r="Y583" s="64">
        <f t="shared" si="146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4</v>
      </c>
      <c r="J584" s="297" t="s">
        <v>60</v>
      </c>
      <c r="K584" s="301">
        <f>K579/$K$2/8*I584</f>
        <v>666.66666666666663</v>
      </c>
      <c r="L584" s="302"/>
      <c r="N584" s="35"/>
      <c r="O584" s="36" t="s">
        <v>47</v>
      </c>
      <c r="P584" s="36"/>
      <c r="Q584" s="36"/>
      <c r="R584" s="36" t="str">
        <f t="shared" ref="R584:R588" si="147">IF(Q584="","",R583-Q584)</f>
        <v/>
      </c>
      <c r="S584" s="27"/>
      <c r="T584" s="36" t="s">
        <v>47</v>
      </c>
      <c r="U584" s="64">
        <f>IF($J$1="May","",Y583)</f>
        <v>0</v>
      </c>
      <c r="V584" s="38"/>
      <c r="W584" s="64">
        <f t="shared" si="145"/>
        <v>0</v>
      </c>
      <c r="X584" s="38"/>
      <c r="Y584" s="64">
        <f t="shared" si="146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27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83" t="s">
        <v>67</v>
      </c>
      <c r="J585" s="384"/>
      <c r="K585" s="301">
        <f>K583+K584</f>
        <v>36666.666666666664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5"/>
        <v>0</v>
      </c>
      <c r="X585" s="38"/>
      <c r="Y585" s="64">
        <f t="shared" si="146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3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83" t="s">
        <v>68</v>
      </c>
      <c r="J586" s="384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5"/>
        <v>0</v>
      </c>
      <c r="X586" s="38"/>
      <c r="Y586" s="64">
        <f t="shared" si="146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77" t="s">
        <v>61</v>
      </c>
      <c r="J587" s="378"/>
      <c r="K587" s="234">
        <f>K585-K586</f>
        <v>36666.666666666664</v>
      </c>
      <c r="L587" s="304"/>
      <c r="N587" s="35"/>
      <c r="O587" s="36" t="s">
        <v>54</v>
      </c>
      <c r="P587" s="36"/>
      <c r="Q587" s="36"/>
      <c r="R587" s="36"/>
      <c r="S587" s="27"/>
      <c r="T587" s="36" t="s">
        <v>54</v>
      </c>
      <c r="U587" s="64">
        <f>IF($J$1="August","",Y586)</f>
        <v>0</v>
      </c>
      <c r="V587" s="38"/>
      <c r="W587" s="64">
        <f t="shared" si="145"/>
        <v>0</v>
      </c>
      <c r="X587" s="38"/>
      <c r="Y587" s="64">
        <f t="shared" si="146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 t="str">
        <f t="shared" si="147"/>
        <v/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5"/>
        <v>0</v>
      </c>
      <c r="X588" s="38"/>
      <c r="Y588" s="64">
        <f t="shared" si="146"/>
        <v>0</v>
      </c>
      <c r="Z588" s="40"/>
    </row>
    <row r="589" spans="1:27" s="25" customFormat="1" ht="18" customHeight="1" x14ac:dyDescent="0.2">
      <c r="A589" s="279"/>
      <c r="B589" s="396" t="s">
        <v>82</v>
      </c>
      <c r="C589" s="396"/>
      <c r="D589" s="396"/>
      <c r="E589" s="396"/>
      <c r="F589" s="396"/>
      <c r="G589" s="396"/>
      <c r="H589" s="396"/>
      <c r="I589" s="396"/>
      <c r="J589" s="396"/>
      <c r="K589" s="396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5"/>
        <v>0</v>
      </c>
      <c r="X589" s="38"/>
      <c r="Y589" s="64">
        <f t="shared" si="146"/>
        <v>0</v>
      </c>
      <c r="Z589" s="40"/>
    </row>
    <row r="590" spans="1:27" s="25" customFormat="1" ht="18" customHeight="1" x14ac:dyDescent="0.2">
      <c r="A590" s="279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291"/>
      <c r="N590" s="35"/>
      <c r="O590" s="36" t="s">
        <v>56</v>
      </c>
      <c r="P590" s="36"/>
      <c r="Q590" s="36"/>
      <c r="R590" s="36">
        <v>0</v>
      </c>
      <c r="S590" s="27"/>
      <c r="T590" s="36" t="s">
        <v>56</v>
      </c>
      <c r="U590" s="64" t="str">
        <f>IF($J$1="November","",Y589)</f>
        <v/>
      </c>
      <c r="V590" s="38"/>
      <c r="W590" s="64" t="str">
        <f t="shared" si="145"/>
        <v/>
      </c>
      <c r="X590" s="38"/>
      <c r="Y590" s="64" t="str">
        <f t="shared" si="146"/>
        <v/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85" t="s">
        <v>38</v>
      </c>
      <c r="B593" s="386"/>
      <c r="C593" s="386"/>
      <c r="D593" s="386"/>
      <c r="E593" s="386"/>
      <c r="F593" s="386"/>
      <c r="G593" s="386"/>
      <c r="H593" s="386"/>
      <c r="I593" s="386"/>
      <c r="J593" s="386"/>
      <c r="K593" s="386"/>
      <c r="L593" s="387"/>
      <c r="M593" s="24"/>
      <c r="N593" s="28"/>
      <c r="O593" s="380" t="s">
        <v>40</v>
      </c>
      <c r="P593" s="381"/>
      <c r="Q593" s="381"/>
      <c r="R593" s="382"/>
      <c r="S593" s="29"/>
      <c r="T593" s="380" t="s">
        <v>41</v>
      </c>
      <c r="U593" s="381"/>
      <c r="V593" s="381"/>
      <c r="W593" s="381"/>
      <c r="X593" s="381"/>
      <c r="Y593" s="382"/>
      <c r="Z593" s="30"/>
      <c r="AA593" s="24"/>
    </row>
    <row r="594" spans="1:27" s="25" customFormat="1" ht="18" customHeight="1" x14ac:dyDescent="0.2">
      <c r="A594" s="279"/>
      <c r="B594" s="277"/>
      <c r="C594" s="391" t="s">
        <v>213</v>
      </c>
      <c r="D594" s="391"/>
      <c r="E594" s="391"/>
      <c r="F594" s="391"/>
      <c r="G594" s="280" t="str">
        <f>$J$1</f>
        <v>November</v>
      </c>
      <c r="H594" s="390">
        <f>$K$1</f>
        <v>2023</v>
      </c>
      <c r="I594" s="390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201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77" t="s">
        <v>41</v>
      </c>
      <c r="G597" s="378"/>
      <c r="H597" s="277"/>
      <c r="I597" s="377" t="s">
        <v>42</v>
      </c>
      <c r="J597" s="379"/>
      <c r="K597" s="378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88" t="s">
        <v>40</v>
      </c>
      <c r="C599" s="389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6000</v>
      </c>
      <c r="H599" s="292"/>
      <c r="I599" s="296">
        <f>IF(C603&gt;=C602,$K$2,C601+C603)</f>
        <v>28</v>
      </c>
      <c r="J599" s="297" t="s">
        <v>59</v>
      </c>
      <c r="K599" s="298">
        <f>K595/$K$2*I599</f>
        <v>32666.666666666668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8</v>
      </c>
      <c r="J600" s="297" t="s">
        <v>60</v>
      </c>
      <c r="K600" s="301">
        <f>K595/$K$2/8*I600</f>
        <v>1166.6666666666667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6000</v>
      </c>
      <c r="H601" s="292"/>
      <c r="I601" s="383" t="s">
        <v>67</v>
      </c>
      <c r="J601" s="384"/>
      <c r="K601" s="301">
        <f>K599+K600</f>
        <v>33833.333333333336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83" t="s">
        <v>68</v>
      </c>
      <c r="J602" s="384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202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4000</v>
      </c>
      <c r="H603" s="277"/>
      <c r="I603" s="377" t="s">
        <v>61</v>
      </c>
      <c r="J603" s="378"/>
      <c r="K603" s="234">
        <f>K601-K602</f>
        <v>31833.333333333336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4">
        <v>0</v>
      </c>
      <c r="V606" s="38"/>
      <c r="W606" s="64">
        <f t="shared" si="150"/>
        <v>0</v>
      </c>
      <c r="X606" s="38"/>
      <c r="Y606" s="64">
        <f t="shared" si="151"/>
        <v>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85" t="s">
        <v>38</v>
      </c>
      <c r="B608" s="386"/>
      <c r="C608" s="386"/>
      <c r="D608" s="386"/>
      <c r="E608" s="386"/>
      <c r="F608" s="386"/>
      <c r="G608" s="386"/>
      <c r="H608" s="386"/>
      <c r="I608" s="386"/>
      <c r="J608" s="386"/>
      <c r="K608" s="386"/>
      <c r="L608" s="387"/>
      <c r="M608" s="24"/>
      <c r="N608" s="28"/>
      <c r="O608" s="380" t="s">
        <v>40</v>
      </c>
      <c r="P608" s="381"/>
      <c r="Q608" s="381"/>
      <c r="R608" s="382"/>
      <c r="S608" s="29"/>
      <c r="T608" s="380" t="s">
        <v>41</v>
      </c>
      <c r="U608" s="381"/>
      <c r="V608" s="381"/>
      <c r="W608" s="381"/>
      <c r="X608" s="381"/>
      <c r="Y608" s="382"/>
      <c r="Z608" s="30"/>
      <c r="AA608" s="24"/>
    </row>
    <row r="609" spans="1:27" s="25" customFormat="1" ht="18" customHeight="1" x14ac:dyDescent="0.2">
      <c r="A609" s="279"/>
      <c r="B609" s="277"/>
      <c r="C609" s="391" t="s">
        <v>213</v>
      </c>
      <c r="D609" s="391"/>
      <c r="E609" s="391"/>
      <c r="F609" s="391"/>
      <c r="G609" s="280" t="str">
        <f>$J$1</f>
        <v>November</v>
      </c>
      <c r="H609" s="390">
        <f>$K$1</f>
        <v>2023</v>
      </c>
      <c r="I609" s="390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195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77" t="s">
        <v>41</v>
      </c>
      <c r="G612" s="378"/>
      <c r="H612" s="277"/>
      <c r="I612" s="377" t="s">
        <v>42</v>
      </c>
      <c r="J612" s="379"/>
      <c r="K612" s="378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88" t="s">
        <v>40</v>
      </c>
      <c r="C614" s="389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30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29</v>
      </c>
      <c r="J615" s="297" t="s">
        <v>60</v>
      </c>
      <c r="K615" s="301">
        <f>K610/$K$2/8*I615</f>
        <v>3625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30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83" t="s">
        <v>67</v>
      </c>
      <c r="J616" s="384"/>
      <c r="K616" s="301">
        <f>K614+K615</f>
        <v>33625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83" t="s">
        <v>68</v>
      </c>
      <c r="J617" s="384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202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77" t="s">
        <v>61</v>
      </c>
      <c r="J618" s="378"/>
      <c r="K618" s="234">
        <f>K616-K617</f>
        <v>33625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/>
      <c r="Q621" s="36"/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397" t="s">
        <v>38</v>
      </c>
      <c r="B623" s="398"/>
      <c r="C623" s="398"/>
      <c r="D623" s="398"/>
      <c r="E623" s="398"/>
      <c r="F623" s="398"/>
      <c r="G623" s="398"/>
      <c r="H623" s="398"/>
      <c r="I623" s="398"/>
      <c r="J623" s="398"/>
      <c r="K623" s="398"/>
      <c r="L623" s="399"/>
      <c r="M623" s="24"/>
      <c r="N623" s="28"/>
      <c r="O623" s="380" t="s">
        <v>40</v>
      </c>
      <c r="P623" s="381"/>
      <c r="Q623" s="381"/>
      <c r="R623" s="382"/>
      <c r="S623" s="29"/>
      <c r="T623" s="380" t="s">
        <v>41</v>
      </c>
      <c r="U623" s="381"/>
      <c r="V623" s="381"/>
      <c r="W623" s="381"/>
      <c r="X623" s="381"/>
      <c r="Y623" s="382"/>
      <c r="Z623" s="27"/>
    </row>
    <row r="624" spans="1:27" s="25" customFormat="1" ht="18" customHeight="1" x14ac:dyDescent="0.2">
      <c r="A624" s="279"/>
      <c r="B624" s="277"/>
      <c r="C624" s="391" t="s">
        <v>213</v>
      </c>
      <c r="D624" s="391"/>
      <c r="E624" s="391"/>
      <c r="F624" s="391"/>
      <c r="G624" s="280" t="str">
        <f>$J$1</f>
        <v>November</v>
      </c>
      <c r="H624" s="390">
        <f>$K$1</f>
        <v>2023</v>
      </c>
      <c r="I624" s="390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203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395" t="s">
        <v>41</v>
      </c>
      <c r="G627" s="395"/>
      <c r="H627" s="277"/>
      <c r="I627" s="395" t="s">
        <v>42</v>
      </c>
      <c r="J627" s="395"/>
      <c r="K627" s="395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88" t="s">
        <v>40</v>
      </c>
      <c r="C629" s="389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29</v>
      </c>
      <c r="J629" s="297" t="s">
        <v>59</v>
      </c>
      <c r="K629" s="298">
        <f>K625/$K$2*I629</f>
        <v>33833.333333333336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65</v>
      </c>
      <c r="J630" s="297" t="s">
        <v>60</v>
      </c>
      <c r="K630" s="301">
        <f>K625/$K$2/8*I630</f>
        <v>9479.1666666666679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29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83" t="s">
        <v>67</v>
      </c>
      <c r="J631" s="384"/>
      <c r="K631" s="301">
        <f>K629+K630</f>
        <v>43312.5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1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83" t="s">
        <v>68</v>
      </c>
      <c r="J632" s="384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77" t="s">
        <v>61</v>
      </c>
      <c r="J633" s="378"/>
      <c r="K633" s="234">
        <f>K631-K632</f>
        <v>43312.5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396"/>
      <c r="C635" s="396"/>
      <c r="D635" s="396"/>
      <c r="E635" s="396"/>
      <c r="F635" s="396"/>
      <c r="G635" s="396"/>
      <c r="H635" s="396"/>
      <c r="I635" s="396"/>
      <c r="J635" s="396"/>
      <c r="K635" s="396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396"/>
      <c r="C636" s="396"/>
      <c r="D636" s="396"/>
      <c r="E636" s="396"/>
      <c r="F636" s="396"/>
      <c r="G636" s="396"/>
      <c r="H636" s="396"/>
      <c r="I636" s="396"/>
      <c r="J636" s="396"/>
      <c r="K636" s="396"/>
      <c r="L636" s="291"/>
      <c r="N636" s="35"/>
      <c r="O636" s="36" t="s">
        <v>56</v>
      </c>
      <c r="P636" s="36"/>
      <c r="Q636" s="36"/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397" t="s">
        <v>38</v>
      </c>
      <c r="B639" s="398"/>
      <c r="C639" s="398"/>
      <c r="D639" s="398"/>
      <c r="E639" s="398"/>
      <c r="F639" s="398"/>
      <c r="G639" s="398"/>
      <c r="H639" s="398"/>
      <c r="I639" s="398"/>
      <c r="J639" s="398"/>
      <c r="K639" s="398"/>
      <c r="L639" s="399"/>
      <c r="M639" s="24"/>
      <c r="N639" s="28"/>
      <c r="O639" s="380" t="s">
        <v>40</v>
      </c>
      <c r="P639" s="381"/>
      <c r="Q639" s="381"/>
      <c r="R639" s="382"/>
      <c r="S639" s="29"/>
      <c r="T639" s="380" t="s">
        <v>41</v>
      </c>
      <c r="U639" s="381"/>
      <c r="V639" s="381"/>
      <c r="W639" s="381"/>
      <c r="X639" s="381"/>
      <c r="Y639" s="382"/>
      <c r="Z639" s="30"/>
    </row>
    <row r="640" spans="1:26" s="25" customFormat="1" ht="18" customHeight="1" x14ac:dyDescent="0.2">
      <c r="A640" s="279"/>
      <c r="B640" s="277"/>
      <c r="C640" s="391" t="s">
        <v>213</v>
      </c>
      <c r="D640" s="391"/>
      <c r="E640" s="391"/>
      <c r="F640" s="391"/>
      <c r="G640" s="280" t="str">
        <f>$J$1</f>
        <v>November</v>
      </c>
      <c r="H640" s="390">
        <f>$K$1</f>
        <v>2023</v>
      </c>
      <c r="I640" s="390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205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395" t="s">
        <v>41</v>
      </c>
      <c r="G643" s="395"/>
      <c r="H643" s="277"/>
      <c r="I643" s="395" t="s">
        <v>42</v>
      </c>
      <c r="J643" s="395"/>
      <c r="K643" s="395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88" t="s">
        <v>40</v>
      </c>
      <c r="C645" s="389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92"/>
      <c r="I645" s="296">
        <f>IF(C649&gt;=C648,$K$2,C647+C649)</f>
        <v>27</v>
      </c>
      <c r="J645" s="297" t="s">
        <v>59</v>
      </c>
      <c r="K645" s="298">
        <f>K641/$K$2*I645</f>
        <v>40500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14000</v>
      </c>
      <c r="H646" s="292"/>
      <c r="I646" s="314">
        <v>19</v>
      </c>
      <c r="J646" s="297" t="s">
        <v>60</v>
      </c>
      <c r="K646" s="301">
        <f>K641/$K$2/8*I646</f>
        <v>3562.5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27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14000</v>
      </c>
      <c r="H647" s="292"/>
      <c r="I647" s="383" t="s">
        <v>67</v>
      </c>
      <c r="J647" s="384"/>
      <c r="K647" s="301">
        <f>K645+K646</f>
        <v>44062.5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3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83" t="s">
        <v>68</v>
      </c>
      <c r="J648" s="384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7000</v>
      </c>
      <c r="H649" s="277"/>
      <c r="I649" s="377" t="s">
        <v>61</v>
      </c>
      <c r="J649" s="378"/>
      <c r="K649" s="234">
        <f>K647-K648</f>
        <v>37062.5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396"/>
      <c r="C651" s="396"/>
      <c r="D651" s="396"/>
      <c r="E651" s="396"/>
      <c r="F651" s="396"/>
      <c r="G651" s="396"/>
      <c r="H651" s="396"/>
      <c r="I651" s="396"/>
      <c r="J651" s="396"/>
      <c r="K651" s="396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396"/>
      <c r="C652" s="396"/>
      <c r="D652" s="396"/>
      <c r="E652" s="396"/>
      <c r="F652" s="396"/>
      <c r="G652" s="396"/>
      <c r="H652" s="396"/>
      <c r="I652" s="396"/>
      <c r="J652" s="396"/>
      <c r="K652" s="396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v>0</v>
      </c>
      <c r="V652" s="38"/>
      <c r="W652" s="64">
        <f t="shared" si="164"/>
        <v>0</v>
      </c>
      <c r="X652" s="38"/>
      <c r="Y652" s="64">
        <f t="shared" si="165"/>
        <v>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397" t="s">
        <v>38</v>
      </c>
      <c r="B655" s="398"/>
      <c r="C655" s="398"/>
      <c r="D655" s="398"/>
      <c r="E655" s="398"/>
      <c r="F655" s="398"/>
      <c r="G655" s="398"/>
      <c r="H655" s="398"/>
      <c r="I655" s="398"/>
      <c r="J655" s="398"/>
      <c r="K655" s="398"/>
      <c r="L655" s="399"/>
      <c r="M655" s="24"/>
      <c r="N655" s="28"/>
      <c r="O655" s="380" t="s">
        <v>40</v>
      </c>
      <c r="P655" s="381"/>
      <c r="Q655" s="381"/>
      <c r="R655" s="382"/>
      <c r="S655" s="29"/>
      <c r="T655" s="380" t="s">
        <v>41</v>
      </c>
      <c r="U655" s="381"/>
      <c r="V655" s="381"/>
      <c r="W655" s="381"/>
      <c r="X655" s="381"/>
      <c r="Y655" s="382"/>
      <c r="Z655" s="30"/>
    </row>
    <row r="656" spans="1:26" s="25" customFormat="1" ht="18" customHeight="1" x14ac:dyDescent="0.2">
      <c r="A656" s="279"/>
      <c r="B656" s="277"/>
      <c r="C656" s="391" t="s">
        <v>213</v>
      </c>
      <c r="D656" s="391"/>
      <c r="E656" s="391"/>
      <c r="F656" s="391"/>
      <c r="G656" s="280" t="str">
        <f>$J$1</f>
        <v>November</v>
      </c>
      <c r="H656" s="390">
        <f>$K$1</f>
        <v>2023</v>
      </c>
      <c r="I656" s="390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207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395" t="s">
        <v>41</v>
      </c>
      <c r="G659" s="395"/>
      <c r="H659" s="277"/>
      <c r="I659" s="395" t="s">
        <v>42</v>
      </c>
      <c r="J659" s="395"/>
      <c r="K659" s="395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88" t="s">
        <v>40</v>
      </c>
      <c r="C661" s="389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26</v>
      </c>
      <c r="J661" s="297" t="s">
        <v>59</v>
      </c>
      <c r="K661" s="298">
        <f>K657/$K$2*I661</f>
        <v>19066.666666666668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65</v>
      </c>
      <c r="J662" s="297" t="s">
        <v>60</v>
      </c>
      <c r="K662" s="301">
        <f>K657/$K$2/8*I662</f>
        <v>5958.3333333333339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26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83" t="s">
        <v>67</v>
      </c>
      <c r="J663" s="384"/>
      <c r="K663" s="301">
        <f>K661+K662</f>
        <v>25025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4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83" t="s">
        <v>68</v>
      </c>
      <c r="J664" s="384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77" t="s">
        <v>61</v>
      </c>
      <c r="J665" s="378"/>
      <c r="K665" s="234">
        <f>K663-K664</f>
        <v>25025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396" t="s">
        <v>82</v>
      </c>
      <c r="C667" s="396"/>
      <c r="D667" s="396"/>
      <c r="E667" s="396"/>
      <c r="F667" s="396"/>
      <c r="G667" s="396"/>
      <c r="H667" s="396"/>
      <c r="I667" s="396"/>
      <c r="J667" s="396"/>
      <c r="K667" s="396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396"/>
      <c r="C668" s="396"/>
      <c r="D668" s="396"/>
      <c r="E668" s="396"/>
      <c r="F668" s="396"/>
      <c r="G668" s="396"/>
      <c r="H668" s="396"/>
      <c r="I668" s="396"/>
      <c r="J668" s="396"/>
      <c r="K668" s="396"/>
      <c r="L668" s="291"/>
      <c r="N668" s="35"/>
      <c r="O668" s="36" t="s">
        <v>56</v>
      </c>
      <c r="P668" s="36"/>
      <c r="Q668" s="36"/>
      <c r="R668" s="36">
        <v>0</v>
      </c>
      <c r="S668" s="27"/>
      <c r="T668" s="36" t="s">
        <v>56</v>
      </c>
      <c r="U668" s="64" t="str">
        <f>IF($J$1="November","",Y667)</f>
        <v/>
      </c>
      <c r="V668" s="38"/>
      <c r="W668" s="64" t="str">
        <f t="shared" si="166"/>
        <v/>
      </c>
      <c r="X668" s="38"/>
      <c r="Y668" s="64" t="str">
        <f t="shared" si="167"/>
        <v/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85" t="s">
        <v>38</v>
      </c>
      <c r="B671" s="386"/>
      <c r="C671" s="386"/>
      <c r="D671" s="386"/>
      <c r="E671" s="386"/>
      <c r="F671" s="386"/>
      <c r="G671" s="386"/>
      <c r="H671" s="386"/>
      <c r="I671" s="386"/>
      <c r="J671" s="386"/>
      <c r="K671" s="386"/>
      <c r="L671" s="387"/>
      <c r="M671" s="24"/>
      <c r="N671" s="28"/>
      <c r="O671" s="380" t="s">
        <v>40</v>
      </c>
      <c r="P671" s="381"/>
      <c r="Q671" s="381"/>
      <c r="R671" s="382"/>
      <c r="S671" s="29"/>
      <c r="T671" s="380" t="s">
        <v>41</v>
      </c>
      <c r="U671" s="381"/>
      <c r="V671" s="381"/>
      <c r="W671" s="381"/>
      <c r="X671" s="381"/>
      <c r="Y671" s="382"/>
      <c r="Z671" s="30"/>
      <c r="AA671" s="24"/>
    </row>
    <row r="672" spans="1:27" s="25" customFormat="1" ht="18" customHeight="1" x14ac:dyDescent="0.2">
      <c r="A672" s="279"/>
      <c r="B672" s="277"/>
      <c r="C672" s="391" t="s">
        <v>213</v>
      </c>
      <c r="D672" s="391"/>
      <c r="E672" s="391"/>
      <c r="F672" s="391"/>
      <c r="G672" s="280" t="str">
        <f>$J$1</f>
        <v>November</v>
      </c>
      <c r="H672" s="390">
        <f>$K$1</f>
        <v>2023</v>
      </c>
      <c r="I672" s="390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222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416">
        <v>45208</v>
      </c>
      <c r="D675" s="416"/>
      <c r="E675" s="417"/>
      <c r="F675" s="377" t="s">
        <v>41</v>
      </c>
      <c r="G675" s="378"/>
      <c r="H675" s="277"/>
      <c r="I675" s="377" t="s">
        <v>42</v>
      </c>
      <c r="J675" s="379"/>
      <c r="K675" s="378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88" t="s">
        <v>40</v>
      </c>
      <c r="C677" s="389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22</v>
      </c>
      <c r="J677" s="297" t="s">
        <v>59</v>
      </c>
      <c r="K677" s="298">
        <f>K673/$K$2*I677</f>
        <v>124666.66666666667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22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83" t="s">
        <v>67</v>
      </c>
      <c r="J679" s="384"/>
      <c r="K679" s="301">
        <f>K677+K678</f>
        <v>124666.66666666667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8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83" t="s">
        <v>68</v>
      </c>
      <c r="J680" s="384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202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77" t="s">
        <v>61</v>
      </c>
      <c r="J681" s="378"/>
      <c r="K681" s="234">
        <f>K679-K680</f>
        <v>124666.66666666667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328" t="s">
        <v>223</v>
      </c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x14ac:dyDescent="0.2">
      <c r="A686" s="403" t="s">
        <v>38</v>
      </c>
      <c r="B686" s="404"/>
      <c r="C686" s="404"/>
      <c r="D686" s="404"/>
      <c r="E686" s="404"/>
      <c r="F686" s="404"/>
      <c r="G686" s="404"/>
      <c r="H686" s="404"/>
      <c r="I686" s="404"/>
      <c r="J686" s="404"/>
      <c r="K686" s="404"/>
      <c r="L686" s="405"/>
      <c r="M686" s="24"/>
      <c r="N686" s="28"/>
      <c r="O686" s="380" t="s">
        <v>40</v>
      </c>
      <c r="P686" s="381"/>
      <c r="Q686" s="381"/>
      <c r="R686" s="382"/>
      <c r="S686" s="29"/>
      <c r="T686" s="380" t="s">
        <v>41</v>
      </c>
      <c r="U686" s="381"/>
      <c r="V686" s="381"/>
      <c r="W686" s="381"/>
      <c r="X686" s="381"/>
      <c r="Y686" s="382"/>
      <c r="Z686" s="30"/>
      <c r="AA686" s="24"/>
    </row>
    <row r="687" spans="1:27" s="25" customFormat="1" ht="18" customHeight="1" x14ac:dyDescent="0.2">
      <c r="A687" s="279"/>
      <c r="B687" s="277"/>
      <c r="C687" s="391" t="s">
        <v>213</v>
      </c>
      <c r="D687" s="391"/>
      <c r="E687" s="391"/>
      <c r="F687" s="391"/>
      <c r="G687" s="280" t="str">
        <f>$J$1</f>
        <v>November</v>
      </c>
      <c r="H687" s="390">
        <f>$K$1</f>
        <v>2023</v>
      </c>
      <c r="I687" s="390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34"/>
      <c r="AA687" s="26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70000</v>
      </c>
      <c r="L688" s="286"/>
      <c r="N688" s="35"/>
      <c r="O688" s="36" t="s">
        <v>43</v>
      </c>
      <c r="P688" s="36">
        <v>22</v>
      </c>
      <c r="Q688" s="36">
        <v>9</v>
      </c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34"/>
    </row>
    <row r="689" spans="1:27" s="25" customFormat="1" ht="18" customHeight="1" x14ac:dyDescent="0.2">
      <c r="A689" s="279"/>
      <c r="B689" s="277" t="s">
        <v>0</v>
      </c>
      <c r="C689" s="276" t="s">
        <v>212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 t="str">
        <f t="shared" ref="R689:R696" si="171">IF(Q689="","",R688-Q689)</f>
        <v/>
      </c>
      <c r="S689" s="27"/>
      <c r="T689" s="36" t="s">
        <v>69</v>
      </c>
      <c r="U689" s="64">
        <f>Y688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40"/>
      <c r="AA689" s="24"/>
    </row>
    <row r="690" spans="1:27" s="25" customFormat="1" ht="18" customHeight="1" x14ac:dyDescent="0.2">
      <c r="A690" s="279"/>
      <c r="B690" s="289" t="s">
        <v>39</v>
      </c>
      <c r="C690" s="290"/>
      <c r="D690" s="277"/>
      <c r="E690" s="277"/>
      <c r="F690" s="395" t="s">
        <v>41</v>
      </c>
      <c r="G690" s="395"/>
      <c r="H690" s="277"/>
      <c r="I690" s="395" t="s">
        <v>42</v>
      </c>
      <c r="J690" s="395"/>
      <c r="K690" s="395"/>
      <c r="L690" s="291"/>
      <c r="N690" s="35"/>
      <c r="O690" s="36" t="s">
        <v>44</v>
      </c>
      <c r="P690" s="36"/>
      <c r="Q690" s="36"/>
      <c r="R690" s="36" t="str">
        <f t="shared" si="171"/>
        <v/>
      </c>
      <c r="S690" s="27"/>
      <c r="T690" s="36" t="s">
        <v>44</v>
      </c>
      <c r="U690" s="64">
        <f>IF($J$1="April",Y689,Y689)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40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IF($J$1="April",Y690,Y690)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40"/>
    </row>
    <row r="692" spans="1:27" s="25" customFormat="1" ht="18" customHeight="1" x14ac:dyDescent="0.2">
      <c r="A692" s="279"/>
      <c r="B692" s="388" t="s">
        <v>40</v>
      </c>
      <c r="C692" s="389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90000</v>
      </c>
      <c r="H692" s="292"/>
      <c r="I692" s="296">
        <f>IF(C696&gt;0,$K$2,C694)</f>
        <v>30</v>
      </c>
      <c r="J692" s="297" t="s">
        <v>59</v>
      </c>
      <c r="K692" s="298">
        <f>K688/$K$2*I692</f>
        <v>70000</v>
      </c>
      <c r="L692" s="299"/>
      <c r="N692" s="35"/>
      <c r="O692" s="36" t="s">
        <v>46</v>
      </c>
      <c r="P692" s="36"/>
      <c r="Q692" s="36"/>
      <c r="R692" s="36">
        <v>0</v>
      </c>
      <c r="S692" s="27"/>
      <c r="T692" s="36" t="s">
        <v>46</v>
      </c>
      <c r="U692" s="64">
        <f>IF($J$1="May",Y691,Y691)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40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314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IF($J$1="May",Y692,Y692)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40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30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90000</v>
      </c>
      <c r="H694" s="292"/>
      <c r="I694" s="383" t="s">
        <v>67</v>
      </c>
      <c r="J694" s="384"/>
      <c r="K694" s="301">
        <f>K692+K693</f>
        <v>70000</v>
      </c>
      <c r="L694" s="302"/>
      <c r="N694" s="35"/>
      <c r="O694" s="36" t="s">
        <v>48</v>
      </c>
      <c r="P694" s="36"/>
      <c r="Q694" s="36"/>
      <c r="R694" s="36">
        <v>0</v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40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5000</v>
      </c>
      <c r="H695" s="292"/>
      <c r="I695" s="383" t="s">
        <v>68</v>
      </c>
      <c r="J695" s="384"/>
      <c r="K695" s="295">
        <f>G695</f>
        <v>5000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IF($J$1="July","",Y694)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40"/>
    </row>
    <row r="696" spans="1:27" s="25" customFormat="1" ht="18" customHeight="1" x14ac:dyDescent="0.2">
      <c r="A696" s="279"/>
      <c r="B696" s="312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294" t="s">
        <v>65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85000</v>
      </c>
      <c r="H696" s="277"/>
      <c r="I696" s="377" t="s">
        <v>61</v>
      </c>
      <c r="J696" s="378"/>
      <c r="K696" s="234">
        <f>K694-K695</f>
        <v>65000</v>
      </c>
      <c r="L696" s="304"/>
      <c r="N696" s="35"/>
      <c r="O696" s="36" t="s">
        <v>54</v>
      </c>
      <c r="P696" s="36">
        <v>30</v>
      </c>
      <c r="Q696" s="36">
        <v>0</v>
      </c>
      <c r="R696" s="36">
        <f t="shared" si="171"/>
        <v>0</v>
      </c>
      <c r="S696" s="27"/>
      <c r="T696" s="36" t="s">
        <v>54</v>
      </c>
      <c r="U696" s="64">
        <f>Y695</f>
        <v>0</v>
      </c>
      <c r="V696" s="38">
        <v>100000</v>
      </c>
      <c r="W696" s="64">
        <f t="shared" si="172"/>
        <v>100000</v>
      </c>
      <c r="X696" s="38">
        <v>5000</v>
      </c>
      <c r="Y696" s="64">
        <f t="shared" si="173"/>
        <v>95000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>
        <v>31</v>
      </c>
      <c r="Q697" s="36">
        <v>0</v>
      </c>
      <c r="R697" s="36">
        <v>0</v>
      </c>
      <c r="S697" s="27"/>
      <c r="T697" s="36" t="s">
        <v>50</v>
      </c>
      <c r="U697" s="64">
        <f>Y696</f>
        <v>95000</v>
      </c>
      <c r="V697" s="38"/>
      <c r="W697" s="64">
        <f t="shared" si="172"/>
        <v>95000</v>
      </c>
      <c r="X697" s="38">
        <v>5000</v>
      </c>
      <c r="Y697" s="64">
        <f t="shared" si="173"/>
        <v>90000</v>
      </c>
      <c r="Z697" s="40"/>
    </row>
    <row r="698" spans="1:27" s="25" customFormat="1" ht="18" customHeight="1" x14ac:dyDescent="0.2">
      <c r="A698" s="279"/>
      <c r="B698" s="396" t="s">
        <v>82</v>
      </c>
      <c r="C698" s="396"/>
      <c r="D698" s="396"/>
      <c r="E698" s="396"/>
      <c r="F698" s="396"/>
      <c r="G698" s="396"/>
      <c r="H698" s="396"/>
      <c r="I698" s="396"/>
      <c r="J698" s="396"/>
      <c r="K698" s="396"/>
      <c r="L698" s="291"/>
      <c r="N698" s="35"/>
      <c r="O698" s="36" t="s">
        <v>55</v>
      </c>
      <c r="P698" s="36">
        <v>30</v>
      </c>
      <c r="Q698" s="36">
        <v>0</v>
      </c>
      <c r="R698" s="36">
        <v>0</v>
      </c>
      <c r="S698" s="27"/>
      <c r="T698" s="36" t="s">
        <v>55</v>
      </c>
      <c r="U698" s="64">
        <f>Y697</f>
        <v>90000</v>
      </c>
      <c r="V698" s="38"/>
      <c r="W698" s="64">
        <f t="shared" si="172"/>
        <v>90000</v>
      </c>
      <c r="X698" s="38">
        <v>5000</v>
      </c>
      <c r="Y698" s="64">
        <f t="shared" si="173"/>
        <v>85000</v>
      </c>
      <c r="Z698" s="40"/>
    </row>
    <row r="699" spans="1:27" s="25" customFormat="1" ht="18" customHeight="1" x14ac:dyDescent="0.2">
      <c r="A699" s="279"/>
      <c r="B699" s="396"/>
      <c r="C699" s="396"/>
      <c r="D699" s="396"/>
      <c r="E699" s="396"/>
      <c r="F699" s="396"/>
      <c r="G699" s="396"/>
      <c r="H699" s="396"/>
      <c r="I699" s="396"/>
      <c r="J699" s="396"/>
      <c r="K699" s="396"/>
      <c r="L699" s="291"/>
      <c r="N699" s="35"/>
      <c r="O699" s="36" t="s">
        <v>56</v>
      </c>
      <c r="P699" s="36"/>
      <c r="Q699" s="36"/>
      <c r="R699" s="36">
        <v>0</v>
      </c>
      <c r="S699" s="27"/>
      <c r="T699" s="36" t="s">
        <v>56</v>
      </c>
      <c r="U699" s="64">
        <v>0</v>
      </c>
      <c r="V699" s="38"/>
      <c r="W699" s="64">
        <f t="shared" si="172"/>
        <v>0</v>
      </c>
      <c r="X699" s="38"/>
      <c r="Y699" s="64">
        <f t="shared" si="173"/>
        <v>0</v>
      </c>
      <c r="Z699" s="40"/>
    </row>
    <row r="700" spans="1:27" s="25" customFormat="1" ht="18" customHeight="1" thickBot="1" x14ac:dyDescent="0.25">
      <c r="A700" s="305"/>
      <c r="B700" s="313"/>
      <c r="C700" s="313"/>
      <c r="D700" s="313"/>
      <c r="E700" s="313"/>
      <c r="F700" s="313"/>
      <c r="G700" s="313"/>
      <c r="H700" s="313"/>
      <c r="I700" s="313"/>
      <c r="J700" s="313"/>
      <c r="K700" s="313"/>
      <c r="L700" s="307"/>
      <c r="N700" s="41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3"/>
    </row>
    <row r="701" spans="1:27" s="25" customFormat="1" ht="18" customHeight="1" thickBot="1" x14ac:dyDescent="0.25">
      <c r="A701" s="277"/>
      <c r="B701" s="277"/>
      <c r="C701" s="277"/>
      <c r="D701" s="277"/>
      <c r="E701" s="277"/>
      <c r="F701" s="277"/>
      <c r="G701" s="277"/>
      <c r="H701" s="277"/>
      <c r="I701" s="277"/>
      <c r="J701" s="277"/>
      <c r="K701" s="277"/>
      <c r="L701" s="27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x14ac:dyDescent="0.2">
      <c r="A702" s="397" t="s">
        <v>38</v>
      </c>
      <c r="B702" s="398"/>
      <c r="C702" s="398"/>
      <c r="D702" s="398"/>
      <c r="E702" s="398"/>
      <c r="F702" s="398"/>
      <c r="G702" s="398"/>
      <c r="H702" s="398"/>
      <c r="I702" s="398"/>
      <c r="J702" s="398"/>
      <c r="K702" s="398"/>
      <c r="L702" s="399"/>
      <c r="M702" s="24"/>
      <c r="N702" s="28"/>
      <c r="O702" s="380" t="s">
        <v>40</v>
      </c>
      <c r="P702" s="381"/>
      <c r="Q702" s="381"/>
      <c r="R702" s="382"/>
      <c r="S702" s="29"/>
      <c r="T702" s="380" t="s">
        <v>41</v>
      </c>
      <c r="U702" s="381"/>
      <c r="V702" s="381"/>
      <c r="W702" s="381"/>
      <c r="X702" s="381"/>
      <c r="Y702" s="382"/>
      <c r="Z702" s="30"/>
      <c r="AA702" s="24"/>
    </row>
    <row r="703" spans="1:27" s="25" customFormat="1" ht="18" customHeight="1" x14ac:dyDescent="0.2">
      <c r="A703" s="279"/>
      <c r="B703" s="277"/>
      <c r="C703" s="391" t="s">
        <v>213</v>
      </c>
      <c r="D703" s="391"/>
      <c r="E703" s="391"/>
      <c r="F703" s="391"/>
      <c r="G703" s="280" t="str">
        <f>$J$1</f>
        <v>November</v>
      </c>
      <c r="H703" s="390">
        <f>$K$1</f>
        <v>2023</v>
      </c>
      <c r="I703" s="390"/>
      <c r="J703" s="277"/>
      <c r="K703" s="281"/>
      <c r="L703" s="282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34"/>
      <c r="AA703" s="26"/>
    </row>
    <row r="704" spans="1:27" s="25" customFormat="1" ht="18" customHeight="1" x14ac:dyDescent="0.2">
      <c r="A704" s="279"/>
      <c r="B704" s="277"/>
      <c r="C704" s="277"/>
      <c r="D704" s="283"/>
      <c r="E704" s="283"/>
      <c r="F704" s="283"/>
      <c r="G704" s="283"/>
      <c r="H704" s="283"/>
      <c r="I704" s="277"/>
      <c r="J704" s="284" t="s">
        <v>1</v>
      </c>
      <c r="K704" s="285"/>
      <c r="L704" s="286"/>
      <c r="N704" s="35"/>
      <c r="O704" s="36" t="s">
        <v>43</v>
      </c>
      <c r="P704" s="36"/>
      <c r="Q704" s="36"/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34"/>
    </row>
    <row r="705" spans="1:27" s="25" customFormat="1" ht="18" customHeight="1" x14ac:dyDescent="0.2">
      <c r="A705" s="279"/>
      <c r="B705" s="277" t="s">
        <v>0</v>
      </c>
      <c r="C705" s="276">
        <v>15</v>
      </c>
      <c r="D705" s="277"/>
      <c r="E705" s="277"/>
      <c r="F705" s="277"/>
      <c r="G705" s="277"/>
      <c r="H705" s="287"/>
      <c r="I705" s="283"/>
      <c r="J705" s="277"/>
      <c r="K705" s="277"/>
      <c r="L705" s="288"/>
      <c r="M705" s="24"/>
      <c r="N705" s="39"/>
      <c r="O705" s="36" t="s">
        <v>69</v>
      </c>
      <c r="P705" s="36"/>
      <c r="Q705" s="36"/>
      <c r="R705" s="36" t="str">
        <f>IF(Q705="","",R704-Q705)</f>
        <v/>
      </c>
      <c r="S705" s="27"/>
      <c r="T705" s="36" t="s">
        <v>69</v>
      </c>
      <c r="U705" s="64">
        <f>Y704</f>
        <v>0</v>
      </c>
      <c r="V705" s="38"/>
      <c r="W705" s="64">
        <f>IF(U705="","",U705+V705)</f>
        <v>0</v>
      </c>
      <c r="X705" s="38"/>
      <c r="Y705" s="64">
        <f>IF(W705="","",W705-X705)</f>
        <v>0</v>
      </c>
      <c r="Z705" s="40"/>
      <c r="AA705" s="24"/>
    </row>
    <row r="706" spans="1:27" s="25" customFormat="1" ht="18" customHeight="1" x14ac:dyDescent="0.2">
      <c r="A706" s="279"/>
      <c r="B706" s="289" t="s">
        <v>39</v>
      </c>
      <c r="C706" s="290"/>
      <c r="D706" s="277"/>
      <c r="E706" s="277"/>
      <c r="F706" s="395" t="s">
        <v>41</v>
      </c>
      <c r="G706" s="395"/>
      <c r="H706" s="277"/>
      <c r="I706" s="395" t="s">
        <v>42</v>
      </c>
      <c r="J706" s="395"/>
      <c r="K706" s="395"/>
      <c r="L706" s="291"/>
      <c r="N706" s="35"/>
      <c r="O706" s="36" t="s">
        <v>44</v>
      </c>
      <c r="P706" s="36"/>
      <c r="Q706" s="36"/>
      <c r="R706" s="36" t="str">
        <f t="shared" ref="R706:R715" si="174">IF(Q706="","",R705-Q706)</f>
        <v/>
      </c>
      <c r="S706" s="27"/>
      <c r="T706" s="36" t="s">
        <v>44</v>
      </c>
      <c r="U706" s="64">
        <f>IF($J$1="April",Y705,Y705)</f>
        <v>0</v>
      </c>
      <c r="V706" s="38"/>
      <c r="W706" s="64">
        <f t="shared" ref="W706:W715" si="175">IF(U706="","",U706+V706)</f>
        <v>0</v>
      </c>
      <c r="X706" s="38"/>
      <c r="Y706" s="64">
        <f t="shared" ref="Y706:Y715" si="176">IF(W706="","",W706-X706)</f>
        <v>0</v>
      </c>
      <c r="Z706" s="40"/>
    </row>
    <row r="707" spans="1:27" s="25" customFormat="1" ht="18" customHeight="1" x14ac:dyDescent="0.2">
      <c r="A707" s="279"/>
      <c r="B707" s="277"/>
      <c r="C707" s="277"/>
      <c r="D707" s="277"/>
      <c r="E707" s="277"/>
      <c r="F707" s="277"/>
      <c r="G707" s="277"/>
      <c r="H707" s="292"/>
      <c r="I707" s="277"/>
      <c r="J707" s="277"/>
      <c r="K707" s="277"/>
      <c r="L707" s="293"/>
      <c r="N707" s="35"/>
      <c r="O707" s="36" t="s">
        <v>45</v>
      </c>
      <c r="P707" s="36"/>
      <c r="Q707" s="36"/>
      <c r="R707" s="36" t="str">
        <f t="shared" si="174"/>
        <v/>
      </c>
      <c r="S707" s="27"/>
      <c r="T707" s="36" t="s">
        <v>45</v>
      </c>
      <c r="U707" s="64">
        <f>IF($J$1="April",Y706,Y706)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88" t="s">
        <v>40</v>
      </c>
      <c r="C708" s="389"/>
      <c r="D708" s="277"/>
      <c r="E708" s="277"/>
      <c r="F708" s="294" t="s">
        <v>62</v>
      </c>
      <c r="G708" s="295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292"/>
      <c r="I708" s="296"/>
      <c r="J708" s="297" t="s">
        <v>59</v>
      </c>
      <c r="K708" s="298">
        <f>K704/$K$2*I708</f>
        <v>0</v>
      </c>
      <c r="L708" s="299"/>
      <c r="N708" s="35"/>
      <c r="O708" s="36" t="s">
        <v>46</v>
      </c>
      <c r="P708" s="36"/>
      <c r="Q708" s="36"/>
      <c r="R708" s="36" t="str">
        <f t="shared" si="174"/>
        <v/>
      </c>
      <c r="S708" s="27"/>
      <c r="T708" s="36" t="s">
        <v>46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300"/>
      <c r="C709" s="300"/>
      <c r="D709" s="277"/>
      <c r="E709" s="277"/>
      <c r="F709" s="294" t="s">
        <v>18</v>
      </c>
      <c r="G709" s="295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92"/>
      <c r="I709" s="314"/>
      <c r="J709" s="297" t="s">
        <v>60</v>
      </c>
      <c r="K709" s="301">
        <f>K704/$K$2/8*I709</f>
        <v>0</v>
      </c>
      <c r="L709" s="302"/>
      <c r="N709" s="35"/>
      <c r="O709" s="36" t="s">
        <v>47</v>
      </c>
      <c r="P709" s="36"/>
      <c r="Q709" s="36"/>
      <c r="R709" s="36" t="str">
        <f t="shared" si="174"/>
        <v/>
      </c>
      <c r="S709" s="27"/>
      <c r="T709" s="36" t="s">
        <v>47</v>
      </c>
      <c r="U709" s="64">
        <f>IF($J$1="May",Y708,Y708)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7</v>
      </c>
      <c r="C710" s="300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7"/>
      <c r="E710" s="277"/>
      <c r="F710" s="294" t="s">
        <v>63</v>
      </c>
      <c r="G710" s="295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292"/>
      <c r="I710" s="383" t="s">
        <v>67</v>
      </c>
      <c r="J710" s="384"/>
      <c r="K710" s="301">
        <f>K708+K709</f>
        <v>0</v>
      </c>
      <c r="L710" s="302"/>
      <c r="N710" s="35"/>
      <c r="O710" s="36" t="s">
        <v>48</v>
      </c>
      <c r="P710" s="36"/>
      <c r="Q710" s="36"/>
      <c r="R710" s="36" t="str">
        <f t="shared" si="174"/>
        <v/>
      </c>
      <c r="S710" s="27"/>
      <c r="T710" s="36" t="s">
        <v>48</v>
      </c>
      <c r="U710" s="64" t="str">
        <f>IF($J$1="July",Y709,"")</f>
        <v/>
      </c>
      <c r="V710" s="38"/>
      <c r="W710" s="64" t="str">
        <f t="shared" si="175"/>
        <v/>
      </c>
      <c r="X710" s="38"/>
      <c r="Y710" s="64" t="str">
        <f t="shared" si="176"/>
        <v/>
      </c>
      <c r="Z710" s="40"/>
    </row>
    <row r="711" spans="1:27" s="25" customFormat="1" ht="18" customHeight="1" x14ac:dyDescent="0.2">
      <c r="A711" s="279"/>
      <c r="B711" s="294" t="s">
        <v>6</v>
      </c>
      <c r="C711" s="300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7"/>
      <c r="E711" s="277"/>
      <c r="F711" s="294" t="s">
        <v>19</v>
      </c>
      <c r="G711" s="295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92"/>
      <c r="I711" s="383" t="s">
        <v>68</v>
      </c>
      <c r="J711" s="384"/>
      <c r="K711" s="295">
        <f>G711</f>
        <v>0</v>
      </c>
      <c r="L711" s="303"/>
      <c r="N711" s="35"/>
      <c r="O711" s="36" t="s">
        <v>49</v>
      </c>
      <c r="P711" s="36"/>
      <c r="Q711" s="36"/>
      <c r="R711" s="36" t="str">
        <f t="shared" si="174"/>
        <v/>
      </c>
      <c r="S711" s="27"/>
      <c r="T711" s="36" t="s">
        <v>49</v>
      </c>
      <c r="U711" s="64" t="str">
        <f>IF($J$1="August",Y710,"")</f>
        <v/>
      </c>
      <c r="V711" s="38"/>
      <c r="W711" s="64" t="str">
        <f t="shared" si="175"/>
        <v/>
      </c>
      <c r="X711" s="38"/>
      <c r="Y711" s="64" t="str">
        <f t="shared" si="176"/>
        <v/>
      </c>
      <c r="Z711" s="40"/>
    </row>
    <row r="712" spans="1:27" s="25" customFormat="1" ht="18" customHeight="1" x14ac:dyDescent="0.2">
      <c r="A712" s="279"/>
      <c r="B712" s="312" t="s">
        <v>66</v>
      </c>
      <c r="C712" s="300" t="str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/>
      </c>
      <c r="D712" s="277"/>
      <c r="E712" s="277"/>
      <c r="F712" s="294" t="s">
        <v>65</v>
      </c>
      <c r="G712" s="295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277"/>
      <c r="I712" s="377" t="s">
        <v>61</v>
      </c>
      <c r="J712" s="378"/>
      <c r="K712" s="234">
        <f>K710-K711</f>
        <v>0</v>
      </c>
      <c r="L712" s="304"/>
      <c r="N712" s="35"/>
      <c r="O712" s="36" t="s">
        <v>54</v>
      </c>
      <c r="P712" s="36"/>
      <c r="Q712" s="36"/>
      <c r="R712" s="36" t="str">
        <f t="shared" si="174"/>
        <v/>
      </c>
      <c r="S712" s="27"/>
      <c r="T712" s="36" t="s">
        <v>54</v>
      </c>
      <c r="U712" s="64" t="str">
        <f>IF($J$1="Sept",Y711,"")</f>
        <v/>
      </c>
      <c r="V712" s="38"/>
      <c r="W712" s="64" t="str">
        <f t="shared" si="175"/>
        <v/>
      </c>
      <c r="X712" s="38"/>
      <c r="Y712" s="64" t="str">
        <f t="shared" si="176"/>
        <v/>
      </c>
      <c r="Z712" s="40"/>
    </row>
    <row r="713" spans="1:27" s="25" customFormat="1" ht="18" customHeight="1" x14ac:dyDescent="0.2">
      <c r="A713" s="279"/>
      <c r="B713" s="277"/>
      <c r="C713" s="277"/>
      <c r="D713" s="277"/>
      <c r="E713" s="277"/>
      <c r="F713" s="277"/>
      <c r="G713" s="277"/>
      <c r="H713" s="277"/>
      <c r="I713" s="277"/>
      <c r="J713" s="277"/>
      <c r="K713" s="277"/>
      <c r="L713" s="291"/>
      <c r="N713" s="35"/>
      <c r="O713" s="36" t="s">
        <v>50</v>
      </c>
      <c r="P713" s="36"/>
      <c r="Q713" s="36"/>
      <c r="R713" s="36" t="str">
        <f t="shared" si="174"/>
        <v/>
      </c>
      <c r="S713" s="27"/>
      <c r="T713" s="36" t="s">
        <v>50</v>
      </c>
      <c r="U713" s="64" t="str">
        <f>IF($J$1="October",Y712,"")</f>
        <v/>
      </c>
      <c r="V713" s="38"/>
      <c r="W713" s="64" t="str">
        <f t="shared" si="175"/>
        <v/>
      </c>
      <c r="X713" s="38"/>
      <c r="Y713" s="64" t="str">
        <f t="shared" si="176"/>
        <v/>
      </c>
      <c r="Z713" s="40"/>
    </row>
    <row r="714" spans="1:27" s="25" customFormat="1" ht="18" customHeight="1" x14ac:dyDescent="0.2">
      <c r="A714" s="279"/>
      <c r="B714" s="396" t="s">
        <v>82</v>
      </c>
      <c r="C714" s="396"/>
      <c r="D714" s="396"/>
      <c r="E714" s="396"/>
      <c r="F714" s="396"/>
      <c r="G714" s="396"/>
      <c r="H714" s="396"/>
      <c r="I714" s="396"/>
      <c r="J714" s="396"/>
      <c r="K714" s="396"/>
      <c r="L714" s="291"/>
      <c r="N714" s="35"/>
      <c r="O714" s="36" t="s">
        <v>55</v>
      </c>
      <c r="P714" s="36"/>
      <c r="Q714" s="36"/>
      <c r="R714" s="36" t="str">
        <f t="shared" si="174"/>
        <v/>
      </c>
      <c r="S714" s="27"/>
      <c r="T714" s="36" t="s">
        <v>55</v>
      </c>
      <c r="U714" s="64" t="str">
        <f>IF($J$1="November",Y713,"")</f>
        <v/>
      </c>
      <c r="V714" s="38"/>
      <c r="W714" s="64" t="str">
        <f t="shared" si="175"/>
        <v/>
      </c>
      <c r="X714" s="38"/>
      <c r="Y714" s="64" t="str">
        <f t="shared" si="176"/>
        <v/>
      </c>
      <c r="Z714" s="40"/>
    </row>
    <row r="715" spans="1:27" s="25" customFormat="1" ht="18" customHeight="1" x14ac:dyDescent="0.2">
      <c r="A715" s="279"/>
      <c r="B715" s="396"/>
      <c r="C715" s="396"/>
      <c r="D715" s="396"/>
      <c r="E715" s="396"/>
      <c r="F715" s="396"/>
      <c r="G715" s="396"/>
      <c r="H715" s="396"/>
      <c r="I715" s="396"/>
      <c r="J715" s="396"/>
      <c r="K715" s="396"/>
      <c r="L715" s="291"/>
      <c r="N715" s="35"/>
      <c r="O715" s="36" t="s">
        <v>56</v>
      </c>
      <c r="P715" s="36"/>
      <c r="Q715" s="36"/>
      <c r="R715" s="36" t="str">
        <f t="shared" si="174"/>
        <v/>
      </c>
      <c r="S715" s="27"/>
      <c r="T715" s="36" t="s">
        <v>56</v>
      </c>
      <c r="U715" s="64" t="str">
        <f>IF($J$1="Dec",Y714,"")</f>
        <v/>
      </c>
      <c r="V715" s="38"/>
      <c r="W715" s="64" t="str">
        <f t="shared" si="175"/>
        <v/>
      </c>
      <c r="X715" s="38"/>
      <c r="Y715" s="64" t="str">
        <f t="shared" si="176"/>
        <v/>
      </c>
      <c r="Z715" s="40"/>
    </row>
    <row r="716" spans="1:27" s="25" customFormat="1" ht="18" customHeight="1" thickBot="1" x14ac:dyDescent="0.25">
      <c r="A716" s="305"/>
      <c r="B716" s="313"/>
      <c r="C716" s="313"/>
      <c r="D716" s="313"/>
      <c r="E716" s="313"/>
      <c r="F716" s="313"/>
      <c r="G716" s="313"/>
      <c r="H716" s="313"/>
      <c r="I716" s="313"/>
      <c r="J716" s="313"/>
      <c r="K716" s="313"/>
      <c r="L716" s="307"/>
      <c r="N716" s="41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3"/>
    </row>
    <row r="717" spans="1:27" s="25" customFormat="1" ht="18" customHeight="1" thickBot="1" x14ac:dyDescent="0.25">
      <c r="A717" s="277"/>
      <c r="B717" s="277"/>
      <c r="C717" s="277"/>
      <c r="D717" s="277"/>
      <c r="E717" s="277"/>
      <c r="F717" s="277"/>
      <c r="G717" s="277"/>
      <c r="H717" s="277"/>
      <c r="I717" s="277"/>
      <c r="J717" s="277"/>
      <c r="K717" s="277"/>
      <c r="L717" s="27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7" s="25" customFormat="1" ht="18" customHeight="1" thickBot="1" x14ac:dyDescent="0.25">
      <c r="A718" s="385" t="s">
        <v>38</v>
      </c>
      <c r="B718" s="386"/>
      <c r="C718" s="386"/>
      <c r="D718" s="386"/>
      <c r="E718" s="386"/>
      <c r="F718" s="386"/>
      <c r="G718" s="386"/>
      <c r="H718" s="386"/>
      <c r="I718" s="386"/>
      <c r="J718" s="386"/>
      <c r="K718" s="386"/>
      <c r="L718" s="387"/>
      <c r="M718" s="24"/>
      <c r="N718" s="28"/>
      <c r="O718" s="380" t="s">
        <v>40</v>
      </c>
      <c r="P718" s="381"/>
      <c r="Q718" s="381"/>
      <c r="R718" s="382"/>
      <c r="S718" s="29"/>
      <c r="T718" s="380" t="s">
        <v>41</v>
      </c>
      <c r="U718" s="381"/>
      <c r="V718" s="381"/>
      <c r="W718" s="381"/>
      <c r="X718" s="381"/>
      <c r="Y718" s="382"/>
      <c r="Z718" s="30"/>
      <c r="AA718" s="24"/>
    </row>
    <row r="719" spans="1:27" s="25" customFormat="1" ht="18" customHeight="1" x14ac:dyDescent="0.2">
      <c r="A719" s="279"/>
      <c r="B719" s="277"/>
      <c r="C719" s="391" t="s">
        <v>213</v>
      </c>
      <c r="D719" s="391"/>
      <c r="E719" s="391"/>
      <c r="F719" s="391"/>
      <c r="G719" s="280" t="str">
        <f>$J$1</f>
        <v>November</v>
      </c>
      <c r="H719" s="390">
        <f>$K$1</f>
        <v>2023</v>
      </c>
      <c r="I719" s="390"/>
      <c r="J719" s="277"/>
      <c r="K719" s="281"/>
      <c r="L719" s="282"/>
      <c r="M719" s="26"/>
      <c r="N719" s="31"/>
      <c r="O719" s="32" t="s">
        <v>51</v>
      </c>
      <c r="P719" s="32" t="s">
        <v>7</v>
      </c>
      <c r="Q719" s="32" t="s">
        <v>6</v>
      </c>
      <c r="R719" s="32" t="s">
        <v>52</v>
      </c>
      <c r="S719" s="33"/>
      <c r="T719" s="32" t="s">
        <v>51</v>
      </c>
      <c r="U719" s="32" t="s">
        <v>53</v>
      </c>
      <c r="V719" s="32" t="s">
        <v>18</v>
      </c>
      <c r="W719" s="32" t="s">
        <v>17</v>
      </c>
      <c r="X719" s="32" t="s">
        <v>19</v>
      </c>
      <c r="Y719" s="32" t="s">
        <v>57</v>
      </c>
      <c r="Z719" s="34"/>
      <c r="AA719" s="26"/>
    </row>
    <row r="720" spans="1:27" s="25" customFormat="1" ht="18" customHeight="1" x14ac:dyDescent="0.2">
      <c r="A720" s="279"/>
      <c r="B720" s="277"/>
      <c r="C720" s="277"/>
      <c r="D720" s="283"/>
      <c r="E720" s="283"/>
      <c r="F720" s="283"/>
      <c r="G720" s="283"/>
      <c r="H720" s="283"/>
      <c r="I720" s="277"/>
      <c r="J720" s="284" t="s">
        <v>1</v>
      </c>
      <c r="K720" s="285">
        <f>30000</f>
        <v>30000</v>
      </c>
      <c r="L720" s="286"/>
      <c r="N720" s="35"/>
      <c r="O720" s="36" t="s">
        <v>43</v>
      </c>
      <c r="P720" s="36">
        <v>31</v>
      </c>
      <c r="Q720" s="36">
        <v>0</v>
      </c>
      <c r="R720" s="36">
        <v>0</v>
      </c>
      <c r="S720" s="37"/>
      <c r="T720" s="36" t="s">
        <v>43</v>
      </c>
      <c r="U720" s="38">
        <v>26000</v>
      </c>
      <c r="V720" s="38"/>
      <c r="W720" s="38">
        <f>V720+U720</f>
        <v>26000</v>
      </c>
      <c r="X720" s="38">
        <v>5000</v>
      </c>
      <c r="Y720" s="38">
        <f>W720-X720</f>
        <v>21000</v>
      </c>
      <c r="Z720" s="34"/>
    </row>
    <row r="721" spans="1:27" s="25" customFormat="1" ht="18" customHeight="1" x14ac:dyDescent="0.2">
      <c r="A721" s="279"/>
      <c r="B721" s="277" t="s">
        <v>0</v>
      </c>
      <c r="C721" s="276" t="s">
        <v>171</v>
      </c>
      <c r="D721" s="277"/>
      <c r="E721" s="277"/>
      <c r="F721" s="277"/>
      <c r="G721" s="277"/>
      <c r="H721" s="287"/>
      <c r="I721" s="283"/>
      <c r="J721" s="277"/>
      <c r="K721" s="277"/>
      <c r="L721" s="288"/>
      <c r="M721" s="24"/>
      <c r="N721" s="39"/>
      <c r="O721" s="36" t="s">
        <v>69</v>
      </c>
      <c r="P721" s="36">
        <v>26</v>
      </c>
      <c r="Q721" s="36">
        <v>2</v>
      </c>
      <c r="R721" s="36">
        <v>0</v>
      </c>
      <c r="S721" s="27"/>
      <c r="T721" s="36" t="s">
        <v>69</v>
      </c>
      <c r="U721" s="64">
        <f>IF($J$1="January","",Y720)</f>
        <v>21000</v>
      </c>
      <c r="V721" s="38"/>
      <c r="W721" s="64">
        <f>IF(U721="","",U721+V721)</f>
        <v>21000</v>
      </c>
      <c r="X721" s="38">
        <v>5000</v>
      </c>
      <c r="Y721" s="64">
        <f>IF(W721="","",W721-X721)</f>
        <v>16000</v>
      </c>
      <c r="Z721" s="40"/>
      <c r="AA721" s="24"/>
    </row>
    <row r="722" spans="1:27" s="25" customFormat="1" ht="18" customHeight="1" x14ac:dyDescent="0.2">
      <c r="A722" s="279"/>
      <c r="B722" s="289" t="s">
        <v>39</v>
      </c>
      <c r="C722" s="290"/>
      <c r="D722" s="277"/>
      <c r="E722" s="277"/>
      <c r="F722" s="377" t="s">
        <v>41</v>
      </c>
      <c r="G722" s="378"/>
      <c r="H722" s="277"/>
      <c r="I722" s="377" t="s">
        <v>42</v>
      </c>
      <c r="J722" s="379"/>
      <c r="K722" s="378"/>
      <c r="L722" s="291"/>
      <c r="N722" s="35"/>
      <c r="O722" s="36" t="s">
        <v>44</v>
      </c>
      <c r="P722" s="36">
        <v>28</v>
      </c>
      <c r="Q722" s="36">
        <v>3</v>
      </c>
      <c r="R722" s="36">
        <v>0</v>
      </c>
      <c r="S722" s="27"/>
      <c r="T722" s="36" t="s">
        <v>44</v>
      </c>
      <c r="U722" s="64">
        <f>IF($J$1="February","",Y721)</f>
        <v>16000</v>
      </c>
      <c r="V722" s="38">
        <v>40000</v>
      </c>
      <c r="W722" s="64">
        <f t="shared" ref="W722:W731" si="177">IF(U722="","",U722+V722)</f>
        <v>56000</v>
      </c>
      <c r="X722" s="38">
        <v>5000</v>
      </c>
      <c r="Y722" s="64">
        <f t="shared" ref="Y722:Y731" si="178">IF(W722="","",W722-X722)</f>
        <v>51000</v>
      </c>
      <c r="Z722" s="40"/>
    </row>
    <row r="723" spans="1:27" s="25" customFormat="1" ht="18" customHeight="1" x14ac:dyDescent="0.2">
      <c r="A723" s="279"/>
      <c r="B723" s="277"/>
      <c r="C723" s="277"/>
      <c r="D723" s="277"/>
      <c r="E723" s="277"/>
      <c r="F723" s="277"/>
      <c r="G723" s="277"/>
      <c r="H723" s="292"/>
      <c r="I723" s="277"/>
      <c r="J723" s="277"/>
      <c r="K723" s="277"/>
      <c r="L723" s="293"/>
      <c r="N723" s="35"/>
      <c r="O723" s="36" t="s">
        <v>45</v>
      </c>
      <c r="P723" s="36">
        <v>29</v>
      </c>
      <c r="Q723" s="36">
        <v>1</v>
      </c>
      <c r="R723" s="36">
        <f t="shared" ref="R723:R731" si="179">IF(Q723="","",R722-Q723)</f>
        <v>-1</v>
      </c>
      <c r="S723" s="27"/>
      <c r="T723" s="36" t="s">
        <v>45</v>
      </c>
      <c r="U723" s="64">
        <f>IF($J$1="March","",Y722)</f>
        <v>51000</v>
      </c>
      <c r="V723" s="38"/>
      <c r="W723" s="64">
        <f t="shared" si="177"/>
        <v>51000</v>
      </c>
      <c r="X723" s="38">
        <v>5000</v>
      </c>
      <c r="Y723" s="64">
        <f t="shared" si="178"/>
        <v>46000</v>
      </c>
      <c r="Z723" s="40"/>
    </row>
    <row r="724" spans="1:27" s="25" customFormat="1" ht="18" customHeight="1" x14ac:dyDescent="0.2">
      <c r="A724" s="279"/>
      <c r="B724" s="388" t="s">
        <v>40</v>
      </c>
      <c r="C724" s="389"/>
      <c r="D724" s="277"/>
      <c r="E724" s="277"/>
      <c r="F724" s="294" t="s">
        <v>62</v>
      </c>
      <c r="G724" s="295" t="str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/>
      </c>
      <c r="H724" s="292"/>
      <c r="I724" s="296">
        <f>IF(C728&gt;0,$K$2,C726)</f>
        <v>0</v>
      </c>
      <c r="J724" s="297" t="s">
        <v>59</v>
      </c>
      <c r="K724" s="298">
        <f>K720/$K$2*I724</f>
        <v>0</v>
      </c>
      <c r="L724" s="299"/>
      <c r="N724" s="35"/>
      <c r="O724" s="36" t="s">
        <v>46</v>
      </c>
      <c r="P724" s="36">
        <v>29</v>
      </c>
      <c r="Q724" s="36">
        <v>2</v>
      </c>
      <c r="R724" s="36">
        <v>0</v>
      </c>
      <c r="S724" s="27"/>
      <c r="T724" s="36" t="s">
        <v>46</v>
      </c>
      <c r="U724" s="64">
        <f>Y723</f>
        <v>46000</v>
      </c>
      <c r="V724" s="38">
        <v>9000</v>
      </c>
      <c r="W724" s="64">
        <f t="shared" si="177"/>
        <v>55000</v>
      </c>
      <c r="X724" s="38">
        <v>10000</v>
      </c>
      <c r="Y724" s="64">
        <f t="shared" si="178"/>
        <v>45000</v>
      </c>
      <c r="Z724" s="40"/>
    </row>
    <row r="725" spans="1:27" s="25" customFormat="1" ht="18" customHeight="1" x14ac:dyDescent="0.2">
      <c r="A725" s="279"/>
      <c r="B725" s="300"/>
      <c r="C725" s="300"/>
      <c r="D725" s="277"/>
      <c r="E725" s="277"/>
      <c r="F725" s="294" t="s">
        <v>18</v>
      </c>
      <c r="G725" s="295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292"/>
      <c r="I725" s="296">
        <v>98</v>
      </c>
      <c r="J725" s="297" t="s">
        <v>60</v>
      </c>
      <c r="K725" s="301">
        <f>K720/$K$2/8*I725</f>
        <v>12250</v>
      </c>
      <c r="L725" s="302"/>
      <c r="N725" s="35"/>
      <c r="O725" s="36" t="s">
        <v>47</v>
      </c>
      <c r="P725" s="36"/>
      <c r="Q725" s="36"/>
      <c r="R725" s="36">
        <v>0</v>
      </c>
      <c r="S725" s="27"/>
      <c r="T725" s="36" t="s">
        <v>47</v>
      </c>
      <c r="U725" s="64">
        <f>Y724</f>
        <v>45000</v>
      </c>
      <c r="V725" s="38"/>
      <c r="W725" s="64">
        <f t="shared" si="177"/>
        <v>45000</v>
      </c>
      <c r="X725" s="38"/>
      <c r="Y725" s="64">
        <f t="shared" si="178"/>
        <v>45000</v>
      </c>
      <c r="Z725" s="40"/>
    </row>
    <row r="726" spans="1:27" s="25" customFormat="1" ht="18" customHeight="1" x14ac:dyDescent="0.2">
      <c r="A726" s="279"/>
      <c r="B726" s="294" t="s">
        <v>7</v>
      </c>
      <c r="C726" s="300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0</v>
      </c>
      <c r="D726" s="277"/>
      <c r="E726" s="277"/>
      <c r="F726" s="294" t="s">
        <v>63</v>
      </c>
      <c r="G726" s="295" t="str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/>
      </c>
      <c r="H726" s="292"/>
      <c r="I726" s="383" t="s">
        <v>67</v>
      </c>
      <c r="J726" s="384"/>
      <c r="K726" s="301">
        <f>K724+K725</f>
        <v>12250</v>
      </c>
      <c r="L726" s="302"/>
      <c r="N726" s="35"/>
      <c r="O726" s="36" t="s">
        <v>48</v>
      </c>
      <c r="P726" s="36"/>
      <c r="Q726" s="36"/>
      <c r="R726" s="36" t="str">
        <f t="shared" si="179"/>
        <v/>
      </c>
      <c r="S726" s="27"/>
      <c r="T726" s="36" t="s">
        <v>48</v>
      </c>
      <c r="U726" s="64">
        <f>Y725</f>
        <v>45000</v>
      </c>
      <c r="V726" s="38"/>
      <c r="W726" s="64">
        <f t="shared" si="177"/>
        <v>45000</v>
      </c>
      <c r="X726" s="38"/>
      <c r="Y726" s="64">
        <f t="shared" si="178"/>
        <v>45000</v>
      </c>
      <c r="Z726" s="40"/>
    </row>
    <row r="727" spans="1:27" s="25" customFormat="1" ht="18" customHeight="1" x14ac:dyDescent="0.2">
      <c r="A727" s="279"/>
      <c r="B727" s="294" t="s">
        <v>6</v>
      </c>
      <c r="C727" s="300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277"/>
      <c r="E727" s="277"/>
      <c r="F727" s="294" t="s">
        <v>19</v>
      </c>
      <c r="G727" s="295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0</v>
      </c>
      <c r="H727" s="292"/>
      <c r="I727" s="383" t="s">
        <v>68</v>
      </c>
      <c r="J727" s="384"/>
      <c r="K727" s="295">
        <f>G727</f>
        <v>0</v>
      </c>
      <c r="L727" s="303"/>
      <c r="N727" s="35"/>
      <c r="O727" s="36" t="s">
        <v>49</v>
      </c>
      <c r="P727" s="36"/>
      <c r="Q727" s="36"/>
      <c r="R727" s="36">
        <v>0</v>
      </c>
      <c r="S727" s="27"/>
      <c r="T727" s="36" t="s">
        <v>49</v>
      </c>
      <c r="U727" s="64">
        <f>Y726</f>
        <v>45000</v>
      </c>
      <c r="V727" s="38"/>
      <c r="W727" s="64">
        <f t="shared" si="177"/>
        <v>45000</v>
      </c>
      <c r="X727" s="38"/>
      <c r="Y727" s="64">
        <f t="shared" si="178"/>
        <v>45000</v>
      </c>
      <c r="Z727" s="40"/>
    </row>
    <row r="728" spans="1:27" s="25" customFormat="1" ht="18" customHeight="1" x14ac:dyDescent="0.2">
      <c r="A728" s="279"/>
      <c r="B728" s="309" t="s">
        <v>66</v>
      </c>
      <c r="C728" s="300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>0</v>
      </c>
      <c r="D728" s="277"/>
      <c r="E728" s="277"/>
      <c r="F728" s="309" t="s">
        <v>202</v>
      </c>
      <c r="G728" s="295" t="str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/>
      </c>
      <c r="H728" s="277"/>
      <c r="I728" s="377" t="s">
        <v>61</v>
      </c>
      <c r="J728" s="378"/>
      <c r="K728" s="234"/>
      <c r="L728" s="304"/>
      <c r="N728" s="35"/>
      <c r="O728" s="36" t="s">
        <v>54</v>
      </c>
      <c r="P728" s="36"/>
      <c r="Q728" s="36"/>
      <c r="R728" s="36">
        <v>0</v>
      </c>
      <c r="S728" s="27"/>
      <c r="T728" s="36" t="s">
        <v>54</v>
      </c>
      <c r="U728" s="64" t="str">
        <f>IF($J$1="September",Y727,"")</f>
        <v/>
      </c>
      <c r="V728" s="38"/>
      <c r="W728" s="64" t="str">
        <f t="shared" si="177"/>
        <v/>
      </c>
      <c r="X728" s="38"/>
      <c r="Y728" s="64" t="str">
        <f t="shared" si="178"/>
        <v/>
      </c>
      <c r="Z728" s="40"/>
    </row>
    <row r="729" spans="1:27" s="25" customFormat="1" ht="18" customHeight="1" x14ac:dyDescent="0.2">
      <c r="A729" s="279"/>
      <c r="B729" s="277"/>
      <c r="C729" s="277"/>
      <c r="D729" s="277"/>
      <c r="E729" s="277"/>
      <c r="F729" s="277"/>
      <c r="L729" s="291"/>
      <c r="N729" s="35"/>
      <c r="O729" s="36" t="s">
        <v>50</v>
      </c>
      <c r="P729" s="36"/>
      <c r="Q729" s="36"/>
      <c r="R729" s="36">
        <v>0</v>
      </c>
      <c r="S729" s="27"/>
      <c r="T729" s="36" t="s">
        <v>50</v>
      </c>
      <c r="U729" s="64" t="str">
        <f>IF($J$1="October",Y728,"")</f>
        <v/>
      </c>
      <c r="V729" s="38"/>
      <c r="W729" s="64" t="str">
        <f t="shared" si="177"/>
        <v/>
      </c>
      <c r="X729" s="38"/>
      <c r="Y729" s="64" t="str">
        <f t="shared" si="178"/>
        <v/>
      </c>
      <c r="Z729" s="40"/>
    </row>
    <row r="730" spans="1:27" s="25" customFormat="1" ht="18" customHeight="1" x14ac:dyDescent="0.3">
      <c r="A730" s="279"/>
      <c r="B730" s="275"/>
      <c r="C730" s="275"/>
      <c r="D730" s="275"/>
      <c r="E730" s="275"/>
      <c r="F730" s="275"/>
      <c r="G730" s="275"/>
      <c r="H730" s="275"/>
      <c r="I730" s="275"/>
      <c r="J730" s="275"/>
      <c r="K730" s="275"/>
      <c r="L730" s="291"/>
      <c r="N730" s="35"/>
      <c r="O730" s="36" t="s">
        <v>55</v>
      </c>
      <c r="P730" s="36"/>
      <c r="Q730" s="36"/>
      <c r="R730" s="36">
        <v>0</v>
      </c>
      <c r="S730" s="27"/>
      <c r="T730" s="36" t="s">
        <v>55</v>
      </c>
      <c r="U730" s="64" t="str">
        <f>IF($J$1="October","",Y729)</f>
        <v/>
      </c>
      <c r="V730" s="38"/>
      <c r="W730" s="64" t="str">
        <f t="shared" si="177"/>
        <v/>
      </c>
      <c r="X730" s="38"/>
      <c r="Y730" s="64" t="str">
        <f t="shared" si="178"/>
        <v/>
      </c>
      <c r="Z730" s="40"/>
    </row>
    <row r="731" spans="1:27" s="25" customFormat="1" ht="18" customHeight="1" thickBot="1" x14ac:dyDescent="0.35">
      <c r="A731" s="305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7"/>
      <c r="N731" s="35"/>
      <c r="O731" s="36" t="s">
        <v>56</v>
      </c>
      <c r="P731" s="36"/>
      <c r="Q731" s="36"/>
      <c r="R731" s="36" t="str">
        <f t="shared" si="179"/>
        <v/>
      </c>
      <c r="S731" s="27"/>
      <c r="T731" s="36" t="s">
        <v>56</v>
      </c>
      <c r="U731" s="64" t="str">
        <f>IF($J$1="November","",Y730)</f>
        <v/>
      </c>
      <c r="V731" s="38"/>
      <c r="W731" s="64" t="str">
        <f t="shared" si="177"/>
        <v/>
      </c>
      <c r="X731" s="38"/>
      <c r="Y731" s="64" t="str">
        <f t="shared" si="178"/>
        <v/>
      </c>
      <c r="Z731" s="40"/>
    </row>
    <row r="732" spans="1:27" s="57" customFormat="1" ht="18" customHeight="1" thickBot="1" x14ac:dyDescent="0.25">
      <c r="A732" s="308"/>
      <c r="B732" s="308"/>
      <c r="C732" s="308"/>
      <c r="D732" s="308"/>
      <c r="E732" s="308"/>
      <c r="F732" s="308"/>
      <c r="G732" s="308"/>
      <c r="H732" s="308"/>
      <c r="I732" s="308"/>
      <c r="J732" s="308"/>
      <c r="K732" s="308"/>
      <c r="L732" s="30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7" s="25" customFormat="1" ht="18" customHeight="1" x14ac:dyDescent="0.2">
      <c r="A733" s="400" t="s">
        <v>38</v>
      </c>
      <c r="B733" s="401"/>
      <c r="C733" s="401"/>
      <c r="D733" s="401"/>
      <c r="E733" s="401"/>
      <c r="F733" s="401"/>
      <c r="G733" s="401"/>
      <c r="H733" s="401"/>
      <c r="I733" s="401"/>
      <c r="J733" s="401"/>
      <c r="K733" s="401"/>
      <c r="L733" s="402"/>
      <c r="M733" s="24"/>
      <c r="N733" s="28"/>
      <c r="O733" s="380" t="s">
        <v>40</v>
      </c>
      <c r="P733" s="381"/>
      <c r="Q733" s="381"/>
      <c r="R733" s="382"/>
      <c r="S733" s="29"/>
      <c r="T733" s="380" t="s">
        <v>41</v>
      </c>
      <c r="U733" s="381"/>
      <c r="V733" s="381"/>
      <c r="W733" s="381"/>
      <c r="X733" s="381"/>
      <c r="Y733" s="382"/>
      <c r="Z733" s="30"/>
      <c r="AA733" s="24"/>
    </row>
    <row r="734" spans="1:27" s="25" customFormat="1" ht="18" customHeight="1" x14ac:dyDescent="0.2">
      <c r="A734" s="279"/>
      <c r="B734" s="277"/>
      <c r="C734" s="391" t="s">
        <v>213</v>
      </c>
      <c r="D734" s="391"/>
      <c r="E734" s="391"/>
      <c r="F734" s="391"/>
      <c r="G734" s="280" t="str">
        <f>$J$1</f>
        <v>November</v>
      </c>
      <c r="H734" s="390">
        <f>$K$1</f>
        <v>2023</v>
      </c>
      <c r="I734" s="390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v>800</v>
      </c>
      <c r="L735" s="286"/>
      <c r="N735" s="35"/>
      <c r="O735" s="36" t="s">
        <v>43</v>
      </c>
      <c r="P735" s="36"/>
      <c r="Q735" s="36"/>
      <c r="R735" s="36">
        <v>0</v>
      </c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9"/>
      <c r="B736" s="277" t="s">
        <v>0</v>
      </c>
      <c r="C736" s="276">
        <v>14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4"/>
      <c r="V736" s="38"/>
      <c r="W736" s="64" t="str">
        <f>IF(U736="","",U736+V736)</f>
        <v/>
      </c>
      <c r="X736" s="38"/>
      <c r="Y736" s="64" t="str">
        <f>IF(W736="","",W736-X736)</f>
        <v/>
      </c>
      <c r="Z736" s="40"/>
      <c r="AA736" s="24"/>
    </row>
    <row r="737" spans="1:26" s="25" customFormat="1" ht="18" customHeight="1" x14ac:dyDescent="0.2">
      <c r="A737" s="279"/>
      <c r="B737" s="289" t="s">
        <v>39</v>
      </c>
      <c r="C737" s="290"/>
      <c r="D737" s="277"/>
      <c r="E737" s="277"/>
      <c r="F737" s="395" t="s">
        <v>41</v>
      </c>
      <c r="G737" s="395"/>
      <c r="H737" s="277"/>
      <c r="I737" s="395" t="s">
        <v>42</v>
      </c>
      <c r="J737" s="395"/>
      <c r="K737" s="395"/>
      <c r="L737" s="291"/>
      <c r="N737" s="35"/>
      <c r="O737" s="36" t="s">
        <v>44</v>
      </c>
      <c r="P737" s="36"/>
      <c r="Q737" s="36"/>
      <c r="R737" s="36" t="str">
        <f t="shared" ref="R737:R746" si="180">IF(Q737="","",R736-Q737)</f>
        <v/>
      </c>
      <c r="S737" s="27"/>
      <c r="T737" s="36" t="s">
        <v>44</v>
      </c>
      <c r="U737" s="64"/>
      <c r="V737" s="38"/>
      <c r="W737" s="64" t="str">
        <f t="shared" ref="W737:W746" si="181">IF(U737="","",U737+V737)</f>
        <v/>
      </c>
      <c r="X737" s="38"/>
      <c r="Y737" s="64" t="str">
        <f t="shared" ref="Y737:Y746" si="182">IF(W737="","",W737-X737)</f>
        <v/>
      </c>
      <c r="Z737" s="40"/>
    </row>
    <row r="738" spans="1:26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/>
      <c r="Q738" s="36"/>
      <c r="R738" s="36" t="str">
        <f t="shared" si="180"/>
        <v/>
      </c>
      <c r="S738" s="27"/>
      <c r="T738" s="36" t="s">
        <v>45</v>
      </c>
      <c r="U738" s="64"/>
      <c r="V738" s="38"/>
      <c r="W738" s="64" t="str">
        <f t="shared" si="181"/>
        <v/>
      </c>
      <c r="X738" s="38"/>
      <c r="Y738" s="64" t="str">
        <f t="shared" si="182"/>
        <v/>
      </c>
      <c r="Z738" s="40"/>
    </row>
    <row r="739" spans="1:26" s="25" customFormat="1" ht="18" customHeight="1" x14ac:dyDescent="0.2">
      <c r="A739" s="279"/>
      <c r="B739" s="388" t="s">
        <v>40</v>
      </c>
      <c r="C739" s="389"/>
      <c r="D739" s="277"/>
      <c r="E739" s="277"/>
      <c r="F739" s="294" t="s">
        <v>62</v>
      </c>
      <c r="G739" s="295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92"/>
      <c r="I739" s="296">
        <v>31</v>
      </c>
      <c r="J739" s="297" t="s">
        <v>59</v>
      </c>
      <c r="K739" s="298">
        <f>K735*I739</f>
        <v>24800</v>
      </c>
      <c r="L739" s="299"/>
      <c r="N739" s="35"/>
      <c r="O739" s="36" t="s">
        <v>46</v>
      </c>
      <c r="P739" s="36"/>
      <c r="Q739" s="36"/>
      <c r="R739" s="36" t="str">
        <f t="shared" si="180"/>
        <v/>
      </c>
      <c r="S739" s="27"/>
      <c r="T739" s="36" t="s">
        <v>46</v>
      </c>
      <c r="U739" s="64"/>
      <c r="V739" s="38"/>
      <c r="W739" s="64" t="str">
        <f t="shared" si="181"/>
        <v/>
      </c>
      <c r="X739" s="38"/>
      <c r="Y739" s="64" t="str">
        <f t="shared" si="182"/>
        <v/>
      </c>
      <c r="Z739" s="40"/>
    </row>
    <row r="740" spans="1:26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/>
      <c r="J740" s="297" t="s">
        <v>60</v>
      </c>
      <c r="K740" s="301">
        <f>K735/8*I740</f>
        <v>0</v>
      </c>
      <c r="L740" s="302"/>
      <c r="N740" s="35"/>
      <c r="O740" s="36" t="s">
        <v>47</v>
      </c>
      <c r="P740" s="36"/>
      <c r="Q740" s="36"/>
      <c r="R740" s="36" t="str">
        <f t="shared" si="180"/>
        <v/>
      </c>
      <c r="S740" s="27"/>
      <c r="T740" s="36" t="s">
        <v>47</v>
      </c>
      <c r="U740" s="64"/>
      <c r="V740" s="38"/>
      <c r="W740" s="64" t="str">
        <f t="shared" si="181"/>
        <v/>
      </c>
      <c r="X740" s="38"/>
      <c r="Y740" s="64" t="str">
        <f t="shared" si="182"/>
        <v/>
      </c>
      <c r="Z740" s="40"/>
    </row>
    <row r="741" spans="1:26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83" t="s">
        <v>67</v>
      </c>
      <c r="J741" s="384"/>
      <c r="K741" s="301">
        <f>K739+K740</f>
        <v>24800</v>
      </c>
      <c r="L741" s="302"/>
      <c r="N741" s="35"/>
      <c r="O741" s="36" t="s">
        <v>48</v>
      </c>
      <c r="P741" s="36"/>
      <c r="Q741" s="36"/>
      <c r="R741" s="36" t="str">
        <f t="shared" si="180"/>
        <v/>
      </c>
      <c r="S741" s="27"/>
      <c r="T741" s="36" t="s">
        <v>48</v>
      </c>
      <c r="U741" s="64"/>
      <c r="V741" s="38"/>
      <c r="W741" s="64" t="str">
        <f t="shared" si="181"/>
        <v/>
      </c>
      <c r="X741" s="38"/>
      <c r="Y741" s="64" t="str">
        <f t="shared" si="182"/>
        <v/>
      </c>
      <c r="Z741" s="40"/>
    </row>
    <row r="742" spans="1:26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83" t="s">
        <v>68</v>
      </c>
      <c r="J742" s="384"/>
      <c r="K742" s="295">
        <f>G742</f>
        <v>0</v>
      </c>
      <c r="L742" s="303"/>
      <c r="N742" s="35"/>
      <c r="O742" s="36" t="s">
        <v>49</v>
      </c>
      <c r="P742" s="36"/>
      <c r="Q742" s="36"/>
      <c r="R742" s="36" t="str">
        <f t="shared" si="180"/>
        <v/>
      </c>
      <c r="S742" s="27"/>
      <c r="T742" s="36" t="s">
        <v>49</v>
      </c>
      <c r="U742" s="64"/>
      <c r="V742" s="38"/>
      <c r="W742" s="64" t="str">
        <f t="shared" si="181"/>
        <v/>
      </c>
      <c r="X742" s="38"/>
      <c r="Y742" s="64" t="str">
        <f t="shared" si="182"/>
        <v/>
      </c>
      <c r="Z742" s="40"/>
    </row>
    <row r="743" spans="1:26" s="25" customFormat="1" ht="18" customHeight="1" x14ac:dyDescent="0.2">
      <c r="A743" s="279"/>
      <c r="B743" s="312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294" t="s">
        <v>65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77" t="s">
        <v>61</v>
      </c>
      <c r="J743" s="378"/>
      <c r="K743" s="234"/>
      <c r="L743" s="304"/>
      <c r="N743" s="35"/>
      <c r="O743" s="36" t="s">
        <v>54</v>
      </c>
      <c r="P743" s="36"/>
      <c r="Q743" s="36"/>
      <c r="R743" s="36" t="str">
        <f t="shared" si="180"/>
        <v/>
      </c>
      <c r="S743" s="27"/>
      <c r="T743" s="36" t="s">
        <v>54</v>
      </c>
      <c r="U743" s="64"/>
      <c r="V743" s="38"/>
      <c r="W743" s="64" t="str">
        <f t="shared" si="181"/>
        <v/>
      </c>
      <c r="X743" s="38"/>
      <c r="Y743" s="64" t="str">
        <f t="shared" si="182"/>
        <v/>
      </c>
      <c r="Z743" s="40"/>
    </row>
    <row r="744" spans="1:26" s="25" customFormat="1" ht="18" customHeight="1" x14ac:dyDescent="0.2">
      <c r="A744" s="279"/>
      <c r="B744" s="277"/>
      <c r="C744" s="277"/>
      <c r="D744" s="277"/>
      <c r="E744" s="277"/>
      <c r="F744" s="277"/>
      <c r="G744" s="277"/>
      <c r="H744" s="277"/>
      <c r="I744" s="277"/>
      <c r="J744" s="277"/>
      <c r="K744" s="277"/>
      <c r="L744" s="291"/>
      <c r="N744" s="35"/>
      <c r="O744" s="36" t="s">
        <v>50</v>
      </c>
      <c r="P744" s="36"/>
      <c r="Q744" s="36"/>
      <c r="R744" s="36" t="str">
        <f t="shared" si="180"/>
        <v/>
      </c>
      <c r="S744" s="27"/>
      <c r="T744" s="36" t="s">
        <v>50</v>
      </c>
      <c r="U744" s="64"/>
      <c r="V744" s="38"/>
      <c r="W744" s="64" t="str">
        <f t="shared" si="181"/>
        <v/>
      </c>
      <c r="X744" s="38"/>
      <c r="Y744" s="64" t="str">
        <f t="shared" si="182"/>
        <v/>
      </c>
      <c r="Z744" s="40"/>
    </row>
    <row r="745" spans="1:26" s="25" customFormat="1" ht="18" customHeight="1" x14ac:dyDescent="0.2">
      <c r="A745" s="279"/>
      <c r="B745" s="396" t="s">
        <v>82</v>
      </c>
      <c r="C745" s="396"/>
      <c r="D745" s="396"/>
      <c r="E745" s="396"/>
      <c r="F745" s="396"/>
      <c r="G745" s="396"/>
      <c r="H745" s="396"/>
      <c r="I745" s="396"/>
      <c r="J745" s="396"/>
      <c r="K745" s="396"/>
      <c r="L745" s="291"/>
      <c r="N745" s="35"/>
      <c r="O745" s="36" t="s">
        <v>55</v>
      </c>
      <c r="P745" s="36"/>
      <c r="Q745" s="36"/>
      <c r="R745" s="36" t="str">
        <f t="shared" si="180"/>
        <v/>
      </c>
      <c r="S745" s="27"/>
      <c r="T745" s="36" t="s">
        <v>55</v>
      </c>
      <c r="U745" s="64"/>
      <c r="V745" s="38"/>
      <c r="W745" s="64" t="str">
        <f t="shared" si="181"/>
        <v/>
      </c>
      <c r="X745" s="38"/>
      <c r="Y745" s="64" t="str">
        <f t="shared" si="182"/>
        <v/>
      </c>
      <c r="Z745" s="40"/>
    </row>
    <row r="746" spans="1:26" s="25" customFormat="1" ht="18" customHeight="1" x14ac:dyDescent="0.2">
      <c r="A746" s="279"/>
      <c r="B746" s="396"/>
      <c r="C746" s="396"/>
      <c r="D746" s="396"/>
      <c r="E746" s="396"/>
      <c r="F746" s="396"/>
      <c r="G746" s="396"/>
      <c r="H746" s="396"/>
      <c r="I746" s="396"/>
      <c r="J746" s="396"/>
      <c r="K746" s="396"/>
      <c r="L746" s="291"/>
      <c r="N746" s="35"/>
      <c r="O746" s="36" t="s">
        <v>56</v>
      </c>
      <c r="P746" s="36"/>
      <c r="Q746" s="36"/>
      <c r="R746" s="36" t="str">
        <f t="shared" si="180"/>
        <v/>
      </c>
      <c r="S746" s="27"/>
      <c r="T746" s="36" t="s">
        <v>56</v>
      </c>
      <c r="U746" s="64"/>
      <c r="V746" s="38"/>
      <c r="W746" s="64" t="str">
        <f t="shared" si="181"/>
        <v/>
      </c>
      <c r="X746" s="38"/>
      <c r="Y746" s="64" t="str">
        <f t="shared" si="182"/>
        <v/>
      </c>
      <c r="Z746" s="40"/>
    </row>
    <row r="747" spans="1:26" s="25" customFormat="1" ht="18" customHeight="1" thickBot="1" x14ac:dyDescent="0.25">
      <c r="A747" s="305"/>
      <c r="B747" s="313"/>
      <c r="C747" s="313"/>
      <c r="D747" s="313"/>
      <c r="E747" s="313"/>
      <c r="F747" s="313"/>
      <c r="G747" s="313"/>
      <c r="H747" s="313"/>
      <c r="I747" s="313"/>
      <c r="J747" s="313"/>
      <c r="K747" s="313"/>
      <c r="L747" s="307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6" s="25" customFormat="1" ht="18" customHeight="1" x14ac:dyDescent="0.2">
      <c r="A748" s="412" t="s">
        <v>38</v>
      </c>
      <c r="B748" s="413"/>
      <c r="C748" s="413"/>
      <c r="D748" s="413"/>
      <c r="E748" s="413"/>
      <c r="F748" s="413"/>
      <c r="G748" s="413"/>
      <c r="H748" s="413"/>
      <c r="I748" s="413"/>
      <c r="J748" s="413"/>
      <c r="K748" s="413"/>
      <c r="L748" s="414"/>
      <c r="M748" s="24"/>
      <c r="N748" s="28"/>
      <c r="O748" s="380" t="s">
        <v>40</v>
      </c>
      <c r="P748" s="381"/>
      <c r="Q748" s="381"/>
      <c r="R748" s="382"/>
      <c r="S748" s="29"/>
      <c r="T748" s="380" t="s">
        <v>41</v>
      </c>
      <c r="U748" s="381"/>
      <c r="V748" s="381"/>
      <c r="W748" s="381"/>
      <c r="X748" s="381"/>
      <c r="Y748" s="382"/>
      <c r="Z748" s="27"/>
    </row>
    <row r="749" spans="1:26" s="25" customFormat="1" ht="18" customHeight="1" x14ac:dyDescent="0.2">
      <c r="A749" s="279"/>
      <c r="B749" s="277"/>
      <c r="C749" s="391" t="s">
        <v>213</v>
      </c>
      <c r="D749" s="391"/>
      <c r="E749" s="391"/>
      <c r="F749" s="391"/>
      <c r="G749" s="280" t="str">
        <f>$J$1</f>
        <v>November</v>
      </c>
      <c r="H749" s="390">
        <f>$K$1</f>
        <v>2023</v>
      </c>
      <c r="I749" s="390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27"/>
    </row>
    <row r="750" spans="1:26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/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27"/>
    </row>
    <row r="751" spans="1:26" s="25" customFormat="1" ht="18" customHeight="1" x14ac:dyDescent="0.2">
      <c r="A751" s="279"/>
      <c r="B751" s="277" t="s">
        <v>0</v>
      </c>
      <c r="C751" s="276">
        <v>13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>
        <v>0</v>
      </c>
      <c r="S751" s="27"/>
      <c r="T751" s="36" t="s">
        <v>69</v>
      </c>
      <c r="U751" s="64">
        <f>Y750</f>
        <v>0</v>
      </c>
      <c r="V751" s="38"/>
      <c r="W751" s="64">
        <f>IF(U751="","",U751+V751)</f>
        <v>0</v>
      </c>
      <c r="X751" s="38"/>
      <c r="Y751" s="64">
        <f>IF(W751="","",W751-X751)</f>
        <v>0</v>
      </c>
      <c r="Z751" s="27"/>
    </row>
    <row r="752" spans="1:26" s="25" customFormat="1" ht="18" customHeight="1" x14ac:dyDescent="0.2">
      <c r="A752" s="279"/>
      <c r="B752" s="289" t="s">
        <v>39</v>
      </c>
      <c r="C752" s="290"/>
      <c r="D752" s="277"/>
      <c r="E752" s="277"/>
      <c r="F752" s="395" t="s">
        <v>41</v>
      </c>
      <c r="G752" s="395"/>
      <c r="H752" s="277"/>
      <c r="I752" s="395" t="s">
        <v>42</v>
      </c>
      <c r="J752" s="395"/>
      <c r="K752" s="395"/>
      <c r="L752" s="291"/>
      <c r="N752" s="35"/>
      <c r="O752" s="36" t="s">
        <v>44</v>
      </c>
      <c r="P752" s="36"/>
      <c r="Q752" s="36"/>
      <c r="R752" s="36">
        <v>0</v>
      </c>
      <c r="S752" s="27"/>
      <c r="T752" s="36" t="s">
        <v>44</v>
      </c>
      <c r="U752" s="64">
        <f>IF($J$1="April",Y751,Y751)</f>
        <v>0</v>
      </c>
      <c r="V752" s="38"/>
      <c r="W752" s="64">
        <f t="shared" ref="W752:W761" si="183">IF(U752="","",U752+V752)</f>
        <v>0</v>
      </c>
      <c r="X752" s="38"/>
      <c r="Y752" s="64">
        <f t="shared" ref="Y752:Y761" si="184">IF(W752="","",W752-X752)</f>
        <v>0</v>
      </c>
      <c r="Z752" s="27"/>
    </row>
    <row r="753" spans="1:27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ref="R753:R761" si="185">IF(Q753="","",R752-Q753)</f>
        <v/>
      </c>
      <c r="S753" s="27"/>
      <c r="T753" s="36" t="s">
        <v>45</v>
      </c>
      <c r="U753" s="64">
        <f>IF($J$1="April",Y752,Y752)</f>
        <v>0</v>
      </c>
      <c r="V753" s="38"/>
      <c r="W753" s="64">
        <f t="shared" si="183"/>
        <v>0</v>
      </c>
      <c r="X753" s="38"/>
      <c r="Y753" s="64">
        <f t="shared" si="184"/>
        <v>0</v>
      </c>
      <c r="Z753" s="27"/>
    </row>
    <row r="754" spans="1:27" s="25" customFormat="1" ht="18" customHeight="1" x14ac:dyDescent="0.2">
      <c r="A754" s="279"/>
      <c r="B754" s="388" t="s">
        <v>40</v>
      </c>
      <c r="C754" s="389"/>
      <c r="D754" s="277"/>
      <c r="E754" s="277"/>
      <c r="F754" s="294" t="s">
        <v>62</v>
      </c>
      <c r="G754" s="295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292"/>
      <c r="I754" s="296"/>
      <c r="J754" s="297" t="s">
        <v>59</v>
      </c>
      <c r="K754" s="298">
        <f>K750/$K$2*I754</f>
        <v>0</v>
      </c>
      <c r="L754" s="299"/>
      <c r="N754" s="35"/>
      <c r="O754" s="36" t="s">
        <v>46</v>
      </c>
      <c r="P754" s="36"/>
      <c r="Q754" s="36"/>
      <c r="R754" s="36" t="str">
        <f t="shared" si="185"/>
        <v/>
      </c>
      <c r="S754" s="27"/>
      <c r="T754" s="36" t="s">
        <v>46</v>
      </c>
      <c r="U754" s="64">
        <f>IF($J$1="May",Y753,Y753)</f>
        <v>0</v>
      </c>
      <c r="V754" s="38"/>
      <c r="W754" s="64">
        <f t="shared" si="183"/>
        <v>0</v>
      </c>
      <c r="X754" s="38"/>
      <c r="Y754" s="64">
        <f t="shared" si="184"/>
        <v>0</v>
      </c>
      <c r="Z754" s="27"/>
    </row>
    <row r="755" spans="1:27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314"/>
      <c r="J755" s="297" t="s">
        <v>60</v>
      </c>
      <c r="K755" s="301">
        <f>K750/$K$2/8*I755</f>
        <v>0</v>
      </c>
      <c r="L755" s="302"/>
      <c r="N755" s="35"/>
      <c r="O755" s="36" t="s">
        <v>47</v>
      </c>
      <c r="P755" s="36"/>
      <c r="Q755" s="36"/>
      <c r="R755" s="36" t="str">
        <f t="shared" si="185"/>
        <v/>
      </c>
      <c r="S755" s="27"/>
      <c r="T755" s="36" t="s">
        <v>47</v>
      </c>
      <c r="U755" s="64">
        <f>IF($J$1="May",Y754,Y754)</f>
        <v>0</v>
      </c>
      <c r="V755" s="38"/>
      <c r="W755" s="64">
        <f t="shared" si="183"/>
        <v>0</v>
      </c>
      <c r="X755" s="38"/>
      <c r="Y755" s="64">
        <f t="shared" si="184"/>
        <v>0</v>
      </c>
      <c r="Z755" s="27"/>
    </row>
    <row r="756" spans="1:27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83" t="s">
        <v>67</v>
      </c>
      <c r="J756" s="384"/>
      <c r="K756" s="301">
        <f>K754+K755</f>
        <v>0</v>
      </c>
      <c r="L756" s="302"/>
      <c r="N756" s="35"/>
      <c r="O756" s="36" t="s">
        <v>48</v>
      </c>
      <c r="P756" s="36"/>
      <c r="Q756" s="36"/>
      <c r="R756" s="36" t="str">
        <f t="shared" si="185"/>
        <v/>
      </c>
      <c r="S756" s="27"/>
      <c r="T756" s="36" t="s">
        <v>48</v>
      </c>
      <c r="U756" s="64" t="str">
        <f>IF($J$1="July",Y755,"")</f>
        <v/>
      </c>
      <c r="V756" s="38"/>
      <c r="W756" s="64" t="str">
        <f t="shared" si="183"/>
        <v/>
      </c>
      <c r="X756" s="38"/>
      <c r="Y756" s="64" t="str">
        <f t="shared" si="184"/>
        <v/>
      </c>
      <c r="Z756" s="27"/>
    </row>
    <row r="757" spans="1:27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83" t="s">
        <v>68</v>
      </c>
      <c r="J757" s="384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5"/>
        <v/>
      </c>
      <c r="S757" s="27"/>
      <c r="T757" s="36" t="s">
        <v>49</v>
      </c>
      <c r="U757" s="64" t="str">
        <f>IF($J$1="August",Y756,"")</f>
        <v/>
      </c>
      <c r="V757" s="38"/>
      <c r="W757" s="64" t="str">
        <f t="shared" si="183"/>
        <v/>
      </c>
      <c r="X757" s="38"/>
      <c r="Y757" s="64" t="str">
        <f t="shared" si="184"/>
        <v/>
      </c>
      <c r="Z757" s="27"/>
    </row>
    <row r="758" spans="1:27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77" t="s">
        <v>61</v>
      </c>
      <c r="J758" s="378"/>
      <c r="K758" s="234">
        <f>K756-K757</f>
        <v>0</v>
      </c>
      <c r="L758" s="304"/>
      <c r="N758" s="35"/>
      <c r="O758" s="36" t="s">
        <v>54</v>
      </c>
      <c r="P758" s="36"/>
      <c r="Q758" s="36"/>
      <c r="R758" s="36" t="str">
        <f t="shared" si="185"/>
        <v/>
      </c>
      <c r="S758" s="27"/>
      <c r="T758" s="36" t="s">
        <v>54</v>
      </c>
      <c r="U758" s="64" t="str">
        <f>IF($J$1="Sept",Y757,"")</f>
        <v/>
      </c>
      <c r="V758" s="38"/>
      <c r="W758" s="64" t="str">
        <f t="shared" si="183"/>
        <v/>
      </c>
      <c r="X758" s="38"/>
      <c r="Y758" s="64" t="str">
        <f t="shared" si="184"/>
        <v/>
      </c>
      <c r="Z758" s="27"/>
    </row>
    <row r="759" spans="1:27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5"/>
        <v/>
      </c>
      <c r="S759" s="27"/>
      <c r="T759" s="36" t="s">
        <v>50</v>
      </c>
      <c r="U759" s="64" t="str">
        <f>IF($J$1="October",Y758,"")</f>
        <v/>
      </c>
      <c r="V759" s="38"/>
      <c r="W759" s="64" t="str">
        <f t="shared" si="183"/>
        <v/>
      </c>
      <c r="X759" s="38"/>
      <c r="Y759" s="64" t="str">
        <f t="shared" si="184"/>
        <v/>
      </c>
      <c r="Z759" s="27"/>
    </row>
    <row r="760" spans="1:27" s="25" customFormat="1" ht="18" customHeight="1" x14ac:dyDescent="0.2">
      <c r="A760" s="279"/>
      <c r="B760" s="396" t="s">
        <v>82</v>
      </c>
      <c r="C760" s="396"/>
      <c r="D760" s="396"/>
      <c r="E760" s="396"/>
      <c r="F760" s="396"/>
      <c r="G760" s="396"/>
      <c r="H760" s="396"/>
      <c r="I760" s="396"/>
      <c r="J760" s="396"/>
      <c r="K760" s="396"/>
      <c r="L760" s="291"/>
      <c r="N760" s="35"/>
      <c r="O760" s="36" t="s">
        <v>55</v>
      </c>
      <c r="P760" s="36"/>
      <c r="Q760" s="36"/>
      <c r="R760" s="36" t="str">
        <f t="shared" si="185"/>
        <v/>
      </c>
      <c r="S760" s="27"/>
      <c r="T760" s="36" t="s">
        <v>55</v>
      </c>
      <c r="U760" s="64" t="str">
        <f>IF($J$1="November",Y759,"")</f>
        <v/>
      </c>
      <c r="V760" s="38"/>
      <c r="W760" s="64" t="str">
        <f t="shared" si="183"/>
        <v/>
      </c>
      <c r="X760" s="38"/>
      <c r="Y760" s="64" t="str">
        <f t="shared" si="184"/>
        <v/>
      </c>
      <c r="Z760" s="27"/>
    </row>
    <row r="761" spans="1:27" s="25" customFormat="1" ht="18" customHeight="1" x14ac:dyDescent="0.2">
      <c r="A761" s="279"/>
      <c r="B761" s="396"/>
      <c r="C761" s="396"/>
      <c r="D761" s="396"/>
      <c r="E761" s="396"/>
      <c r="F761" s="396"/>
      <c r="G761" s="396"/>
      <c r="H761" s="396"/>
      <c r="I761" s="396"/>
      <c r="J761" s="396"/>
      <c r="K761" s="396"/>
      <c r="L761" s="291"/>
      <c r="N761" s="35"/>
      <c r="O761" s="36" t="s">
        <v>56</v>
      </c>
      <c r="P761" s="36"/>
      <c r="Q761" s="36"/>
      <c r="R761" s="36" t="str">
        <f t="shared" si="185"/>
        <v/>
      </c>
      <c r="S761" s="27"/>
      <c r="T761" s="36" t="s">
        <v>56</v>
      </c>
      <c r="U761" s="64" t="str">
        <f>IF($J$1="Dec",Y760,"")</f>
        <v/>
      </c>
      <c r="V761" s="38"/>
      <c r="W761" s="64" t="str">
        <f t="shared" si="183"/>
        <v/>
      </c>
      <c r="X761" s="38"/>
      <c r="Y761" s="64" t="str">
        <f t="shared" si="184"/>
        <v/>
      </c>
      <c r="Z761" s="27"/>
    </row>
    <row r="762" spans="1:27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27"/>
    </row>
    <row r="763" spans="1:27" ht="18" customHeight="1" thickBot="1" x14ac:dyDescent="0.35"/>
    <row r="764" spans="1:27" s="25" customFormat="1" ht="18" customHeight="1" thickBot="1" x14ac:dyDescent="0.25">
      <c r="A764" s="385" t="s">
        <v>38</v>
      </c>
      <c r="B764" s="386"/>
      <c r="C764" s="386"/>
      <c r="D764" s="386"/>
      <c r="E764" s="386"/>
      <c r="F764" s="386"/>
      <c r="G764" s="386"/>
      <c r="H764" s="386"/>
      <c r="I764" s="386"/>
      <c r="J764" s="386"/>
      <c r="K764" s="386"/>
      <c r="L764" s="387"/>
      <c r="M764" s="24"/>
      <c r="N764" s="28"/>
      <c r="O764" s="380" t="s">
        <v>40</v>
      </c>
      <c r="P764" s="381"/>
      <c r="Q764" s="381"/>
      <c r="R764" s="382"/>
      <c r="S764" s="29"/>
      <c r="T764" s="380" t="s">
        <v>41</v>
      </c>
      <c r="U764" s="381"/>
      <c r="V764" s="381"/>
      <c r="W764" s="381"/>
      <c r="X764" s="381"/>
      <c r="Y764" s="382"/>
      <c r="Z764" s="30"/>
      <c r="AA764" s="24"/>
    </row>
    <row r="765" spans="1:27" s="25" customFormat="1" ht="18" customHeight="1" x14ac:dyDescent="0.2">
      <c r="A765" s="279"/>
      <c r="B765" s="277"/>
      <c r="C765" s="391" t="s">
        <v>213</v>
      </c>
      <c r="D765" s="391"/>
      <c r="E765" s="391"/>
      <c r="F765" s="391"/>
      <c r="G765" s="280" t="str">
        <f>$J$1</f>
        <v>November</v>
      </c>
      <c r="H765" s="390">
        <f>$K$1</f>
        <v>2023</v>
      </c>
      <c r="I765" s="390"/>
      <c r="J765" s="277"/>
      <c r="K765" s="281"/>
      <c r="L765" s="282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9"/>
      <c r="B766" s="277"/>
      <c r="C766" s="277"/>
      <c r="D766" s="283"/>
      <c r="E766" s="283"/>
      <c r="F766" s="283"/>
      <c r="G766" s="283"/>
      <c r="H766" s="283"/>
      <c r="I766" s="277"/>
      <c r="J766" s="284" t="s">
        <v>1</v>
      </c>
      <c r="K766" s="285"/>
      <c r="L766" s="286"/>
      <c r="N766" s="35"/>
      <c r="O766" s="36" t="s">
        <v>43</v>
      </c>
      <c r="P766" s="36"/>
      <c r="Q766" s="36"/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9"/>
      <c r="B767" s="277" t="s">
        <v>0</v>
      </c>
      <c r="C767" s="276" t="s">
        <v>211</v>
      </c>
      <c r="D767" s="277"/>
      <c r="E767" s="277"/>
      <c r="F767" s="277"/>
      <c r="G767" s="277"/>
      <c r="H767" s="287"/>
      <c r="I767" s="283"/>
      <c r="J767" s="277"/>
      <c r="K767" s="277"/>
      <c r="L767" s="288"/>
      <c r="M767" s="24"/>
      <c r="N767" s="39"/>
      <c r="O767" s="36" t="s">
        <v>69</v>
      </c>
      <c r="P767" s="36"/>
      <c r="Q767" s="36"/>
      <c r="R767" s="36">
        <v>0</v>
      </c>
      <c r="S767" s="27"/>
      <c r="T767" s="36" t="s">
        <v>69</v>
      </c>
      <c r="U767" s="64">
        <f>Y766</f>
        <v>0</v>
      </c>
      <c r="V767" s="38"/>
      <c r="W767" s="64">
        <f>IF(U767="","",U767+V767)</f>
        <v>0</v>
      </c>
      <c r="X767" s="38"/>
      <c r="Y767" s="64">
        <f>IF(W767="","",W767-X767)</f>
        <v>0</v>
      </c>
      <c r="Z767" s="40"/>
      <c r="AA767" s="24"/>
    </row>
    <row r="768" spans="1:27" s="25" customFormat="1" ht="18" customHeight="1" x14ac:dyDescent="0.2">
      <c r="A768" s="279"/>
      <c r="B768" s="289" t="s">
        <v>39</v>
      </c>
      <c r="C768" s="290"/>
      <c r="D768" s="277"/>
      <c r="E768" s="277"/>
      <c r="F768" s="377" t="s">
        <v>41</v>
      </c>
      <c r="G768" s="378"/>
      <c r="H768" s="277"/>
      <c r="I768" s="377" t="s">
        <v>42</v>
      </c>
      <c r="J768" s="379"/>
      <c r="K768" s="378"/>
      <c r="L768" s="291"/>
      <c r="N768" s="35"/>
      <c r="O768" s="36" t="s">
        <v>44</v>
      </c>
      <c r="P768" s="36"/>
      <c r="Q768" s="36"/>
      <c r="R768" s="36" t="str">
        <f>IF(Q768="","",R767-Q768)</f>
        <v/>
      </c>
      <c r="S768" s="27"/>
      <c r="T768" s="36" t="s">
        <v>44</v>
      </c>
      <c r="U768" s="64">
        <f>IF($J$1="April",Y767,Y767)</f>
        <v>0</v>
      </c>
      <c r="V768" s="38"/>
      <c r="W768" s="64">
        <f t="shared" ref="W768:W777" si="186">IF(U768="","",U768+V768)</f>
        <v>0</v>
      </c>
      <c r="X768" s="38"/>
      <c r="Y768" s="64">
        <f t="shared" ref="Y768:Y777" si="187">IF(W768="","",W768-X768)</f>
        <v>0</v>
      </c>
      <c r="Z768" s="40"/>
    </row>
    <row r="769" spans="1:27" s="25" customFormat="1" ht="18" customHeight="1" x14ac:dyDescent="0.2">
      <c r="A769" s="279"/>
      <c r="B769" s="277"/>
      <c r="C769" s="277"/>
      <c r="D769" s="277"/>
      <c r="E769" s="277"/>
      <c r="F769" s="277"/>
      <c r="G769" s="277"/>
      <c r="H769" s="292"/>
      <c r="I769" s="277"/>
      <c r="J769" s="277"/>
      <c r="K769" s="277"/>
      <c r="L769" s="293"/>
      <c r="N769" s="35"/>
      <c r="O769" s="36" t="s">
        <v>45</v>
      </c>
      <c r="P769" s="36"/>
      <c r="Q769" s="36"/>
      <c r="R769" s="36">
        <v>0</v>
      </c>
      <c r="S769" s="27"/>
      <c r="T769" s="36" t="s">
        <v>45</v>
      </c>
      <c r="U769" s="64">
        <f>IF($J$1="April",Y768,Y768)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40"/>
    </row>
    <row r="770" spans="1:27" s="25" customFormat="1" ht="18" customHeight="1" x14ac:dyDescent="0.2">
      <c r="A770" s="279"/>
      <c r="B770" s="388" t="s">
        <v>40</v>
      </c>
      <c r="C770" s="389"/>
      <c r="D770" s="277"/>
      <c r="E770" s="277"/>
      <c r="F770" s="294" t="s">
        <v>62</v>
      </c>
      <c r="G770" s="295" t="str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/>
      </c>
      <c r="H770" s="292"/>
      <c r="I770" s="296"/>
      <c r="J770" s="297" t="s">
        <v>59</v>
      </c>
      <c r="K770" s="298">
        <f>K766/$K$2*I770</f>
        <v>0</v>
      </c>
      <c r="L770" s="299"/>
      <c r="N770" s="35"/>
      <c r="O770" s="36" t="s">
        <v>46</v>
      </c>
      <c r="P770" s="36"/>
      <c r="Q770" s="36"/>
      <c r="R770" s="36">
        <v>0</v>
      </c>
      <c r="S770" s="27"/>
      <c r="T770" s="36" t="s">
        <v>46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40"/>
    </row>
    <row r="771" spans="1:27" s="25" customFormat="1" ht="18" customHeight="1" x14ac:dyDescent="0.2">
      <c r="A771" s="279"/>
      <c r="B771" s="300"/>
      <c r="C771" s="300"/>
      <c r="D771" s="277"/>
      <c r="E771" s="277"/>
      <c r="F771" s="294" t="s">
        <v>18</v>
      </c>
      <c r="G771" s="295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92"/>
      <c r="I771" s="296"/>
      <c r="J771" s="297" t="s">
        <v>60</v>
      </c>
      <c r="K771" s="301">
        <f>K766/$K$2/8*I771</f>
        <v>0</v>
      </c>
      <c r="L771" s="302"/>
      <c r="N771" s="35"/>
      <c r="O771" s="36" t="s">
        <v>47</v>
      </c>
      <c r="P771" s="36"/>
      <c r="Q771" s="36"/>
      <c r="R771" s="36">
        <v>0</v>
      </c>
      <c r="S771" s="27"/>
      <c r="T771" s="36" t="s">
        <v>47</v>
      </c>
      <c r="U771" s="64">
        <f>IF($J$1="May",Y770,Y770)</f>
        <v>0</v>
      </c>
      <c r="V771" s="38"/>
      <c r="W771" s="64">
        <f t="shared" si="186"/>
        <v>0</v>
      </c>
      <c r="X771" s="38"/>
      <c r="Y771" s="64">
        <f t="shared" si="187"/>
        <v>0</v>
      </c>
      <c r="Z771" s="40"/>
    </row>
    <row r="772" spans="1:27" s="25" customFormat="1" ht="18" customHeight="1" x14ac:dyDescent="0.2">
      <c r="A772" s="279"/>
      <c r="B772" s="294" t="s">
        <v>7</v>
      </c>
      <c r="C772" s="300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7"/>
      <c r="E772" s="277"/>
      <c r="F772" s="294" t="s">
        <v>63</v>
      </c>
      <c r="G772" s="295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92"/>
      <c r="I772" s="383" t="s">
        <v>67</v>
      </c>
      <c r="J772" s="384"/>
      <c r="K772" s="301">
        <f>K770+K771</f>
        <v>0</v>
      </c>
      <c r="L772" s="302"/>
      <c r="N772" s="35"/>
      <c r="O772" s="36" t="s">
        <v>48</v>
      </c>
      <c r="P772" s="36"/>
      <c r="Q772" s="36"/>
      <c r="R772" s="36">
        <v>0</v>
      </c>
      <c r="S772" s="27"/>
      <c r="T772" s="36" t="s">
        <v>48</v>
      </c>
      <c r="U772" s="64" t="str">
        <f>IF($J$1="July",Y771,"")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40"/>
    </row>
    <row r="773" spans="1:27" s="25" customFormat="1" ht="18" customHeight="1" x14ac:dyDescent="0.2">
      <c r="A773" s="279"/>
      <c r="B773" s="294" t="s">
        <v>6</v>
      </c>
      <c r="C773" s="300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7"/>
      <c r="E773" s="277"/>
      <c r="F773" s="294" t="s">
        <v>19</v>
      </c>
      <c r="G773" s="295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92"/>
      <c r="I773" s="383" t="s">
        <v>68</v>
      </c>
      <c r="J773" s="384"/>
      <c r="K773" s="295">
        <f>G773</f>
        <v>0</v>
      </c>
      <c r="L773" s="303"/>
      <c r="N773" s="35"/>
      <c r="O773" s="36" t="s">
        <v>49</v>
      </c>
      <c r="P773" s="36"/>
      <c r="Q773" s="36"/>
      <c r="R773" s="36" t="str">
        <f>IF(Q773="","",R772-Q773)</f>
        <v/>
      </c>
      <c r="S773" s="27"/>
      <c r="T773" s="36" t="s">
        <v>49</v>
      </c>
      <c r="U773" s="64" t="str">
        <f>IF($J$1="August",Y772,"")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40"/>
    </row>
    <row r="774" spans="1:27" s="25" customFormat="1" ht="18" customHeight="1" x14ac:dyDescent="0.2">
      <c r="A774" s="279"/>
      <c r="B774" s="309" t="s">
        <v>66</v>
      </c>
      <c r="C774" s="300" t="str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/>
      </c>
      <c r="D774" s="277"/>
      <c r="E774" s="277"/>
      <c r="F774" s="309" t="s">
        <v>202</v>
      </c>
      <c r="G774" s="295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7"/>
      <c r="I774" s="377" t="s">
        <v>61</v>
      </c>
      <c r="J774" s="378"/>
      <c r="K774" s="234">
        <f>K772-K773</f>
        <v>0</v>
      </c>
      <c r="L774" s="304"/>
      <c r="N774" s="35"/>
      <c r="O774" s="36" t="s">
        <v>54</v>
      </c>
      <c r="P774" s="36"/>
      <c r="Q774" s="36"/>
      <c r="R774" s="36">
        <v>0</v>
      </c>
      <c r="S774" s="27"/>
      <c r="T774" s="36" t="s">
        <v>54</v>
      </c>
      <c r="U774" s="64" t="str">
        <f>IF($J$1="September",Y773,"")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40"/>
    </row>
    <row r="775" spans="1:27" s="25" customFormat="1" ht="18" customHeight="1" x14ac:dyDescent="0.2">
      <c r="A775" s="279"/>
      <c r="B775" s="277"/>
      <c r="C775" s="277"/>
      <c r="D775" s="277"/>
      <c r="E775" s="277"/>
      <c r="F775" s="277"/>
      <c r="G775" s="277"/>
      <c r="H775" s="277"/>
      <c r="I775" s="277"/>
      <c r="J775" s="277"/>
      <c r="K775" s="277"/>
      <c r="L775" s="291"/>
      <c r="N775" s="35"/>
      <c r="O775" s="36" t="s">
        <v>50</v>
      </c>
      <c r="P775" s="36"/>
      <c r="Q775" s="36"/>
      <c r="R775" s="36">
        <v>0</v>
      </c>
      <c r="S775" s="27"/>
      <c r="T775" s="36" t="s">
        <v>50</v>
      </c>
      <c r="U775" s="64" t="str">
        <f>IF($J$1="October",Y774,"")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40"/>
    </row>
    <row r="776" spans="1:27" s="25" customFormat="1" ht="18" customHeight="1" x14ac:dyDescent="0.3">
      <c r="A776" s="279"/>
      <c r="B776" s="275" t="s">
        <v>82</v>
      </c>
      <c r="C776" s="275"/>
      <c r="D776" s="275"/>
      <c r="E776" s="275"/>
      <c r="F776" s="275"/>
      <c r="G776" s="275"/>
      <c r="H776" s="275"/>
      <c r="I776" s="275"/>
      <c r="J776" s="275"/>
      <c r="K776" s="275"/>
      <c r="L776" s="291"/>
      <c r="N776" s="35"/>
      <c r="O776" s="36" t="s">
        <v>55</v>
      </c>
      <c r="P776" s="36"/>
      <c r="Q776" s="36"/>
      <c r="R776" s="36" t="str">
        <f>IF(Q776="","",R775-Q776)</f>
        <v/>
      </c>
      <c r="S776" s="27"/>
      <c r="T776" s="36" t="s">
        <v>55</v>
      </c>
      <c r="U776" s="64" t="str">
        <f>IF($J$1="November",Y775,"")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40"/>
    </row>
    <row r="777" spans="1:27" s="25" customFormat="1" ht="18" customHeight="1" thickBot="1" x14ac:dyDescent="0.35">
      <c r="A777" s="305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7"/>
      <c r="N777" s="35"/>
      <c r="O777" s="36" t="s">
        <v>56</v>
      </c>
      <c r="P777" s="36"/>
      <c r="Q777" s="36"/>
      <c r="R777" s="36">
        <v>0</v>
      </c>
      <c r="S777" s="27"/>
      <c r="T777" s="36" t="s">
        <v>56</v>
      </c>
      <c r="U777" s="64" t="str">
        <f>IF($J$1="Dec",Y776,"")</f>
        <v/>
      </c>
      <c r="V777" s="38"/>
      <c r="W777" s="64" t="str">
        <f t="shared" si="186"/>
        <v/>
      </c>
      <c r="X777" s="38"/>
      <c r="Y777" s="64" t="str">
        <f t="shared" si="187"/>
        <v/>
      </c>
      <c r="Z777" s="40"/>
    </row>
    <row r="778" spans="1:27" s="25" customFormat="1" ht="18" customHeight="1" thickBot="1" x14ac:dyDescent="0.25">
      <c r="A778" s="305"/>
      <c r="B778" s="313"/>
      <c r="C778" s="313"/>
      <c r="D778" s="313"/>
      <c r="E778" s="313"/>
      <c r="F778" s="313"/>
      <c r="G778" s="313"/>
      <c r="H778" s="313"/>
      <c r="I778" s="313"/>
      <c r="J778" s="313"/>
      <c r="K778" s="313"/>
      <c r="L778" s="307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x14ac:dyDescent="0.2">
      <c r="A779" s="277"/>
      <c r="B779" s="277"/>
      <c r="C779" s="277"/>
      <c r="D779" s="277"/>
      <c r="E779" s="277"/>
      <c r="F779" s="277"/>
      <c r="G779" s="277"/>
      <c r="H779" s="277"/>
      <c r="I779" s="277"/>
      <c r="J779" s="277"/>
      <c r="K779" s="277"/>
      <c r="L779" s="27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7" s="25" customFormat="1" ht="18" customHeight="1" thickBot="1" x14ac:dyDescent="0.25">
      <c r="A780" s="277"/>
      <c r="B780" s="277"/>
      <c r="C780" s="277"/>
      <c r="D780" s="277"/>
      <c r="E780" s="277"/>
      <c r="F780" s="277"/>
      <c r="G780" s="277"/>
      <c r="H780" s="277"/>
      <c r="I780" s="277"/>
      <c r="J780" s="277"/>
      <c r="K780" s="277"/>
      <c r="L780" s="27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7" s="25" customFormat="1" ht="18" customHeight="1" x14ac:dyDescent="0.2">
      <c r="A781" s="409" t="s">
        <v>38</v>
      </c>
      <c r="B781" s="410"/>
      <c r="C781" s="410"/>
      <c r="D781" s="410"/>
      <c r="E781" s="410"/>
      <c r="F781" s="410"/>
      <c r="G781" s="410"/>
      <c r="H781" s="410"/>
      <c r="I781" s="410"/>
      <c r="J781" s="410"/>
      <c r="K781" s="410"/>
      <c r="L781" s="411"/>
      <c r="M781" s="24"/>
      <c r="N781" s="28"/>
      <c r="O781" s="380" t="s">
        <v>40</v>
      </c>
      <c r="P781" s="381"/>
      <c r="Q781" s="381"/>
      <c r="R781" s="382"/>
      <c r="S781" s="29"/>
      <c r="T781" s="380" t="s">
        <v>41</v>
      </c>
      <c r="U781" s="381"/>
      <c r="V781" s="381"/>
      <c r="W781" s="381"/>
      <c r="X781" s="381"/>
      <c r="Y781" s="382"/>
      <c r="Z781" s="30"/>
      <c r="AA781" s="24"/>
    </row>
    <row r="782" spans="1:27" s="25" customFormat="1" ht="18" customHeight="1" x14ac:dyDescent="0.2">
      <c r="A782" s="279"/>
      <c r="B782" s="277"/>
      <c r="C782" s="391" t="s">
        <v>213</v>
      </c>
      <c r="D782" s="391"/>
      <c r="E782" s="391"/>
      <c r="F782" s="391"/>
      <c r="G782" s="280" t="str">
        <f>$J$1</f>
        <v>November</v>
      </c>
      <c r="H782" s="390">
        <f>$K$1</f>
        <v>2023</v>
      </c>
      <c r="I782" s="390"/>
      <c r="J782" s="277"/>
      <c r="K782" s="281"/>
      <c r="L782" s="282"/>
      <c r="M782" s="26"/>
      <c r="N782" s="31"/>
      <c r="O782" s="32" t="s">
        <v>51</v>
      </c>
      <c r="P782" s="32" t="s">
        <v>7</v>
      </c>
      <c r="Q782" s="32" t="s">
        <v>6</v>
      </c>
      <c r="R782" s="32" t="s">
        <v>52</v>
      </c>
      <c r="S782" s="33"/>
      <c r="T782" s="32" t="s">
        <v>51</v>
      </c>
      <c r="U782" s="32" t="s">
        <v>53</v>
      </c>
      <c r="V782" s="32" t="s">
        <v>18</v>
      </c>
      <c r="W782" s="32" t="s">
        <v>17</v>
      </c>
      <c r="X782" s="32" t="s">
        <v>19</v>
      </c>
      <c r="Y782" s="32" t="s">
        <v>57</v>
      </c>
      <c r="Z782" s="34"/>
      <c r="AA782" s="26"/>
    </row>
    <row r="783" spans="1:27" s="25" customFormat="1" ht="18" customHeight="1" x14ac:dyDescent="0.2">
      <c r="A783" s="279"/>
      <c r="B783" s="277"/>
      <c r="C783" s="277"/>
      <c r="D783" s="283"/>
      <c r="E783" s="283"/>
      <c r="F783" s="283"/>
      <c r="G783" s="283"/>
      <c r="H783" s="283"/>
      <c r="I783" s="277"/>
      <c r="J783" s="284" t="s">
        <v>1</v>
      </c>
      <c r="K783" s="285"/>
      <c r="L783" s="286"/>
      <c r="N783" s="35"/>
      <c r="O783" s="36" t="s">
        <v>43</v>
      </c>
      <c r="P783" s="36"/>
      <c r="Q783" s="36"/>
      <c r="R783" s="36">
        <v>15</v>
      </c>
      <c r="S783" s="37"/>
      <c r="T783" s="36" t="s">
        <v>43</v>
      </c>
      <c r="U783" s="38"/>
      <c r="V783" s="38"/>
      <c r="W783" s="38">
        <f>V783+U783</f>
        <v>0</v>
      </c>
      <c r="X783" s="38"/>
      <c r="Y783" s="38">
        <f>W783-X783</f>
        <v>0</v>
      </c>
      <c r="Z783" s="34"/>
    </row>
    <row r="784" spans="1:27" s="25" customFormat="1" ht="18" customHeight="1" x14ac:dyDescent="0.2">
      <c r="A784" s="279"/>
      <c r="B784" s="277" t="s">
        <v>0</v>
      </c>
      <c r="C784" s="276" t="s">
        <v>210</v>
      </c>
      <c r="D784" s="277"/>
      <c r="E784" s="277"/>
      <c r="F784" s="277"/>
      <c r="G784" s="277"/>
      <c r="H784" s="287"/>
      <c r="I784" s="283"/>
      <c r="J784" s="277"/>
      <c r="K784" s="277"/>
      <c r="L784" s="288"/>
      <c r="M784" s="24"/>
      <c r="N784" s="39"/>
      <c r="O784" s="36" t="s">
        <v>69</v>
      </c>
      <c r="P784" s="36"/>
      <c r="Q784" s="36"/>
      <c r="R784" s="36" t="str">
        <f>IF(Q784="","",R783-Q784)</f>
        <v/>
      </c>
      <c r="S784" s="27"/>
      <c r="T784" s="36" t="s">
        <v>69</v>
      </c>
      <c r="U784" s="64">
        <f>Y783</f>
        <v>0</v>
      </c>
      <c r="V784" s="38"/>
      <c r="W784" s="64">
        <f>IF(U784="","",U784+V784)</f>
        <v>0</v>
      </c>
      <c r="X784" s="38"/>
      <c r="Y784" s="64">
        <f>IF(W784="","",W784-X784)</f>
        <v>0</v>
      </c>
      <c r="Z784" s="40"/>
      <c r="AA784" s="24"/>
    </row>
    <row r="785" spans="1:27" s="25" customFormat="1" ht="18" customHeight="1" x14ac:dyDescent="0.2">
      <c r="A785" s="279"/>
      <c r="B785" s="289" t="s">
        <v>39</v>
      </c>
      <c r="C785" s="290"/>
      <c r="D785" s="277"/>
      <c r="E785" s="277"/>
      <c r="F785" s="395" t="s">
        <v>41</v>
      </c>
      <c r="G785" s="395"/>
      <c r="H785" s="277"/>
      <c r="I785" s="395" t="s">
        <v>42</v>
      </c>
      <c r="J785" s="395"/>
      <c r="K785" s="395"/>
      <c r="L785" s="291"/>
      <c r="N785" s="35"/>
      <c r="O785" s="36" t="s">
        <v>44</v>
      </c>
      <c r="P785" s="36"/>
      <c r="Q785" s="36"/>
      <c r="R785" s="36" t="str">
        <f t="shared" ref="R785:R794" si="188">IF(Q785="","",R784-Q785)</f>
        <v/>
      </c>
      <c r="S785" s="27"/>
      <c r="T785" s="36" t="s">
        <v>44</v>
      </c>
      <c r="U785" s="64">
        <f>IF($J$1="April",Y784,Y784)</f>
        <v>0</v>
      </c>
      <c r="V785" s="38"/>
      <c r="W785" s="64">
        <f t="shared" ref="W785:W794" si="189">IF(U785="","",U785+V785)</f>
        <v>0</v>
      </c>
      <c r="X785" s="38"/>
      <c r="Y785" s="64">
        <f t="shared" ref="Y785:Y794" si="190">IF(W785="","",W785-X785)</f>
        <v>0</v>
      </c>
      <c r="Z785" s="40"/>
    </row>
    <row r="786" spans="1:27" s="25" customFormat="1" ht="18" customHeight="1" x14ac:dyDescent="0.2">
      <c r="A786" s="279"/>
      <c r="B786" s="277"/>
      <c r="C786" s="277"/>
      <c r="D786" s="277"/>
      <c r="E786" s="277"/>
      <c r="F786" s="277"/>
      <c r="G786" s="277"/>
      <c r="H786" s="292"/>
      <c r="I786" s="277"/>
      <c r="J786" s="277"/>
      <c r="K786" s="277"/>
      <c r="L786" s="293"/>
      <c r="N786" s="35"/>
      <c r="O786" s="36" t="s">
        <v>45</v>
      </c>
      <c r="P786" s="36"/>
      <c r="Q786" s="36"/>
      <c r="R786" s="36" t="str">
        <f t="shared" si="188"/>
        <v/>
      </c>
      <c r="S786" s="27"/>
      <c r="T786" s="36" t="s">
        <v>45</v>
      </c>
      <c r="U786" s="64">
        <f>IF($J$1="April",Y785,Y785)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388" t="s">
        <v>40</v>
      </c>
      <c r="C787" s="389"/>
      <c r="D787" s="277"/>
      <c r="E787" s="277"/>
      <c r="F787" s="294" t="s">
        <v>62</v>
      </c>
      <c r="G787" s="295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7" s="292"/>
      <c r="I787" s="296"/>
      <c r="J787" s="297" t="s">
        <v>59</v>
      </c>
      <c r="K787" s="298">
        <f>K783/$K$2*I787</f>
        <v>0</v>
      </c>
      <c r="L787" s="299"/>
      <c r="N787" s="35"/>
      <c r="O787" s="36" t="s">
        <v>46</v>
      </c>
      <c r="P787" s="36"/>
      <c r="Q787" s="36"/>
      <c r="R787" s="36" t="str">
        <f t="shared" si="188"/>
        <v/>
      </c>
      <c r="S787" s="27"/>
      <c r="T787" s="36" t="s">
        <v>46</v>
      </c>
      <c r="U787" s="64">
        <f>IF($J$1="May",Y786,Y786)</f>
        <v>0</v>
      </c>
      <c r="V787" s="38"/>
      <c r="W787" s="64">
        <f t="shared" si="189"/>
        <v>0</v>
      </c>
      <c r="X787" s="38"/>
      <c r="Y787" s="64">
        <f t="shared" si="190"/>
        <v>0</v>
      </c>
      <c r="Z787" s="40"/>
    </row>
    <row r="788" spans="1:27" s="25" customFormat="1" ht="18" customHeight="1" x14ac:dyDescent="0.2">
      <c r="A788" s="279"/>
      <c r="B788" s="300"/>
      <c r="C788" s="300"/>
      <c r="D788" s="277"/>
      <c r="E788" s="277"/>
      <c r="F788" s="294" t="s">
        <v>18</v>
      </c>
      <c r="G788" s="295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292"/>
      <c r="I788" s="296"/>
      <c r="J788" s="297" t="s">
        <v>60</v>
      </c>
      <c r="K788" s="301">
        <f>K783/$K$2/8*I788</f>
        <v>0</v>
      </c>
      <c r="L788" s="302"/>
      <c r="N788" s="35"/>
      <c r="O788" s="36" t="s">
        <v>47</v>
      </c>
      <c r="P788" s="36"/>
      <c r="Q788" s="36"/>
      <c r="R788" s="36" t="str">
        <f t="shared" si="188"/>
        <v/>
      </c>
      <c r="S788" s="27"/>
      <c r="T788" s="36" t="s">
        <v>47</v>
      </c>
      <c r="U788" s="64">
        <f>IF($J$1="May",Y787,Y787)</f>
        <v>0</v>
      </c>
      <c r="V788" s="38"/>
      <c r="W788" s="64">
        <f t="shared" si="189"/>
        <v>0</v>
      </c>
      <c r="X788" s="38"/>
      <c r="Y788" s="64">
        <f t="shared" si="190"/>
        <v>0</v>
      </c>
      <c r="Z788" s="40"/>
    </row>
    <row r="789" spans="1:27" s="25" customFormat="1" ht="18" customHeight="1" x14ac:dyDescent="0.2">
      <c r="A789" s="279"/>
      <c r="B789" s="294" t="s">
        <v>7</v>
      </c>
      <c r="C789" s="300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277"/>
      <c r="E789" s="277"/>
      <c r="F789" s="294" t="s">
        <v>63</v>
      </c>
      <c r="G789" s="295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9" s="292"/>
      <c r="I789" s="383" t="s">
        <v>67</v>
      </c>
      <c r="J789" s="384"/>
      <c r="K789" s="301">
        <f>K787+K788</f>
        <v>0</v>
      </c>
      <c r="L789" s="302"/>
      <c r="N789" s="35"/>
      <c r="O789" s="36" t="s">
        <v>48</v>
      </c>
      <c r="P789" s="36"/>
      <c r="Q789" s="36"/>
      <c r="R789" s="36" t="str">
        <f t="shared" si="188"/>
        <v/>
      </c>
      <c r="S789" s="27"/>
      <c r="T789" s="36" t="s">
        <v>48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94" t="s">
        <v>6</v>
      </c>
      <c r="C790" s="300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277"/>
      <c r="E790" s="277"/>
      <c r="F790" s="294" t="s">
        <v>19</v>
      </c>
      <c r="G790" s="295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292"/>
      <c r="I790" s="383" t="s">
        <v>68</v>
      </c>
      <c r="J790" s="384"/>
      <c r="K790" s="295">
        <f>G790</f>
        <v>0</v>
      </c>
      <c r="L790" s="303"/>
      <c r="N790" s="35"/>
      <c r="O790" s="36" t="s">
        <v>49</v>
      </c>
      <c r="P790" s="36"/>
      <c r="Q790" s="36"/>
      <c r="R790" s="36" t="str">
        <f t="shared" si="188"/>
        <v/>
      </c>
      <c r="S790" s="27"/>
      <c r="T790" s="36" t="s">
        <v>49</v>
      </c>
      <c r="U790" s="64" t="str">
        <f>IF($J$1="September",Y789,"")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2">
      <c r="A791" s="279"/>
      <c r="B791" s="312" t="s">
        <v>66</v>
      </c>
      <c r="C791" s="300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D791" s="277"/>
      <c r="E791" s="277"/>
      <c r="F791" s="294" t="s">
        <v>65</v>
      </c>
      <c r="G791" s="295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H791" s="277"/>
      <c r="I791" s="377" t="s">
        <v>61</v>
      </c>
      <c r="J791" s="378"/>
      <c r="K791" s="234">
        <f>K789-K790</f>
        <v>0</v>
      </c>
      <c r="L791" s="304"/>
      <c r="N791" s="35"/>
      <c r="O791" s="36" t="s">
        <v>54</v>
      </c>
      <c r="P791" s="36"/>
      <c r="Q791" s="36"/>
      <c r="R791" s="36" t="str">
        <f t="shared" si="188"/>
        <v/>
      </c>
      <c r="S791" s="27"/>
      <c r="T791" s="36" t="s">
        <v>54</v>
      </c>
      <c r="U791" s="64" t="str">
        <f>IF($J$1="Sept",Y790,"")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x14ac:dyDescent="0.2">
      <c r="A792" s="279"/>
      <c r="B792" s="277"/>
      <c r="C792" s="277"/>
      <c r="D792" s="277"/>
      <c r="E792" s="277"/>
      <c r="F792" s="277"/>
      <c r="G792" s="277"/>
      <c r="H792" s="277"/>
      <c r="I792" s="277"/>
      <c r="J792" s="277"/>
      <c r="K792" s="277"/>
      <c r="L792" s="291"/>
      <c r="N792" s="35"/>
      <c r="O792" s="36" t="s">
        <v>50</v>
      </c>
      <c r="P792" s="36"/>
      <c r="Q792" s="36"/>
      <c r="R792" s="36" t="str">
        <f t="shared" si="188"/>
        <v/>
      </c>
      <c r="S792" s="27"/>
      <c r="T792" s="36" t="s">
        <v>50</v>
      </c>
      <c r="U792" s="64" t="str">
        <f>IF($J$1="October",Y791,"")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x14ac:dyDescent="0.2">
      <c r="A793" s="279"/>
      <c r="B793" s="396" t="s">
        <v>82</v>
      </c>
      <c r="C793" s="396"/>
      <c r="D793" s="396"/>
      <c r="E793" s="396"/>
      <c r="F793" s="396"/>
      <c r="G793" s="396"/>
      <c r="H793" s="396"/>
      <c r="I793" s="396"/>
      <c r="J793" s="396"/>
      <c r="K793" s="396"/>
      <c r="L793" s="291"/>
      <c r="N793" s="35"/>
      <c r="O793" s="36" t="s">
        <v>55</v>
      </c>
      <c r="P793" s="36"/>
      <c r="Q793" s="36"/>
      <c r="R793" s="36" t="str">
        <f t="shared" si="188"/>
        <v/>
      </c>
      <c r="S793" s="27"/>
      <c r="T793" s="36" t="s">
        <v>55</v>
      </c>
      <c r="U793" s="64" t="str">
        <f>IF($J$1="November",Y792,"")</f>
        <v/>
      </c>
      <c r="V793" s="38"/>
      <c r="W793" s="64" t="str">
        <f t="shared" si="189"/>
        <v/>
      </c>
      <c r="X793" s="38"/>
      <c r="Y793" s="64" t="str">
        <f t="shared" si="190"/>
        <v/>
      </c>
      <c r="Z793" s="40"/>
    </row>
    <row r="794" spans="1:27" s="25" customFormat="1" ht="18" customHeight="1" x14ac:dyDescent="0.2">
      <c r="A794" s="279"/>
      <c r="B794" s="396"/>
      <c r="C794" s="396"/>
      <c r="D794" s="396"/>
      <c r="E794" s="396"/>
      <c r="F794" s="396"/>
      <c r="G794" s="396"/>
      <c r="H794" s="396"/>
      <c r="I794" s="396"/>
      <c r="J794" s="396"/>
      <c r="K794" s="396"/>
      <c r="L794" s="291"/>
      <c r="N794" s="35"/>
      <c r="O794" s="36" t="s">
        <v>56</v>
      </c>
      <c r="P794" s="36"/>
      <c r="Q794" s="36"/>
      <c r="R794" s="36" t="str">
        <f t="shared" si="188"/>
        <v/>
      </c>
      <c r="S794" s="27"/>
      <c r="T794" s="36" t="s">
        <v>56</v>
      </c>
      <c r="U794" s="64" t="str">
        <f>IF($J$1="Dec",Y793,"")</f>
        <v/>
      </c>
      <c r="V794" s="38"/>
      <c r="W794" s="64" t="str">
        <f t="shared" si="189"/>
        <v/>
      </c>
      <c r="X794" s="38"/>
      <c r="Y794" s="64" t="str">
        <f t="shared" si="190"/>
        <v/>
      </c>
      <c r="Z794" s="40"/>
    </row>
    <row r="795" spans="1:27" s="25" customFormat="1" ht="18" customHeight="1" thickBot="1" x14ac:dyDescent="0.25">
      <c r="A795" s="305"/>
      <c r="B795" s="313"/>
      <c r="C795" s="313"/>
      <c r="D795" s="313"/>
      <c r="E795" s="313"/>
      <c r="F795" s="313"/>
      <c r="G795" s="313"/>
      <c r="H795" s="313"/>
      <c r="I795" s="313"/>
      <c r="J795" s="313"/>
      <c r="K795" s="313"/>
      <c r="L795" s="307"/>
      <c r="N795" s="41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3"/>
    </row>
    <row r="796" spans="1:27" s="25" customFormat="1" ht="18" customHeight="1" thickBot="1" x14ac:dyDescent="0.25">
      <c r="A796" s="277"/>
      <c r="B796" s="277"/>
      <c r="C796" s="277"/>
      <c r="D796" s="277"/>
      <c r="E796" s="277"/>
      <c r="F796" s="277"/>
      <c r="G796" s="277"/>
      <c r="H796" s="277"/>
      <c r="I796" s="277"/>
      <c r="J796" s="277"/>
      <c r="K796" s="277"/>
      <c r="L796" s="27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7" s="25" customFormat="1" ht="18" customHeight="1" x14ac:dyDescent="0.2">
      <c r="A797" s="403" t="s">
        <v>38</v>
      </c>
      <c r="B797" s="404"/>
      <c r="C797" s="404"/>
      <c r="D797" s="404"/>
      <c r="E797" s="404"/>
      <c r="F797" s="404"/>
      <c r="G797" s="404"/>
      <c r="H797" s="404"/>
      <c r="I797" s="404"/>
      <c r="J797" s="404"/>
      <c r="K797" s="404"/>
      <c r="L797" s="405"/>
      <c r="M797" s="24"/>
      <c r="N797" s="28"/>
      <c r="O797" s="380" t="s">
        <v>40</v>
      </c>
      <c r="P797" s="381"/>
      <c r="Q797" s="381"/>
      <c r="R797" s="382"/>
      <c r="S797" s="29"/>
      <c r="T797" s="380" t="s">
        <v>41</v>
      </c>
      <c r="U797" s="381"/>
      <c r="V797" s="381"/>
      <c r="W797" s="381"/>
      <c r="X797" s="381"/>
      <c r="Y797" s="382"/>
      <c r="Z797" s="30"/>
      <c r="AA797" s="24"/>
    </row>
    <row r="798" spans="1:27" s="25" customFormat="1" ht="18" customHeight="1" x14ac:dyDescent="0.2">
      <c r="A798" s="279"/>
      <c r="B798" s="277"/>
      <c r="C798" s="391" t="s">
        <v>213</v>
      </c>
      <c r="D798" s="391"/>
      <c r="E798" s="391"/>
      <c r="F798" s="391"/>
      <c r="G798" s="280" t="str">
        <f>$J$1</f>
        <v>November</v>
      </c>
      <c r="H798" s="390">
        <f>$K$1</f>
        <v>2023</v>
      </c>
      <c r="I798" s="390"/>
      <c r="J798" s="277"/>
      <c r="K798" s="281"/>
      <c r="L798" s="282"/>
      <c r="M798" s="26"/>
      <c r="N798" s="31"/>
      <c r="O798" s="32" t="s">
        <v>51</v>
      </c>
      <c r="P798" s="32" t="s">
        <v>7</v>
      </c>
      <c r="Q798" s="32" t="s">
        <v>6</v>
      </c>
      <c r="R798" s="32" t="s">
        <v>52</v>
      </c>
      <c r="S798" s="33"/>
      <c r="T798" s="32" t="s">
        <v>51</v>
      </c>
      <c r="U798" s="32" t="s">
        <v>53</v>
      </c>
      <c r="V798" s="32" t="s">
        <v>18</v>
      </c>
      <c r="W798" s="32" t="s">
        <v>17</v>
      </c>
      <c r="X798" s="32" t="s">
        <v>19</v>
      </c>
      <c r="Y798" s="32" t="s">
        <v>57</v>
      </c>
      <c r="Z798" s="34"/>
      <c r="AA798" s="26"/>
    </row>
    <row r="799" spans="1:27" s="25" customFormat="1" ht="18" customHeight="1" x14ac:dyDescent="0.2">
      <c r="A799" s="279"/>
      <c r="B799" s="277"/>
      <c r="C799" s="277"/>
      <c r="D799" s="283"/>
      <c r="E799" s="283"/>
      <c r="F799" s="283"/>
      <c r="G799" s="283"/>
      <c r="H799" s="283"/>
      <c r="I799" s="277"/>
      <c r="J799" s="284" t="s">
        <v>1</v>
      </c>
      <c r="K799" s="285"/>
      <c r="L799" s="286"/>
      <c r="N799" s="35"/>
      <c r="O799" s="36" t="s">
        <v>43</v>
      </c>
      <c r="P799" s="36">
        <v>29</v>
      </c>
      <c r="Q799" s="36">
        <v>2</v>
      </c>
      <c r="R799" s="36">
        <f>15-Q799</f>
        <v>13</v>
      </c>
      <c r="S799" s="37"/>
      <c r="T799" s="36" t="s">
        <v>43</v>
      </c>
      <c r="U799" s="38"/>
      <c r="V799" s="38"/>
      <c r="W799" s="38">
        <f>V799+U799</f>
        <v>0</v>
      </c>
      <c r="X799" s="38"/>
      <c r="Y799" s="38">
        <f>W799-X799</f>
        <v>0</v>
      </c>
      <c r="Z799" s="34"/>
    </row>
    <row r="800" spans="1:27" s="25" customFormat="1" ht="18" customHeight="1" x14ac:dyDescent="0.2">
      <c r="A800" s="279"/>
      <c r="B800" s="277" t="s">
        <v>0</v>
      </c>
      <c r="C800" s="276" t="s">
        <v>209</v>
      </c>
      <c r="D800" s="277"/>
      <c r="E800" s="277"/>
      <c r="F800" s="277"/>
      <c r="G800" s="277"/>
      <c r="H800" s="287"/>
      <c r="I800" s="283"/>
      <c r="J800" s="277"/>
      <c r="K800" s="277"/>
      <c r="L800" s="288"/>
      <c r="M800" s="24"/>
      <c r="N800" s="39"/>
      <c r="O800" s="36" t="s">
        <v>69</v>
      </c>
      <c r="P800" s="36">
        <v>28</v>
      </c>
      <c r="Q800" s="36">
        <v>1</v>
      </c>
      <c r="R800" s="36">
        <f>IF(Q800="","",R799-Q800)</f>
        <v>12</v>
      </c>
      <c r="S800" s="27"/>
      <c r="T800" s="36" t="s">
        <v>69</v>
      </c>
      <c r="U800" s="64">
        <f>IF($J$1="January","",Y799)</f>
        <v>0</v>
      </c>
      <c r="V800" s="38"/>
      <c r="W800" s="64">
        <f>IF(U800="","",U800+V800)</f>
        <v>0</v>
      </c>
      <c r="X800" s="38"/>
      <c r="Y800" s="64">
        <f>IF(W800="","",W800-X800)</f>
        <v>0</v>
      </c>
      <c r="Z800" s="40"/>
      <c r="AA800" s="24"/>
    </row>
    <row r="801" spans="1:27" s="25" customFormat="1" ht="18" customHeight="1" x14ac:dyDescent="0.2">
      <c r="A801" s="279"/>
      <c r="B801" s="289" t="s">
        <v>39</v>
      </c>
      <c r="C801" s="290"/>
      <c r="D801" s="277"/>
      <c r="E801" s="277"/>
      <c r="F801" s="395" t="s">
        <v>41</v>
      </c>
      <c r="G801" s="395"/>
      <c r="H801" s="277"/>
      <c r="I801" s="395" t="s">
        <v>42</v>
      </c>
      <c r="J801" s="395"/>
      <c r="K801" s="395"/>
      <c r="L801" s="291"/>
      <c r="N801" s="35"/>
      <c r="O801" s="36" t="s">
        <v>44</v>
      </c>
      <c r="P801" s="36">
        <v>31</v>
      </c>
      <c r="Q801" s="36">
        <v>0</v>
      </c>
      <c r="R801" s="36">
        <f t="shared" ref="R801" si="191">IF(Q801="","",R800-Q801)</f>
        <v>12</v>
      </c>
      <c r="S801" s="27"/>
      <c r="T801" s="36" t="s">
        <v>44</v>
      </c>
      <c r="U801" s="64">
        <f>IF($J$1="February","",Y800)</f>
        <v>0</v>
      </c>
      <c r="V801" s="38"/>
      <c r="W801" s="64">
        <f t="shared" ref="W801:W810" si="192">IF(U801="","",U801+V801)</f>
        <v>0</v>
      </c>
      <c r="X801" s="38"/>
      <c r="Y801" s="64">
        <f t="shared" ref="Y801:Y810" si="193">IF(W801="","",W801-X801)</f>
        <v>0</v>
      </c>
      <c r="Z801" s="40"/>
    </row>
    <row r="802" spans="1:27" s="25" customFormat="1" ht="18" customHeight="1" x14ac:dyDescent="0.2">
      <c r="A802" s="279"/>
      <c r="B802" s="277"/>
      <c r="C802" s="277"/>
      <c r="D802" s="277"/>
      <c r="E802" s="277"/>
      <c r="F802" s="277"/>
      <c r="G802" s="277"/>
      <c r="H802" s="292"/>
      <c r="I802" s="277"/>
      <c r="J802" s="277"/>
      <c r="K802" s="277"/>
      <c r="L802" s="293"/>
      <c r="N802" s="35"/>
      <c r="O802" s="36" t="s">
        <v>45</v>
      </c>
      <c r="P802" s="36">
        <v>14</v>
      </c>
      <c r="Q802" s="36">
        <v>16</v>
      </c>
      <c r="R802" s="36">
        <v>0</v>
      </c>
      <c r="S802" s="27"/>
      <c r="T802" s="36" t="s">
        <v>45</v>
      </c>
      <c r="U802" s="64">
        <f>IF($J$1="March","",Y801)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88" t="s">
        <v>40</v>
      </c>
      <c r="C803" s="389"/>
      <c r="D803" s="277"/>
      <c r="E803" s="277"/>
      <c r="F803" s="294" t="s">
        <v>62</v>
      </c>
      <c r="G803" s="295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292"/>
      <c r="I803" s="296">
        <f>IF(C807&gt;0,$K$2,C805)</f>
        <v>0</v>
      </c>
      <c r="J803" s="297" t="s">
        <v>59</v>
      </c>
      <c r="K803" s="298">
        <f>K799/$K$2*I803</f>
        <v>0</v>
      </c>
      <c r="L803" s="299"/>
      <c r="N803" s="35"/>
      <c r="O803" s="36" t="s">
        <v>46</v>
      </c>
      <c r="P803" s="36">
        <v>28</v>
      </c>
      <c r="Q803" s="36">
        <v>3</v>
      </c>
      <c r="R803" s="36">
        <v>0</v>
      </c>
      <c r="S803" s="27"/>
      <c r="T803" s="36" t="s">
        <v>46</v>
      </c>
      <c r="U803" s="64">
        <f>IF($J$1="April","",Y802)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300"/>
      <c r="C804" s="300"/>
      <c r="D804" s="277"/>
      <c r="E804" s="277"/>
      <c r="F804" s="294" t="s">
        <v>18</v>
      </c>
      <c r="G804" s="295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292"/>
      <c r="I804" s="314"/>
      <c r="J804" s="297" t="s">
        <v>60</v>
      </c>
      <c r="K804" s="301">
        <f>K799/$K$2/8*I804</f>
        <v>0</v>
      </c>
      <c r="L804" s="302"/>
      <c r="N804" s="35"/>
      <c r="O804" s="36" t="s">
        <v>47</v>
      </c>
      <c r="P804" s="36">
        <v>4</v>
      </c>
      <c r="Q804" s="36">
        <v>26</v>
      </c>
      <c r="R804" s="36">
        <v>0</v>
      </c>
      <c r="S804" s="27"/>
      <c r="T804" s="36" t="s">
        <v>47</v>
      </c>
      <c r="U804" s="64">
        <f>IF($J$1="May","",Y803)</f>
        <v>0</v>
      </c>
      <c r="V804" s="38"/>
      <c r="W804" s="64">
        <f t="shared" si="192"/>
        <v>0</v>
      </c>
      <c r="X804" s="38"/>
      <c r="Y804" s="64">
        <f t="shared" si="193"/>
        <v>0</v>
      </c>
      <c r="Z804" s="40"/>
    </row>
    <row r="805" spans="1:27" s="25" customFormat="1" ht="18" customHeight="1" x14ac:dyDescent="0.2">
      <c r="A805" s="279"/>
      <c r="B805" s="294" t="s">
        <v>7</v>
      </c>
      <c r="C805" s="300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277"/>
      <c r="E805" s="277"/>
      <c r="F805" s="294" t="s">
        <v>63</v>
      </c>
      <c r="G805" s="295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292"/>
      <c r="I805" s="383" t="s">
        <v>67</v>
      </c>
      <c r="J805" s="384"/>
      <c r="K805" s="301">
        <f>K803+K804</f>
        <v>0</v>
      </c>
      <c r="L805" s="302"/>
      <c r="N805" s="35"/>
      <c r="O805" s="36" t="s">
        <v>48</v>
      </c>
      <c r="P805" s="36"/>
      <c r="Q805" s="36"/>
      <c r="R805" s="36">
        <v>0</v>
      </c>
      <c r="S805" s="27"/>
      <c r="T805" s="36" t="s">
        <v>48</v>
      </c>
      <c r="U805" s="64">
        <f>IF($J$1="June","",Y804)</f>
        <v>0</v>
      </c>
      <c r="V805" s="38"/>
      <c r="W805" s="64">
        <f t="shared" si="192"/>
        <v>0</v>
      </c>
      <c r="X805" s="38"/>
      <c r="Y805" s="64">
        <f t="shared" si="193"/>
        <v>0</v>
      </c>
      <c r="Z805" s="40"/>
    </row>
    <row r="806" spans="1:27" s="25" customFormat="1" ht="18" customHeight="1" x14ac:dyDescent="0.2">
      <c r="A806" s="279"/>
      <c r="B806" s="294" t="s">
        <v>6</v>
      </c>
      <c r="C806" s="300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277"/>
      <c r="E806" s="277"/>
      <c r="F806" s="294" t="s">
        <v>19</v>
      </c>
      <c r="G806" s="295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292"/>
      <c r="I806" s="383" t="s">
        <v>68</v>
      </c>
      <c r="J806" s="384"/>
      <c r="K806" s="295">
        <f>G806</f>
        <v>0</v>
      </c>
      <c r="L806" s="303"/>
      <c r="N806" s="35"/>
      <c r="O806" s="36" t="s">
        <v>49</v>
      </c>
      <c r="P806" s="36"/>
      <c r="Q806" s="36"/>
      <c r="R806" s="36">
        <v>0</v>
      </c>
      <c r="S806" s="27"/>
      <c r="T806" s="36" t="s">
        <v>49</v>
      </c>
      <c r="U806" s="64">
        <f>IF($J$1="July","",Y805)</f>
        <v>0</v>
      </c>
      <c r="V806" s="38"/>
      <c r="W806" s="64">
        <f t="shared" si="192"/>
        <v>0</v>
      </c>
      <c r="X806" s="38"/>
      <c r="Y806" s="64">
        <f t="shared" si="193"/>
        <v>0</v>
      </c>
      <c r="Z806" s="40"/>
    </row>
    <row r="807" spans="1:27" s="25" customFormat="1" ht="18" customHeight="1" x14ac:dyDescent="0.2">
      <c r="A807" s="279"/>
      <c r="B807" s="312" t="s">
        <v>66</v>
      </c>
      <c r="C807" s="300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D807" s="277"/>
      <c r="E807" s="277"/>
      <c r="F807" s="294" t="s">
        <v>65</v>
      </c>
      <c r="G807" s="295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H807" s="277"/>
      <c r="I807" s="377" t="s">
        <v>61</v>
      </c>
      <c r="J807" s="378"/>
      <c r="K807" s="234"/>
      <c r="L807" s="304"/>
      <c r="N807" s="35"/>
      <c r="O807" s="36" t="s">
        <v>54</v>
      </c>
      <c r="P807" s="36"/>
      <c r="Q807" s="36"/>
      <c r="R807" s="36">
        <v>0</v>
      </c>
      <c r="S807" s="27"/>
      <c r="T807" s="36" t="s">
        <v>54</v>
      </c>
      <c r="U807" s="64">
        <f>IF($J$1="August","",Y806)</f>
        <v>0</v>
      </c>
      <c r="V807" s="38"/>
      <c r="W807" s="64">
        <f t="shared" si="192"/>
        <v>0</v>
      </c>
      <c r="X807" s="38"/>
      <c r="Y807" s="64">
        <f t="shared" si="193"/>
        <v>0</v>
      </c>
      <c r="Z807" s="40"/>
    </row>
    <row r="808" spans="1:27" s="25" customFormat="1" ht="18" customHeight="1" x14ac:dyDescent="0.2">
      <c r="A808" s="279"/>
      <c r="B808" s="277"/>
      <c r="C808" s="277"/>
      <c r="D808" s="277"/>
      <c r="E808" s="277"/>
      <c r="F808" s="277"/>
      <c r="G808" s="277"/>
      <c r="H808" s="277"/>
      <c r="I808" s="277"/>
      <c r="J808" s="311"/>
      <c r="K808" s="311"/>
      <c r="L808" s="291"/>
      <c r="N808" s="35"/>
      <c r="O808" s="36" t="s">
        <v>50</v>
      </c>
      <c r="P808" s="36"/>
      <c r="Q808" s="36"/>
      <c r="R808" s="36">
        <v>0</v>
      </c>
      <c r="S808" s="27"/>
      <c r="T808" s="36" t="s">
        <v>50</v>
      </c>
      <c r="U808" s="64">
        <f>IF($J$1="September","",Y807)</f>
        <v>0</v>
      </c>
      <c r="V808" s="38"/>
      <c r="W808" s="64">
        <f t="shared" si="192"/>
        <v>0</v>
      </c>
      <c r="X808" s="38"/>
      <c r="Y808" s="64">
        <f t="shared" si="193"/>
        <v>0</v>
      </c>
      <c r="Z808" s="40"/>
    </row>
    <row r="809" spans="1:27" s="25" customFormat="1" ht="18" customHeight="1" x14ac:dyDescent="0.2">
      <c r="A809" s="279"/>
      <c r="B809" s="396" t="s">
        <v>82</v>
      </c>
      <c r="C809" s="396"/>
      <c r="D809" s="396"/>
      <c r="E809" s="396"/>
      <c r="F809" s="396"/>
      <c r="G809" s="396"/>
      <c r="H809" s="396"/>
      <c r="I809" s="396"/>
      <c r="J809" s="396"/>
      <c r="K809" s="396"/>
      <c r="L809" s="291"/>
      <c r="N809" s="35"/>
      <c r="O809" s="36" t="s">
        <v>55</v>
      </c>
      <c r="P809" s="36"/>
      <c r="Q809" s="36"/>
      <c r="R809" s="36">
        <v>0</v>
      </c>
      <c r="S809" s="27"/>
      <c r="T809" s="36" t="s">
        <v>55</v>
      </c>
      <c r="U809" s="64">
        <f>IF($J$1="October","",Y808)</f>
        <v>0</v>
      </c>
      <c r="V809" s="38"/>
      <c r="W809" s="64">
        <f t="shared" si="192"/>
        <v>0</v>
      </c>
      <c r="X809" s="38"/>
      <c r="Y809" s="64">
        <f t="shared" si="193"/>
        <v>0</v>
      </c>
      <c r="Z809" s="40"/>
    </row>
    <row r="810" spans="1:27" s="25" customFormat="1" ht="18" customHeight="1" x14ac:dyDescent="0.2">
      <c r="A810" s="279"/>
      <c r="B810" s="396"/>
      <c r="C810" s="396"/>
      <c r="D810" s="396"/>
      <c r="E810" s="396"/>
      <c r="F810" s="396"/>
      <c r="G810" s="396"/>
      <c r="H810" s="396"/>
      <c r="I810" s="396"/>
      <c r="J810" s="396"/>
      <c r="K810" s="396"/>
      <c r="L810" s="291"/>
      <c r="N810" s="35"/>
      <c r="O810" s="36" t="s">
        <v>56</v>
      </c>
      <c r="P810" s="36"/>
      <c r="Q810" s="36"/>
      <c r="R810" s="36">
        <v>0</v>
      </c>
      <c r="S810" s="27"/>
      <c r="T810" s="36" t="s">
        <v>56</v>
      </c>
      <c r="U810" s="64" t="str">
        <f>IF($J$1="November","",Y809)</f>
        <v/>
      </c>
      <c r="V810" s="38"/>
      <c r="W810" s="64" t="str">
        <f t="shared" si="192"/>
        <v/>
      </c>
      <c r="X810" s="38"/>
      <c r="Y810" s="64" t="str">
        <f t="shared" si="193"/>
        <v/>
      </c>
      <c r="Z810" s="40"/>
    </row>
    <row r="811" spans="1:27" s="25" customFormat="1" ht="18" customHeight="1" thickBot="1" x14ac:dyDescent="0.25">
      <c r="A811" s="305"/>
      <c r="B811" s="313"/>
      <c r="C811" s="313"/>
      <c r="D811" s="313"/>
      <c r="E811" s="313"/>
      <c r="F811" s="313"/>
      <c r="G811" s="313"/>
      <c r="H811" s="313"/>
      <c r="I811" s="313"/>
      <c r="J811" s="313"/>
      <c r="K811" s="313"/>
      <c r="L811" s="307"/>
      <c r="N811" s="41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3"/>
    </row>
    <row r="812" spans="1:27" s="25" customFormat="1" ht="18" customHeight="1" thickBot="1" x14ac:dyDescent="0.25">
      <c r="A812" s="277"/>
      <c r="B812" s="277"/>
      <c r="C812" s="277"/>
      <c r="D812" s="277"/>
      <c r="E812" s="277"/>
      <c r="F812" s="277"/>
      <c r="G812" s="277"/>
      <c r="H812" s="277"/>
      <c r="I812" s="277"/>
      <c r="J812" s="277"/>
      <c r="K812" s="277"/>
      <c r="L812" s="27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7" s="25" customFormat="1" ht="18" customHeight="1" x14ac:dyDescent="0.2">
      <c r="A813" s="406" t="s">
        <v>38</v>
      </c>
      <c r="B813" s="407"/>
      <c r="C813" s="407"/>
      <c r="D813" s="407"/>
      <c r="E813" s="407"/>
      <c r="F813" s="407"/>
      <c r="G813" s="407"/>
      <c r="H813" s="407"/>
      <c r="I813" s="407"/>
      <c r="J813" s="407"/>
      <c r="K813" s="407"/>
      <c r="L813" s="408"/>
      <c r="M813" s="24"/>
      <c r="N813" s="28"/>
      <c r="O813" s="380" t="s">
        <v>40</v>
      </c>
      <c r="P813" s="381"/>
      <c r="Q813" s="381"/>
      <c r="R813" s="382"/>
      <c r="S813" s="29"/>
      <c r="T813" s="380" t="s">
        <v>41</v>
      </c>
      <c r="U813" s="381"/>
      <c r="V813" s="381"/>
      <c r="W813" s="381"/>
      <c r="X813" s="381"/>
      <c r="Y813" s="382"/>
      <c r="Z813" s="30"/>
      <c r="AA813" s="24"/>
    </row>
    <row r="814" spans="1:27" s="25" customFormat="1" ht="18" customHeight="1" x14ac:dyDescent="0.2">
      <c r="A814" s="279"/>
      <c r="B814" s="277"/>
      <c r="C814" s="391" t="s">
        <v>213</v>
      </c>
      <c r="D814" s="391"/>
      <c r="E814" s="391"/>
      <c r="F814" s="391"/>
      <c r="G814" s="280" t="str">
        <f>$J$1</f>
        <v>November</v>
      </c>
      <c r="H814" s="390">
        <f>$K$1</f>
        <v>2023</v>
      </c>
      <c r="I814" s="390"/>
      <c r="J814" s="277"/>
      <c r="K814" s="281"/>
      <c r="L814" s="282"/>
      <c r="M814" s="26"/>
      <c r="N814" s="31"/>
      <c r="O814" s="32" t="s">
        <v>51</v>
      </c>
      <c r="P814" s="32" t="s">
        <v>7</v>
      </c>
      <c r="Q814" s="32" t="s">
        <v>6</v>
      </c>
      <c r="R814" s="32" t="s">
        <v>52</v>
      </c>
      <c r="S814" s="33"/>
      <c r="T814" s="32" t="s">
        <v>51</v>
      </c>
      <c r="U814" s="32" t="s">
        <v>53</v>
      </c>
      <c r="V814" s="32" t="s">
        <v>18</v>
      </c>
      <c r="W814" s="32" t="s">
        <v>17</v>
      </c>
      <c r="X814" s="32" t="s">
        <v>19</v>
      </c>
      <c r="Y814" s="32" t="s">
        <v>57</v>
      </c>
      <c r="Z814" s="34"/>
      <c r="AA814" s="26"/>
    </row>
    <row r="815" spans="1:27" s="25" customFormat="1" ht="18" customHeight="1" x14ac:dyDescent="0.2">
      <c r="A815" s="279"/>
      <c r="B815" s="277"/>
      <c r="C815" s="277"/>
      <c r="D815" s="283"/>
      <c r="E815" s="283"/>
      <c r="F815" s="283"/>
      <c r="G815" s="283"/>
      <c r="H815" s="283"/>
      <c r="I815" s="277"/>
      <c r="J815" s="284" t="s">
        <v>1</v>
      </c>
      <c r="K815" s="285"/>
      <c r="L815" s="286"/>
      <c r="N815" s="35"/>
      <c r="O815" s="36" t="s">
        <v>43</v>
      </c>
      <c r="P815" s="36"/>
      <c r="Q815" s="36"/>
      <c r="R815" s="36">
        <f>15-Q815</f>
        <v>15</v>
      </c>
      <c r="S815" s="37"/>
      <c r="T815" s="36" t="s">
        <v>43</v>
      </c>
      <c r="U815" s="38"/>
      <c r="V815" s="38"/>
      <c r="W815" s="38">
        <f>V815+U815</f>
        <v>0</v>
      </c>
      <c r="X815" s="38"/>
      <c r="Y815" s="38">
        <f>W815-X815</f>
        <v>0</v>
      </c>
      <c r="Z815" s="34"/>
    </row>
    <row r="816" spans="1:27" s="25" customFormat="1" ht="18" customHeight="1" x14ac:dyDescent="0.2">
      <c r="A816" s="279"/>
      <c r="B816" s="277" t="s">
        <v>0</v>
      </c>
      <c r="C816" s="276" t="s">
        <v>208</v>
      </c>
      <c r="D816" s="277"/>
      <c r="E816" s="277"/>
      <c r="F816" s="277"/>
      <c r="G816" s="277"/>
      <c r="H816" s="287"/>
      <c r="I816" s="283"/>
      <c r="J816" s="277"/>
      <c r="K816" s="277"/>
      <c r="L816" s="288"/>
      <c r="M816" s="24"/>
      <c r="N816" s="39"/>
      <c r="O816" s="36" t="s">
        <v>69</v>
      </c>
      <c r="P816" s="36"/>
      <c r="Q816" s="36"/>
      <c r="R816" s="36" t="str">
        <f>IF(Q816="","",R815-Q816)</f>
        <v/>
      </c>
      <c r="S816" s="27"/>
      <c r="T816" s="36" t="s">
        <v>69</v>
      </c>
      <c r="U816" s="64">
        <f>Y815</f>
        <v>0</v>
      </c>
      <c r="V816" s="38"/>
      <c r="W816" s="64">
        <f>IF(U816="","",U816+V816)</f>
        <v>0</v>
      </c>
      <c r="X816" s="38"/>
      <c r="Y816" s="64">
        <f>IF(W816="","",W816-X816)</f>
        <v>0</v>
      </c>
      <c r="Z816" s="40"/>
      <c r="AA816" s="24"/>
    </row>
    <row r="817" spans="1:26" s="25" customFormat="1" ht="18" customHeight="1" x14ac:dyDescent="0.2">
      <c r="A817" s="279"/>
      <c r="B817" s="289" t="s">
        <v>39</v>
      </c>
      <c r="C817" s="315"/>
      <c r="D817" s="277"/>
      <c r="E817" s="277"/>
      <c r="F817" s="395" t="s">
        <v>41</v>
      </c>
      <c r="G817" s="395"/>
      <c r="H817" s="277"/>
      <c r="I817" s="395" t="s">
        <v>42</v>
      </c>
      <c r="J817" s="395"/>
      <c r="K817" s="395"/>
      <c r="L817" s="291"/>
      <c r="N817" s="35"/>
      <c r="O817" s="36" t="s">
        <v>44</v>
      </c>
      <c r="P817" s="36"/>
      <c r="Q817" s="36"/>
      <c r="R817" s="36" t="str">
        <f t="shared" ref="R817:R826" si="194">IF(Q817="","",R816-Q817)</f>
        <v/>
      </c>
      <c r="S817" s="27"/>
      <c r="T817" s="36" t="s">
        <v>44</v>
      </c>
      <c r="U817" s="64">
        <f>IF($J$1="April",Y816,Y816)</f>
        <v>0</v>
      </c>
      <c r="V817" s="38"/>
      <c r="W817" s="64">
        <f t="shared" ref="W817:W826" si="195">IF(U817="","",U817+V817)</f>
        <v>0</v>
      </c>
      <c r="X817" s="38"/>
      <c r="Y817" s="64">
        <f t="shared" ref="Y817:Y826" si="196">IF(W817="","",W817-X817)</f>
        <v>0</v>
      </c>
      <c r="Z817" s="40"/>
    </row>
    <row r="818" spans="1:26" s="25" customFormat="1" ht="18" customHeight="1" x14ac:dyDescent="0.2">
      <c r="A818" s="279"/>
      <c r="B818" s="277"/>
      <c r="C818" s="277"/>
      <c r="D818" s="277"/>
      <c r="E818" s="277"/>
      <c r="F818" s="277"/>
      <c r="G818" s="277"/>
      <c r="H818" s="292"/>
      <c r="I818" s="277"/>
      <c r="J818" s="277"/>
      <c r="K818" s="277"/>
      <c r="L818" s="293"/>
      <c r="N818" s="35"/>
      <c r="O818" s="36" t="s">
        <v>45</v>
      </c>
      <c r="P818" s="36"/>
      <c r="Q818" s="36"/>
      <c r="R818" s="36" t="str">
        <f t="shared" si="194"/>
        <v/>
      </c>
      <c r="S818" s="27"/>
      <c r="T818" s="36" t="s">
        <v>45</v>
      </c>
      <c r="U818" s="64">
        <f>IF($J$1="April",Y817,Y817)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6" s="25" customFormat="1" ht="18" customHeight="1" x14ac:dyDescent="0.2">
      <c r="A819" s="279"/>
      <c r="B819" s="388" t="s">
        <v>40</v>
      </c>
      <c r="C819" s="389"/>
      <c r="D819" s="277"/>
      <c r="E819" s="277"/>
      <c r="F819" s="294" t="s">
        <v>62</v>
      </c>
      <c r="G819" s="295" t="str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/>
      </c>
      <c r="H819" s="292"/>
      <c r="I819" s="296"/>
      <c r="J819" s="297" t="s">
        <v>59</v>
      </c>
      <c r="K819" s="298">
        <f>K815/$K$2*I819</f>
        <v>0</v>
      </c>
      <c r="L819" s="299"/>
      <c r="N819" s="35"/>
      <c r="O819" s="36" t="s">
        <v>46</v>
      </c>
      <c r="P819" s="36"/>
      <c r="Q819" s="36"/>
      <c r="R819" s="36" t="str">
        <f t="shared" si="194"/>
        <v/>
      </c>
      <c r="S819" s="27"/>
      <c r="T819" s="36" t="s">
        <v>46</v>
      </c>
      <c r="U819" s="64">
        <f>IF($J$1="May",Y818,Y818)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6" s="25" customFormat="1" ht="18" customHeight="1" x14ac:dyDescent="0.2">
      <c r="A820" s="279"/>
      <c r="B820" s="300"/>
      <c r="C820" s="300"/>
      <c r="D820" s="277"/>
      <c r="E820" s="277"/>
      <c r="F820" s="294" t="s">
        <v>18</v>
      </c>
      <c r="G820" s="295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292"/>
      <c r="I820" s="296"/>
      <c r="J820" s="297" t="s">
        <v>60</v>
      </c>
      <c r="K820" s="301"/>
      <c r="L820" s="302"/>
      <c r="N820" s="35"/>
      <c r="O820" s="36" t="s">
        <v>47</v>
      </c>
      <c r="P820" s="36"/>
      <c r="Q820" s="36"/>
      <c r="R820" s="36" t="str">
        <f t="shared" si="194"/>
        <v/>
      </c>
      <c r="S820" s="27"/>
      <c r="T820" s="36" t="s">
        <v>47</v>
      </c>
      <c r="U820" s="64">
        <f>IF($J$1="May",Y819,Y819)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6" s="25" customFormat="1" ht="18" customHeight="1" x14ac:dyDescent="0.2">
      <c r="A821" s="279"/>
      <c r="B821" s="294" t="s">
        <v>7</v>
      </c>
      <c r="C821" s="300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21" s="277"/>
      <c r="E821" s="277"/>
      <c r="F821" s="294" t="s">
        <v>63</v>
      </c>
      <c r="G821" s="295" t="str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/>
      </c>
      <c r="H821" s="292"/>
      <c r="I821" s="383" t="s">
        <v>67</v>
      </c>
      <c r="J821" s="384"/>
      <c r="K821" s="301">
        <f>K819+K820</f>
        <v>0</v>
      </c>
      <c r="L821" s="302"/>
      <c r="N821" s="35"/>
      <c r="O821" s="36" t="s">
        <v>48</v>
      </c>
      <c r="P821" s="36"/>
      <c r="Q821" s="36"/>
      <c r="R821" s="36" t="str">
        <f t="shared" si="194"/>
        <v/>
      </c>
      <c r="S821" s="27"/>
      <c r="T821" s="36" t="s">
        <v>48</v>
      </c>
      <c r="U821" s="64">
        <f>IF($J$1="May",Y820,Y820)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6" s="25" customFormat="1" ht="18" customHeight="1" x14ac:dyDescent="0.2">
      <c r="A822" s="279"/>
      <c r="B822" s="294" t="s">
        <v>6</v>
      </c>
      <c r="C822" s="300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277"/>
      <c r="E822" s="277"/>
      <c r="F822" s="294" t="s">
        <v>19</v>
      </c>
      <c r="G822" s="295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292"/>
      <c r="I822" s="383" t="s">
        <v>68</v>
      </c>
      <c r="J822" s="384"/>
      <c r="K822" s="295">
        <f>G822</f>
        <v>0</v>
      </c>
      <c r="L822" s="303"/>
      <c r="N822" s="35"/>
      <c r="O822" s="36" t="s">
        <v>49</v>
      </c>
      <c r="P822" s="36"/>
      <c r="Q822" s="36"/>
      <c r="R822" s="36" t="str">
        <f t="shared" si="194"/>
        <v/>
      </c>
      <c r="S822" s="27"/>
      <c r="T822" s="36" t="s">
        <v>49</v>
      </c>
      <c r="U822" s="64" t="str">
        <f>IF($J$1="September",Y821,"")</f>
        <v/>
      </c>
      <c r="V822" s="38"/>
      <c r="W822" s="64" t="str">
        <f t="shared" si="195"/>
        <v/>
      </c>
      <c r="X822" s="38"/>
      <c r="Y822" s="64" t="str">
        <f t="shared" si="196"/>
        <v/>
      </c>
      <c r="Z822" s="40"/>
    </row>
    <row r="823" spans="1:26" s="25" customFormat="1" ht="18" customHeight="1" x14ac:dyDescent="0.2">
      <c r="A823" s="279"/>
      <c r="B823" s="312" t="s">
        <v>66</v>
      </c>
      <c r="C823" s="300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3" s="277"/>
      <c r="E823" s="277"/>
      <c r="F823" s="294" t="s">
        <v>65</v>
      </c>
      <c r="G823" s="295" t="str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/>
      </c>
      <c r="H823" s="277"/>
      <c r="I823" s="377" t="s">
        <v>61</v>
      </c>
      <c r="J823" s="378"/>
      <c r="K823" s="234">
        <f>K821-K822</f>
        <v>0</v>
      </c>
      <c r="L823" s="304"/>
      <c r="N823" s="35"/>
      <c r="O823" s="36" t="s">
        <v>54</v>
      </c>
      <c r="P823" s="36"/>
      <c r="Q823" s="36"/>
      <c r="R823" s="36" t="str">
        <f t="shared" si="194"/>
        <v/>
      </c>
      <c r="S823" s="27"/>
      <c r="T823" s="36" t="s">
        <v>54</v>
      </c>
      <c r="U823" s="64" t="str">
        <f>IF($J$1="September",Y822,"")</f>
        <v/>
      </c>
      <c r="V823" s="38"/>
      <c r="W823" s="64" t="str">
        <f t="shared" si="195"/>
        <v/>
      </c>
      <c r="X823" s="38"/>
      <c r="Y823" s="64" t="str">
        <f t="shared" si="196"/>
        <v/>
      </c>
      <c r="Z823" s="40"/>
    </row>
    <row r="824" spans="1:26" s="25" customFormat="1" ht="18" customHeight="1" x14ac:dyDescent="0.2">
      <c r="A824" s="279"/>
      <c r="B824" s="277"/>
      <c r="C824" s="277"/>
      <c r="D824" s="277"/>
      <c r="E824" s="277"/>
      <c r="F824" s="277"/>
      <c r="G824" s="277"/>
      <c r="H824" s="277"/>
      <c r="I824" s="277"/>
      <c r="J824" s="277"/>
      <c r="K824" s="277"/>
      <c r="L824" s="291"/>
      <c r="N824" s="35"/>
      <c r="O824" s="36" t="s">
        <v>50</v>
      </c>
      <c r="P824" s="36"/>
      <c r="Q824" s="36"/>
      <c r="R824" s="36" t="str">
        <f t="shared" si="194"/>
        <v/>
      </c>
      <c r="S824" s="27"/>
      <c r="T824" s="36" t="s">
        <v>50</v>
      </c>
      <c r="U824" s="64" t="str">
        <f>IF($J$1="October",Y823,"")</f>
        <v/>
      </c>
      <c r="V824" s="38"/>
      <c r="W824" s="64" t="str">
        <f t="shared" si="195"/>
        <v/>
      </c>
      <c r="X824" s="38"/>
      <c r="Y824" s="64" t="str">
        <f t="shared" si="196"/>
        <v/>
      </c>
      <c r="Z824" s="40"/>
    </row>
    <row r="825" spans="1:26" s="25" customFormat="1" ht="18" customHeight="1" x14ac:dyDescent="0.2">
      <c r="A825" s="279"/>
      <c r="B825" s="396" t="s">
        <v>82</v>
      </c>
      <c r="C825" s="396"/>
      <c r="D825" s="396"/>
      <c r="E825" s="396"/>
      <c r="F825" s="396"/>
      <c r="G825" s="396"/>
      <c r="H825" s="396"/>
      <c r="I825" s="396"/>
      <c r="J825" s="396"/>
      <c r="K825" s="396"/>
      <c r="L825" s="291"/>
      <c r="N825" s="35"/>
      <c r="O825" s="36" t="s">
        <v>55</v>
      </c>
      <c r="P825" s="36"/>
      <c r="Q825" s="36"/>
      <c r="R825" s="36" t="str">
        <f t="shared" si="194"/>
        <v/>
      </c>
      <c r="S825" s="27"/>
      <c r="T825" s="36" t="s">
        <v>55</v>
      </c>
      <c r="U825" s="64" t="str">
        <f>IF($J$1="November",Y824,"")</f>
        <v/>
      </c>
      <c r="V825" s="38"/>
      <c r="W825" s="64" t="str">
        <f t="shared" si="195"/>
        <v/>
      </c>
      <c r="X825" s="38"/>
      <c r="Y825" s="64" t="str">
        <f t="shared" si="196"/>
        <v/>
      </c>
      <c r="Z825" s="40"/>
    </row>
    <row r="826" spans="1:26" s="25" customFormat="1" ht="18" customHeight="1" x14ac:dyDescent="0.2">
      <c r="A826" s="279"/>
      <c r="B826" s="396"/>
      <c r="C826" s="396"/>
      <c r="D826" s="396"/>
      <c r="E826" s="396"/>
      <c r="F826" s="396"/>
      <c r="G826" s="396"/>
      <c r="H826" s="396"/>
      <c r="I826" s="396"/>
      <c r="J826" s="396"/>
      <c r="K826" s="396"/>
      <c r="L826" s="291"/>
      <c r="N826" s="35"/>
      <c r="O826" s="36" t="s">
        <v>56</v>
      </c>
      <c r="P826" s="36"/>
      <c r="Q826" s="36"/>
      <c r="R826" s="36" t="str">
        <f t="shared" si="194"/>
        <v/>
      </c>
      <c r="S826" s="27"/>
      <c r="T826" s="36" t="s">
        <v>56</v>
      </c>
      <c r="U826" s="64" t="str">
        <f>IF($J$1="Dec",Y825,"")</f>
        <v/>
      </c>
      <c r="V826" s="38"/>
      <c r="W826" s="64" t="str">
        <f t="shared" si="195"/>
        <v/>
      </c>
      <c r="X826" s="38"/>
      <c r="Y826" s="64" t="str">
        <f t="shared" si="196"/>
        <v/>
      </c>
      <c r="Z826" s="40"/>
    </row>
    <row r="827" spans="1:26" s="25" customFormat="1" ht="18" customHeight="1" thickBot="1" x14ac:dyDescent="0.25">
      <c r="A827" s="305"/>
      <c r="B827" s="313"/>
      <c r="C827" s="313"/>
      <c r="D827" s="313"/>
      <c r="E827" s="313"/>
      <c r="F827" s="313"/>
      <c r="G827" s="313"/>
      <c r="H827" s="313"/>
      <c r="I827" s="313"/>
      <c r="J827" s="313"/>
      <c r="K827" s="313"/>
      <c r="L827" s="307"/>
      <c r="N827" s="41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3"/>
    </row>
    <row r="828" spans="1:26" s="25" customFormat="1" ht="18" customHeight="1" x14ac:dyDescent="0.2">
      <c r="A828" s="277"/>
      <c r="B828" s="277"/>
      <c r="C828" s="277"/>
      <c r="D828" s="277"/>
      <c r="E828" s="277"/>
      <c r="F828" s="277"/>
      <c r="G828" s="277"/>
      <c r="H828" s="277"/>
      <c r="I828" s="277"/>
      <c r="J828" s="277"/>
      <c r="K828" s="277"/>
      <c r="L828" s="27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s="57" customFormat="1" ht="18" customHeight="1" x14ac:dyDescent="0.2">
      <c r="A829" s="308"/>
      <c r="B829" s="308"/>
      <c r="C829" s="308"/>
      <c r="D829" s="308"/>
      <c r="E829" s="308"/>
      <c r="F829" s="308"/>
      <c r="G829" s="308"/>
      <c r="H829" s="308"/>
      <c r="I829" s="308"/>
      <c r="J829" s="308"/>
      <c r="K829" s="308"/>
      <c r="L829" s="30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s="25" customFormat="1" ht="18" customHeight="1" x14ac:dyDescent="0.2">
      <c r="A830" s="277"/>
      <c r="B830" s="277"/>
      <c r="C830" s="277"/>
      <c r="D830" s="277"/>
      <c r="E830" s="277"/>
      <c r="F830" s="277"/>
      <c r="G830" s="277"/>
      <c r="H830" s="277"/>
      <c r="I830" s="277"/>
      <c r="J830" s="277"/>
      <c r="K830" s="277"/>
      <c r="L830" s="27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s="57" customFormat="1" ht="18" customHeight="1" thickBot="1" x14ac:dyDescent="0.25">
      <c r="A831" s="308"/>
      <c r="B831" s="308"/>
      <c r="C831" s="308"/>
      <c r="D831" s="308"/>
      <c r="E831" s="308"/>
      <c r="F831" s="308"/>
      <c r="G831" s="308"/>
      <c r="H831" s="308"/>
      <c r="I831" s="308"/>
      <c r="J831" s="308"/>
      <c r="K831" s="308"/>
      <c r="L831" s="30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s="25" customFormat="1" ht="18" customHeight="1" thickBot="1" x14ac:dyDescent="0.25">
      <c r="A832" s="385" t="s">
        <v>38</v>
      </c>
      <c r="B832" s="386"/>
      <c r="C832" s="386"/>
      <c r="D832" s="386"/>
      <c r="E832" s="386"/>
      <c r="F832" s="386"/>
      <c r="G832" s="386"/>
      <c r="H832" s="386"/>
      <c r="I832" s="386"/>
      <c r="J832" s="386"/>
      <c r="K832" s="386"/>
      <c r="L832" s="387"/>
      <c r="M832" s="24"/>
      <c r="N832" s="28"/>
      <c r="O832" s="380" t="s">
        <v>40</v>
      </c>
      <c r="P832" s="381"/>
      <c r="Q832" s="381"/>
      <c r="R832" s="382"/>
      <c r="S832" s="29"/>
      <c r="T832" s="380" t="s">
        <v>41</v>
      </c>
      <c r="U832" s="381"/>
      <c r="V832" s="381"/>
      <c r="W832" s="381"/>
      <c r="X832" s="381"/>
      <c r="Y832" s="382"/>
      <c r="Z832" s="27"/>
    </row>
    <row r="833" spans="1:26" s="25" customFormat="1" ht="18" customHeight="1" x14ac:dyDescent="0.2">
      <c r="A833" s="279"/>
      <c r="B833" s="277"/>
      <c r="C833" s="391" t="s">
        <v>213</v>
      </c>
      <c r="D833" s="391"/>
      <c r="E833" s="391"/>
      <c r="F833" s="391"/>
      <c r="G833" s="280" t="str">
        <f>$J$1</f>
        <v>November</v>
      </c>
      <c r="H833" s="390">
        <f>$K$1</f>
        <v>2023</v>
      </c>
      <c r="I833" s="390"/>
      <c r="J833" s="277"/>
      <c r="K833" s="281"/>
      <c r="L833" s="282"/>
      <c r="M833" s="26"/>
      <c r="N833" s="31"/>
      <c r="O833" s="32" t="s">
        <v>51</v>
      </c>
      <c r="P833" s="32" t="s">
        <v>7</v>
      </c>
      <c r="Q833" s="32" t="s">
        <v>6</v>
      </c>
      <c r="R833" s="32" t="s">
        <v>52</v>
      </c>
      <c r="S833" s="33"/>
      <c r="T833" s="32" t="s">
        <v>51</v>
      </c>
      <c r="U833" s="32" t="s">
        <v>53</v>
      </c>
      <c r="V833" s="32" t="s">
        <v>18</v>
      </c>
      <c r="W833" s="32" t="s">
        <v>17</v>
      </c>
      <c r="X833" s="32" t="s">
        <v>19</v>
      </c>
      <c r="Y833" s="32" t="s">
        <v>57</v>
      </c>
      <c r="Z833" s="27"/>
    </row>
    <row r="834" spans="1:26" s="25" customFormat="1" ht="18" customHeight="1" x14ac:dyDescent="0.2">
      <c r="A834" s="279"/>
      <c r="B834" s="277"/>
      <c r="C834" s="277"/>
      <c r="D834" s="283"/>
      <c r="E834" s="283"/>
      <c r="F834" s="283"/>
      <c r="G834" s="283"/>
      <c r="H834" s="283"/>
      <c r="I834" s="277"/>
      <c r="J834" s="284" t="s">
        <v>1</v>
      </c>
      <c r="K834" s="285">
        <v>65000</v>
      </c>
      <c r="L834" s="286"/>
      <c r="N834" s="35"/>
      <c r="O834" s="36" t="s">
        <v>43</v>
      </c>
      <c r="P834" s="36">
        <v>31</v>
      </c>
      <c r="Q834" s="36">
        <v>0</v>
      </c>
      <c r="R834" s="36"/>
      <c r="S834" s="37"/>
      <c r="T834" s="36" t="s">
        <v>43</v>
      </c>
      <c r="U834" s="38"/>
      <c r="V834" s="38"/>
      <c r="W834" s="38">
        <f>V834+U834</f>
        <v>0</v>
      </c>
      <c r="X834" s="38"/>
      <c r="Y834" s="38">
        <f>W834-X834</f>
        <v>0</v>
      </c>
      <c r="Z834" s="27"/>
    </row>
    <row r="835" spans="1:26" s="25" customFormat="1" ht="18" customHeight="1" x14ac:dyDescent="0.2">
      <c r="A835" s="279"/>
      <c r="B835" s="277" t="s">
        <v>0</v>
      </c>
      <c r="C835" s="276" t="s">
        <v>167</v>
      </c>
      <c r="D835" s="277"/>
      <c r="E835" s="277"/>
      <c r="F835" s="277"/>
      <c r="G835" s="277"/>
      <c r="H835" s="287"/>
      <c r="I835" s="283"/>
      <c r="J835" s="277"/>
      <c r="K835" s="277"/>
      <c r="L835" s="288"/>
      <c r="M835" s="24"/>
      <c r="N835" s="39"/>
      <c r="O835" s="36" t="s">
        <v>69</v>
      </c>
      <c r="P835" s="36">
        <v>28</v>
      </c>
      <c r="Q835" s="36">
        <v>0</v>
      </c>
      <c r="R835" s="36"/>
      <c r="S835" s="27"/>
      <c r="T835" s="36" t="s">
        <v>69</v>
      </c>
      <c r="U835" s="64">
        <f>IF($J$1="January","",Y834)</f>
        <v>0</v>
      </c>
      <c r="V835" s="38"/>
      <c r="W835" s="64">
        <f>IF(U835="","",U835+V835)</f>
        <v>0</v>
      </c>
      <c r="X835" s="38"/>
      <c r="Y835" s="64">
        <f>IF(W835="","",W835-X835)</f>
        <v>0</v>
      </c>
      <c r="Z835" s="27"/>
    </row>
    <row r="836" spans="1:26" s="25" customFormat="1" ht="18" customHeight="1" x14ac:dyDescent="0.2">
      <c r="A836" s="279"/>
      <c r="B836" s="289" t="s">
        <v>39</v>
      </c>
      <c r="C836" s="290"/>
      <c r="D836" s="277"/>
      <c r="E836" s="277"/>
      <c r="F836" s="377" t="s">
        <v>41</v>
      </c>
      <c r="G836" s="378"/>
      <c r="H836" s="277"/>
      <c r="I836" s="377" t="s">
        <v>42</v>
      </c>
      <c r="J836" s="379"/>
      <c r="K836" s="378"/>
      <c r="L836" s="291"/>
      <c r="N836" s="35"/>
      <c r="O836" s="36" t="s">
        <v>44</v>
      </c>
      <c r="P836" s="36"/>
      <c r="Q836" s="36"/>
      <c r="R836" s="36" t="str">
        <f t="shared" ref="R836:R845" si="197">IF(Q836="","",R835-Q836)</f>
        <v/>
      </c>
      <c r="S836" s="27"/>
      <c r="T836" s="36" t="s">
        <v>44</v>
      </c>
      <c r="U836" s="64">
        <f>IF($J$1="February","",Y835)</f>
        <v>0</v>
      </c>
      <c r="V836" s="38"/>
      <c r="W836" s="64">
        <f t="shared" ref="W836:W845" si="198">IF(U836="","",U836+V836)</f>
        <v>0</v>
      </c>
      <c r="X836" s="38"/>
      <c r="Y836" s="64">
        <f t="shared" ref="Y836:Y845" si="199">IF(W836="","",W836-X836)</f>
        <v>0</v>
      </c>
      <c r="Z836" s="27"/>
    </row>
    <row r="837" spans="1:26" s="25" customFormat="1" ht="18" customHeight="1" x14ac:dyDescent="0.2">
      <c r="A837" s="279"/>
      <c r="B837" s="277"/>
      <c r="C837" s="277"/>
      <c r="D837" s="277"/>
      <c r="E837" s="277"/>
      <c r="F837" s="277"/>
      <c r="G837" s="277"/>
      <c r="H837" s="292"/>
      <c r="I837" s="277"/>
      <c r="J837" s="277"/>
      <c r="K837" s="277"/>
      <c r="L837" s="293"/>
      <c r="N837" s="35"/>
      <c r="O837" s="36" t="s">
        <v>45</v>
      </c>
      <c r="P837" s="36">
        <v>20</v>
      </c>
      <c r="Q837" s="36">
        <v>10</v>
      </c>
      <c r="R837" s="36">
        <v>0</v>
      </c>
      <c r="S837" s="27"/>
      <c r="T837" s="36" t="s">
        <v>45</v>
      </c>
      <c r="U837" s="64">
        <f>IF($J$1="March","",Y836)</f>
        <v>0</v>
      </c>
      <c r="V837" s="38"/>
      <c r="W837" s="64">
        <f t="shared" si="198"/>
        <v>0</v>
      </c>
      <c r="X837" s="38"/>
      <c r="Y837" s="64">
        <f t="shared" si="199"/>
        <v>0</v>
      </c>
      <c r="Z837" s="27"/>
    </row>
    <row r="838" spans="1:26" s="25" customFormat="1" ht="18" customHeight="1" x14ac:dyDescent="0.2">
      <c r="A838" s="279"/>
      <c r="B838" s="388" t="s">
        <v>40</v>
      </c>
      <c r="C838" s="389"/>
      <c r="D838" s="277"/>
      <c r="E838" s="277"/>
      <c r="F838" s="294" t="s">
        <v>62</v>
      </c>
      <c r="G838" s="295" t="str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/>
      </c>
      <c r="H838" s="292"/>
      <c r="I838" s="296">
        <f>IF(C842&gt;0,$K$2,C840)</f>
        <v>30</v>
      </c>
      <c r="J838" s="297" t="s">
        <v>59</v>
      </c>
      <c r="K838" s="298">
        <f>K834/$K$2*I838</f>
        <v>64999.999999999993</v>
      </c>
      <c r="L838" s="299"/>
      <c r="N838" s="35"/>
      <c r="O838" s="36" t="s">
        <v>46</v>
      </c>
      <c r="P838" s="36">
        <v>30</v>
      </c>
      <c r="Q838" s="36">
        <v>1</v>
      </c>
      <c r="R838" s="36">
        <f t="shared" si="197"/>
        <v>-1</v>
      </c>
      <c r="S838" s="27"/>
      <c r="T838" s="36" t="s">
        <v>46</v>
      </c>
      <c r="U838" s="64">
        <f>IF($J$1="April","",Y837)</f>
        <v>0</v>
      </c>
      <c r="V838" s="38">
        <v>15000</v>
      </c>
      <c r="W838" s="64">
        <f t="shared" si="198"/>
        <v>15000</v>
      </c>
      <c r="X838" s="38">
        <v>5000</v>
      </c>
      <c r="Y838" s="64">
        <f t="shared" si="199"/>
        <v>10000</v>
      </c>
      <c r="Z838" s="27"/>
    </row>
    <row r="839" spans="1:26" s="25" customFormat="1" ht="18" customHeight="1" x14ac:dyDescent="0.2">
      <c r="A839" s="279"/>
      <c r="B839" s="300"/>
      <c r="C839" s="300"/>
      <c r="D839" s="277"/>
      <c r="E839" s="277"/>
      <c r="F839" s="294" t="s">
        <v>18</v>
      </c>
      <c r="G839" s="29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292"/>
      <c r="I839" s="296"/>
      <c r="J839" s="297" t="s">
        <v>60</v>
      </c>
      <c r="K839" s="301">
        <f>K834/$K$2/8*I839</f>
        <v>0</v>
      </c>
      <c r="L839" s="302"/>
      <c r="N839" s="35"/>
      <c r="O839" s="36" t="s">
        <v>47</v>
      </c>
      <c r="P839" s="36">
        <v>30</v>
      </c>
      <c r="Q839" s="36">
        <v>0</v>
      </c>
      <c r="R839" s="36">
        <f t="shared" si="197"/>
        <v>-1</v>
      </c>
      <c r="S839" s="27"/>
      <c r="T839" s="36" t="s">
        <v>47</v>
      </c>
      <c r="U839" s="64">
        <f>IF($J$1="May","",Y838)</f>
        <v>10000</v>
      </c>
      <c r="V839" s="38">
        <f>5000+30000</f>
        <v>35000</v>
      </c>
      <c r="W839" s="64">
        <f t="shared" si="198"/>
        <v>45000</v>
      </c>
      <c r="X839" s="38">
        <v>35000</v>
      </c>
      <c r="Y839" s="64">
        <f t="shared" si="199"/>
        <v>10000</v>
      </c>
      <c r="Z839" s="27"/>
    </row>
    <row r="840" spans="1:26" s="25" customFormat="1" ht="18" customHeight="1" x14ac:dyDescent="0.2">
      <c r="A840" s="279"/>
      <c r="B840" s="294" t="s">
        <v>7</v>
      </c>
      <c r="C840" s="30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0</v>
      </c>
      <c r="D840" s="277"/>
      <c r="E840" s="277"/>
      <c r="F840" s="294" t="s">
        <v>63</v>
      </c>
      <c r="G840" s="295" t="str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/>
      </c>
      <c r="H840" s="292"/>
      <c r="I840" s="383" t="s">
        <v>67</v>
      </c>
      <c r="J840" s="384"/>
      <c r="K840" s="301">
        <f>K838+K839</f>
        <v>64999.999999999993</v>
      </c>
      <c r="L840" s="302"/>
      <c r="N840" s="35"/>
      <c r="O840" s="36" t="s">
        <v>48</v>
      </c>
      <c r="P840" s="36">
        <v>31</v>
      </c>
      <c r="Q840" s="36">
        <v>0</v>
      </c>
      <c r="R840" s="36">
        <f t="shared" si="197"/>
        <v>-1</v>
      </c>
      <c r="S840" s="27"/>
      <c r="T840" s="36" t="s">
        <v>48</v>
      </c>
      <c r="U840" s="64">
        <f>IF($J$1="June","",Y839)</f>
        <v>10000</v>
      </c>
      <c r="V840" s="38">
        <v>5000</v>
      </c>
      <c r="W840" s="64">
        <f t="shared" si="198"/>
        <v>15000</v>
      </c>
      <c r="X840" s="38">
        <v>15000</v>
      </c>
      <c r="Y840" s="64">
        <f t="shared" si="199"/>
        <v>0</v>
      </c>
      <c r="Z840" s="27"/>
    </row>
    <row r="841" spans="1:26" s="25" customFormat="1" ht="18" customHeight="1" x14ac:dyDescent="0.2">
      <c r="A841" s="279"/>
      <c r="B841" s="294" t="s">
        <v>6</v>
      </c>
      <c r="C841" s="30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277"/>
      <c r="E841" s="277"/>
      <c r="F841" s="294" t="s">
        <v>19</v>
      </c>
      <c r="G841" s="29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292"/>
      <c r="I841" s="383" t="s">
        <v>68</v>
      </c>
      <c r="J841" s="384"/>
      <c r="K841" s="295">
        <f>G841</f>
        <v>0</v>
      </c>
      <c r="L841" s="303"/>
      <c r="N841" s="35"/>
      <c r="O841" s="36" t="s">
        <v>49</v>
      </c>
      <c r="P841" s="36">
        <v>31</v>
      </c>
      <c r="Q841" s="36">
        <v>0</v>
      </c>
      <c r="R841" s="36">
        <v>0</v>
      </c>
      <c r="S841" s="27"/>
      <c r="T841" s="36" t="s">
        <v>49</v>
      </c>
      <c r="U841" s="64">
        <f>Y840</f>
        <v>0</v>
      </c>
      <c r="V841" s="38"/>
      <c r="W841" s="64">
        <f t="shared" si="198"/>
        <v>0</v>
      </c>
      <c r="X841" s="38"/>
      <c r="Y841" s="64">
        <f t="shared" si="199"/>
        <v>0</v>
      </c>
      <c r="Z841" s="27"/>
    </row>
    <row r="842" spans="1:26" s="25" customFormat="1" ht="18" customHeight="1" x14ac:dyDescent="0.2">
      <c r="A842" s="279"/>
      <c r="B842" s="309" t="s">
        <v>66</v>
      </c>
      <c r="C842" s="300" t="str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/>
      </c>
      <c r="D842" s="277"/>
      <c r="E842" s="277"/>
      <c r="F842" s="309" t="s">
        <v>202</v>
      </c>
      <c r="G842" s="295" t="str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/>
      </c>
      <c r="H842" s="277"/>
      <c r="I842" s="377" t="s">
        <v>61</v>
      </c>
      <c r="J842" s="378"/>
      <c r="K842" s="234">
        <f>K840-K841</f>
        <v>64999.999999999993</v>
      </c>
      <c r="L842" s="304"/>
      <c r="N842" s="35"/>
      <c r="O842" s="36" t="s">
        <v>54</v>
      </c>
      <c r="P842" s="36">
        <v>29</v>
      </c>
      <c r="Q842" s="36">
        <v>1</v>
      </c>
      <c r="R842" s="36">
        <v>0</v>
      </c>
      <c r="S842" s="27"/>
      <c r="T842" s="36" t="s">
        <v>54</v>
      </c>
      <c r="U842" s="64">
        <v>0</v>
      </c>
      <c r="V842" s="38"/>
      <c r="W842" s="64">
        <f t="shared" si="198"/>
        <v>0</v>
      </c>
      <c r="X842" s="38"/>
      <c r="Y842" s="64">
        <f t="shared" si="199"/>
        <v>0</v>
      </c>
      <c r="Z842" s="40"/>
    </row>
    <row r="843" spans="1:26" s="25" customFormat="1" ht="18" customHeight="1" x14ac:dyDescent="0.2">
      <c r="A843" s="279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91"/>
      <c r="N843" s="35"/>
      <c r="O843" s="36" t="s">
        <v>50</v>
      </c>
      <c r="P843" s="36"/>
      <c r="Q843" s="36"/>
      <c r="R843" s="36">
        <v>0</v>
      </c>
      <c r="S843" s="27"/>
      <c r="T843" s="36" t="s">
        <v>50</v>
      </c>
      <c r="U843" s="64" t="str">
        <f>IF($J$1="October",Y842,"")</f>
        <v/>
      </c>
      <c r="V843" s="38"/>
      <c r="W843" s="64" t="str">
        <f t="shared" si="198"/>
        <v/>
      </c>
      <c r="X843" s="38"/>
      <c r="Y843" s="64" t="str">
        <f t="shared" si="199"/>
        <v/>
      </c>
      <c r="Z843" s="40"/>
    </row>
    <row r="844" spans="1:26" s="25" customFormat="1" ht="18" customHeight="1" x14ac:dyDescent="0.3">
      <c r="A844" s="279"/>
      <c r="B844" s="275"/>
      <c r="C844" s="275"/>
      <c r="D844" s="275"/>
      <c r="E844" s="275"/>
      <c r="F844" s="275"/>
      <c r="G844" s="275"/>
      <c r="H844" s="275"/>
      <c r="I844" s="275"/>
      <c r="J844" s="275"/>
      <c r="K844" s="275"/>
      <c r="L844" s="291"/>
      <c r="N844" s="35"/>
      <c r="O844" s="36" t="s">
        <v>55</v>
      </c>
      <c r="P844" s="36"/>
      <c r="Q844" s="36"/>
      <c r="R844" s="36" t="str">
        <f t="shared" si="197"/>
        <v/>
      </c>
      <c r="S844" s="27"/>
      <c r="T844" s="36" t="s">
        <v>55</v>
      </c>
      <c r="U844" s="64" t="str">
        <f>Y843</f>
        <v/>
      </c>
      <c r="V844" s="38"/>
      <c r="W844" s="64" t="str">
        <f t="shared" si="198"/>
        <v/>
      </c>
      <c r="X844" s="38"/>
      <c r="Y844" s="64" t="str">
        <f t="shared" si="199"/>
        <v/>
      </c>
      <c r="Z844" s="27"/>
    </row>
    <row r="845" spans="1:26" s="25" customFormat="1" ht="18" customHeight="1" thickBot="1" x14ac:dyDescent="0.35">
      <c r="A845" s="305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7"/>
      <c r="N845" s="35"/>
      <c r="O845" s="36" t="s">
        <v>56</v>
      </c>
      <c r="P845" s="36"/>
      <c r="Q845" s="36"/>
      <c r="R845" s="36" t="str">
        <f t="shared" si="197"/>
        <v/>
      </c>
      <c r="S845" s="27"/>
      <c r="T845" s="36" t="s">
        <v>56</v>
      </c>
      <c r="U845" s="64">
        <v>0</v>
      </c>
      <c r="V845" s="38"/>
      <c r="W845" s="64">
        <f t="shared" si="198"/>
        <v>0</v>
      </c>
      <c r="X845" s="38"/>
      <c r="Y845" s="64">
        <f t="shared" si="199"/>
        <v>0</v>
      </c>
      <c r="Z845" s="27"/>
    </row>
    <row r="846" spans="1:26" ht="18" customHeight="1" x14ac:dyDescent="0.3"/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7.75" customHeight="1" x14ac:dyDescent="0.3"/>
    <row r="859" ht="27.75" customHeight="1" x14ac:dyDescent="0.3"/>
    <row r="860" ht="27.75" customHeight="1" x14ac:dyDescent="0.3"/>
    <row r="861" ht="27.75" customHeight="1" x14ac:dyDescent="0.3"/>
  </sheetData>
  <mergeCells count="618">
    <mergeCell ref="B463:C463"/>
    <mergeCell ref="A593:L593"/>
    <mergeCell ref="I601:J601"/>
    <mergeCell ref="T577:Y577"/>
    <mergeCell ref="I706:K706"/>
    <mergeCell ref="O686:R686"/>
    <mergeCell ref="T686:Y686"/>
    <mergeCell ref="I511:J511"/>
    <mergeCell ref="T702:Y702"/>
    <mergeCell ref="C503:F503"/>
    <mergeCell ref="B508:C508"/>
    <mergeCell ref="I540:J540"/>
    <mergeCell ref="C594:F594"/>
    <mergeCell ref="B568:C568"/>
    <mergeCell ref="H703:I703"/>
    <mergeCell ref="I597:K597"/>
    <mergeCell ref="F597:G597"/>
    <mergeCell ref="B599:C599"/>
    <mergeCell ref="I695:J695"/>
    <mergeCell ref="I696:J696"/>
    <mergeCell ref="T671:Y671"/>
    <mergeCell ref="O671:R671"/>
    <mergeCell ref="T639:Y639"/>
    <mergeCell ref="I467:J467"/>
    <mergeCell ref="O442:R442"/>
    <mergeCell ref="I603:J603"/>
    <mergeCell ref="B825:K826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F817:G817"/>
    <mergeCell ref="B793:K794"/>
    <mergeCell ref="I648:J648"/>
    <mergeCell ref="B698:K699"/>
    <mergeCell ref="C687:F687"/>
    <mergeCell ref="I664:J664"/>
    <mergeCell ref="I647:J647"/>
    <mergeCell ref="C814:F814"/>
    <mergeCell ref="I806:J806"/>
    <mergeCell ref="F643:G643"/>
    <mergeCell ref="I643:K643"/>
    <mergeCell ref="H578:I578"/>
    <mergeCell ref="C675:E675"/>
    <mergeCell ref="I679:J679"/>
    <mergeCell ref="I680:J680"/>
    <mergeCell ref="F675:G675"/>
    <mergeCell ref="I741:J741"/>
    <mergeCell ref="I675:K675"/>
    <mergeCell ref="H672:I672"/>
    <mergeCell ref="I712:J712"/>
    <mergeCell ref="B651:K652"/>
    <mergeCell ref="B629:C629"/>
    <mergeCell ref="F627:G627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H458:I458"/>
    <mergeCell ref="I272:J272"/>
    <mergeCell ref="I466:J466"/>
    <mergeCell ref="H173:I173"/>
    <mergeCell ref="I182:J182"/>
    <mergeCell ref="I191:K191"/>
    <mergeCell ref="C203:F203"/>
    <mergeCell ref="A67:L67"/>
    <mergeCell ref="B178:C178"/>
    <mergeCell ref="A112:L112"/>
    <mergeCell ref="C128:F128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T97:Y97"/>
    <mergeCell ref="T112:Y112"/>
    <mergeCell ref="T172:Y172"/>
    <mergeCell ref="T832:Y832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F101:G101"/>
    <mergeCell ref="H113:I113"/>
    <mergeCell ref="C173:F173"/>
    <mergeCell ref="I836:K836"/>
    <mergeCell ref="B838:C838"/>
    <mergeCell ref="C833:F833"/>
    <mergeCell ref="H833:I833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A562:L562"/>
    <mergeCell ref="I512:J512"/>
    <mergeCell ref="C518:F518"/>
    <mergeCell ref="I497:J497"/>
    <mergeCell ref="A472:L472"/>
    <mergeCell ref="B418:C418"/>
    <mergeCell ref="I271:J271"/>
    <mergeCell ref="I572:J572"/>
    <mergeCell ref="F581:G581"/>
    <mergeCell ref="I581:K581"/>
    <mergeCell ref="A718:L718"/>
    <mergeCell ref="I242:J242"/>
    <mergeCell ref="A247:L247"/>
    <mergeCell ref="T82:Y8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A217:L21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I842:J842"/>
    <mergeCell ref="C53:F53"/>
    <mergeCell ref="I152:J152"/>
    <mergeCell ref="I86:K86"/>
    <mergeCell ref="I101:K101"/>
    <mergeCell ref="I150:J150"/>
    <mergeCell ref="I151:J151"/>
    <mergeCell ref="A127:L127"/>
    <mergeCell ref="I480:J480"/>
    <mergeCell ref="I451:J451"/>
    <mergeCell ref="F521:G521"/>
    <mergeCell ref="C338:F338"/>
    <mergeCell ref="F281:G281"/>
    <mergeCell ref="I281:K281"/>
    <mergeCell ref="B283:C283"/>
    <mergeCell ref="I226:J226"/>
    <mergeCell ref="F506:G506"/>
    <mergeCell ref="I506:K506"/>
    <mergeCell ref="I482:J482"/>
    <mergeCell ref="I107:J107"/>
    <mergeCell ref="C98:F98"/>
    <mergeCell ref="C158:F158"/>
    <mergeCell ref="I165:J165"/>
    <mergeCell ref="C143:F143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82:R382"/>
    <mergeCell ref="B819:C819"/>
    <mergeCell ref="B478:C478"/>
    <mergeCell ref="C782:F782"/>
    <mergeCell ref="H782:I782"/>
    <mergeCell ref="I694:J694"/>
    <mergeCell ref="C765:F765"/>
    <mergeCell ref="A547:L547"/>
    <mergeCell ref="I758:J758"/>
    <mergeCell ref="I722:K722"/>
    <mergeCell ref="C719:F719"/>
    <mergeCell ref="H719:I719"/>
    <mergeCell ref="A702:L702"/>
    <mergeCell ref="I633:J633"/>
    <mergeCell ref="I631:J631"/>
    <mergeCell ref="F612:G612"/>
    <mergeCell ref="B661:C661"/>
    <mergeCell ref="H594:I594"/>
    <mergeCell ref="I807:J807"/>
    <mergeCell ref="C798:F798"/>
    <mergeCell ref="B724:C724"/>
    <mergeCell ref="H814:I814"/>
    <mergeCell ref="I681:J681"/>
    <mergeCell ref="B677:C677"/>
    <mergeCell ref="C672:F672"/>
    <mergeCell ref="I841:J841"/>
    <mergeCell ref="A232:L23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B803:C803"/>
    <mergeCell ref="I790:J790"/>
    <mergeCell ref="A781:L781"/>
    <mergeCell ref="B787:C787"/>
    <mergeCell ref="B754:C754"/>
    <mergeCell ref="I756:J756"/>
    <mergeCell ref="F706:G706"/>
    <mergeCell ref="I737:K737"/>
    <mergeCell ref="F737:G737"/>
    <mergeCell ref="I773:J773"/>
    <mergeCell ref="B714:K715"/>
    <mergeCell ref="A748:L748"/>
    <mergeCell ref="I752:K752"/>
    <mergeCell ref="I840:J840"/>
    <mergeCell ref="H218:I218"/>
    <mergeCell ref="F221:G221"/>
    <mergeCell ref="I221:K221"/>
    <mergeCell ref="I92:J92"/>
    <mergeCell ref="F176:G176"/>
    <mergeCell ref="I225:J225"/>
    <mergeCell ref="A832:L832"/>
    <mergeCell ref="F785:G785"/>
    <mergeCell ref="F768:G768"/>
    <mergeCell ref="B739:C739"/>
    <mergeCell ref="I727:J727"/>
    <mergeCell ref="H798:I798"/>
    <mergeCell ref="I768:K768"/>
    <mergeCell ref="C749:F749"/>
    <mergeCell ref="A797:L797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823:J823"/>
    <mergeCell ref="I817:K817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I822:J822"/>
    <mergeCell ref="I791:J791"/>
    <mergeCell ref="I821:J821"/>
    <mergeCell ref="I422:J422"/>
    <mergeCell ref="H443:I443"/>
    <mergeCell ref="O547:R547"/>
    <mergeCell ref="O623:R623"/>
    <mergeCell ref="O532:R532"/>
    <mergeCell ref="O797:R797"/>
    <mergeCell ref="O655:R655"/>
    <mergeCell ref="O427:R427"/>
    <mergeCell ref="O718:R718"/>
    <mergeCell ref="A623:L623"/>
    <mergeCell ref="I602:J602"/>
    <mergeCell ref="H749:I749"/>
    <mergeCell ref="B770:C770"/>
    <mergeCell ref="B745:K746"/>
    <mergeCell ref="I772:J772"/>
    <mergeCell ref="I774:J774"/>
    <mergeCell ref="C533:F533"/>
    <mergeCell ref="H533:I533"/>
    <mergeCell ref="A686:L686"/>
    <mergeCell ref="B692:C692"/>
    <mergeCell ref="A813:L813"/>
    <mergeCell ref="O813:R813"/>
    <mergeCell ref="I789:J789"/>
    <mergeCell ref="F752:G752"/>
    <mergeCell ref="H765:I765"/>
    <mergeCell ref="H687:I687"/>
    <mergeCell ref="F690:G690"/>
    <mergeCell ref="I627:K627"/>
    <mergeCell ref="B523:C523"/>
    <mergeCell ref="I525:J525"/>
    <mergeCell ref="B589:K590"/>
    <mergeCell ref="C640:F640"/>
    <mergeCell ref="F722:G722"/>
    <mergeCell ref="A639:L639"/>
    <mergeCell ref="B583:C583"/>
    <mergeCell ref="I690:K690"/>
    <mergeCell ref="A577:L577"/>
    <mergeCell ref="C703:F703"/>
    <mergeCell ref="I585:J585"/>
    <mergeCell ref="A733:L733"/>
    <mergeCell ref="H734:I734"/>
    <mergeCell ref="C734:F734"/>
    <mergeCell ref="A608:L608"/>
    <mergeCell ref="I586:J586"/>
    <mergeCell ref="B760:K761"/>
    <mergeCell ref="I416:K416"/>
    <mergeCell ref="T733:Y733"/>
    <mergeCell ref="T547:Y547"/>
    <mergeCell ref="T764:Y764"/>
    <mergeCell ref="O764:R764"/>
    <mergeCell ref="I742:J742"/>
    <mergeCell ref="O702:R702"/>
    <mergeCell ref="T608:Y608"/>
    <mergeCell ref="I710:J710"/>
    <mergeCell ref="I728:J728"/>
    <mergeCell ref="O593:R593"/>
    <mergeCell ref="I632:J632"/>
    <mergeCell ref="B667:K668"/>
    <mergeCell ref="T748:Y748"/>
    <mergeCell ref="O562:R562"/>
    <mergeCell ref="O608:R608"/>
    <mergeCell ref="T655:Y655"/>
    <mergeCell ref="T623:Y623"/>
    <mergeCell ref="C624:F624"/>
    <mergeCell ref="H624:I624"/>
    <mergeCell ref="I612:K612"/>
    <mergeCell ref="A764:L764"/>
    <mergeCell ref="I570:J570"/>
    <mergeCell ref="I566:K566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O832:R832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O748:R748"/>
    <mergeCell ref="B635:K636"/>
    <mergeCell ref="I617:J617"/>
    <mergeCell ref="I711:J711"/>
    <mergeCell ref="O639:R639"/>
    <mergeCell ref="C656:F656"/>
    <mergeCell ref="T718:Y718"/>
    <mergeCell ref="T532:Y532"/>
    <mergeCell ref="I805:J805"/>
    <mergeCell ref="H609:I609"/>
    <mergeCell ref="O781:R781"/>
    <mergeCell ref="I757:J757"/>
    <mergeCell ref="A671:L671"/>
    <mergeCell ref="O733:R733"/>
    <mergeCell ref="C548:F548"/>
    <mergeCell ref="O577:R577"/>
    <mergeCell ref="I557:J557"/>
    <mergeCell ref="I587:J587"/>
    <mergeCell ref="I785:K785"/>
    <mergeCell ref="F801:G801"/>
    <mergeCell ref="C578:F578"/>
    <mergeCell ref="B708:C708"/>
    <mergeCell ref="I743:J743"/>
    <mergeCell ref="H640:I640"/>
    <mergeCell ref="I495:J495"/>
    <mergeCell ref="I496:J496"/>
    <mergeCell ref="I801:K801"/>
    <mergeCell ref="I726:J726"/>
    <mergeCell ref="B809:K810"/>
    <mergeCell ref="I541:J541"/>
    <mergeCell ref="O502:R502"/>
    <mergeCell ref="T781:Y781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I47:J47"/>
    <mergeCell ref="I56:K56"/>
    <mergeCell ref="B58:C58"/>
    <mergeCell ref="O37:R37"/>
    <mergeCell ref="B88:C88"/>
    <mergeCell ref="O52:R52"/>
    <mergeCell ref="T52:Y52"/>
    <mergeCell ref="T37:Y37"/>
    <mergeCell ref="H38:I38"/>
    <mergeCell ref="A82:L82"/>
    <mergeCell ref="O67:R67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C218:F218"/>
    <mergeCell ref="B223:C223"/>
    <mergeCell ref="F836:G836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T813:Y813"/>
    <mergeCell ref="T797:Y797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00" max="11" man="1"/>
    <brk id="731" max="11" man="1"/>
    <brk id="828" max="11" man="1"/>
    <brk id="83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18" t="s">
        <v>136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134314.58333333334</v>
      </c>
      <c r="Q6" s="116">
        <v>37258.06451612903</v>
      </c>
      <c r="R6" s="116">
        <f t="shared" si="0"/>
        <v>-97056.518817204313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302356.25</v>
      </c>
      <c r="Q8" s="116">
        <v>201483.87096774194</v>
      </c>
      <c r="R8" s="116">
        <f t="shared" si="0"/>
        <v>-100872.37903225806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Sheets'!Q77</f>
        <v>384133.33333333337</v>
      </c>
      <c r="Q12" s="116">
        <v>254832.25806451612</v>
      </c>
      <c r="R12" s="116">
        <f t="shared" si="0"/>
        <v>-129301.07526881725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2"/>
  <sheetViews>
    <sheetView topLeftCell="A16" workbookViewId="0">
      <selection activeCell="J34" sqref="J34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18" t="s">
        <v>175</v>
      </c>
      <c r="B1" s="418"/>
      <c r="C1" s="418"/>
      <c r="D1" s="418"/>
      <c r="E1" s="418"/>
    </row>
    <row r="2" spans="1:5" ht="18" x14ac:dyDescent="0.2">
      <c r="A2" s="255" t="s">
        <v>185</v>
      </c>
      <c r="B2" s="254"/>
      <c r="C2" s="256" t="s">
        <v>183</v>
      </c>
      <c r="D2" s="256" t="s">
        <v>184</v>
      </c>
      <c r="E2" s="256" t="s">
        <v>2</v>
      </c>
    </row>
    <row r="3" spans="1:5" ht="15.75" customHeight="1" x14ac:dyDescent="0.25">
      <c r="A3" s="113" t="s">
        <v>125</v>
      </c>
      <c r="B3" s="420" t="s">
        <v>194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21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193</v>
      </c>
      <c r="B5" s="421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169</v>
      </c>
      <c r="B6" s="422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176</v>
      </c>
      <c r="B7" s="433" t="s">
        <v>182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177</v>
      </c>
      <c r="B8" s="434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34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178</v>
      </c>
      <c r="B10" s="434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179</v>
      </c>
      <c r="B11" s="434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180</v>
      </c>
      <c r="B12" s="434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181</v>
      </c>
      <c r="B13" s="434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34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187</v>
      </c>
      <c r="B15" s="419" t="s">
        <v>186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188</v>
      </c>
      <c r="B16" s="419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189</v>
      </c>
      <c r="B17" s="419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190</v>
      </c>
      <c r="B18" s="419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23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191</v>
      </c>
      <c r="B20" s="423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23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197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32" t="s">
        <v>204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32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193</v>
      </c>
      <c r="B25" s="432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169</v>
      </c>
      <c r="B26" s="432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177</v>
      </c>
      <c r="B27" s="429" t="s">
        <v>215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0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0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31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6" t="s">
        <v>219</v>
      </c>
      <c r="B31" s="426" t="s">
        <v>217</v>
      </c>
      <c r="C31" s="327">
        <v>45000</v>
      </c>
      <c r="D31" s="327">
        <v>2000</v>
      </c>
      <c r="E31" s="327">
        <f t="shared" si="2"/>
        <v>47000</v>
      </c>
    </row>
    <row r="32" spans="1:5" ht="15.75" x14ac:dyDescent="0.25">
      <c r="A32" s="326" t="s">
        <v>166</v>
      </c>
      <c r="B32" s="427"/>
      <c r="C32" s="327">
        <v>38000</v>
      </c>
      <c r="D32" s="327">
        <v>3000</v>
      </c>
      <c r="E32" s="327">
        <f t="shared" si="2"/>
        <v>41000</v>
      </c>
    </row>
    <row r="33" spans="1:5" ht="15.75" x14ac:dyDescent="0.25">
      <c r="A33" s="326" t="s">
        <v>218</v>
      </c>
      <c r="B33" s="427"/>
      <c r="C33" s="327">
        <v>45000</v>
      </c>
      <c r="D33" s="327">
        <v>20000</v>
      </c>
      <c r="E33" s="327">
        <f t="shared" ref="E33:E42" si="3">D33+C33</f>
        <v>65000</v>
      </c>
    </row>
    <row r="34" spans="1:5" ht="15.75" x14ac:dyDescent="0.25">
      <c r="A34" s="326" t="s">
        <v>220</v>
      </c>
      <c r="B34" s="427"/>
      <c r="C34" s="327">
        <v>32000</v>
      </c>
      <c r="D34" s="327">
        <v>3000</v>
      </c>
      <c r="E34" s="327">
        <f t="shared" si="3"/>
        <v>35000</v>
      </c>
    </row>
    <row r="35" spans="1:5" ht="15.75" x14ac:dyDescent="0.25">
      <c r="A35" s="326" t="s">
        <v>221</v>
      </c>
      <c r="B35" s="427"/>
      <c r="C35" s="327">
        <v>23000</v>
      </c>
      <c r="D35" s="327">
        <v>12000</v>
      </c>
      <c r="E35" s="327">
        <f t="shared" si="3"/>
        <v>35000</v>
      </c>
    </row>
    <row r="36" spans="1:5" ht="15.75" x14ac:dyDescent="0.25">
      <c r="A36" s="326" t="s">
        <v>163</v>
      </c>
      <c r="B36" s="427"/>
      <c r="C36" s="327">
        <v>22000</v>
      </c>
      <c r="D36" s="327">
        <v>13000</v>
      </c>
      <c r="E36" s="327">
        <f t="shared" si="3"/>
        <v>35000</v>
      </c>
    </row>
    <row r="37" spans="1:5" ht="20.25" customHeight="1" x14ac:dyDescent="0.25">
      <c r="A37" s="269" t="s">
        <v>198</v>
      </c>
      <c r="B37" s="427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188</v>
      </c>
      <c r="B38" s="427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189</v>
      </c>
      <c r="B39" s="427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190</v>
      </c>
      <c r="B40" s="428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177</v>
      </c>
      <c r="B41" s="424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174</v>
      </c>
      <c r="B42" s="425"/>
      <c r="C42" s="270">
        <v>65000</v>
      </c>
      <c r="D42" s="270">
        <v>15000</v>
      </c>
      <c r="E42" s="270">
        <f t="shared" si="3"/>
        <v>80000</v>
      </c>
    </row>
  </sheetData>
  <autoFilter ref="A2:E2" xr:uid="{69971A69-1AB5-4F7A-A4C2-73A1E09F711B}"/>
  <mergeCells count="9"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2023-12-07T10:51:53Z</cp:lastPrinted>
  <dcterms:created xsi:type="dcterms:W3CDTF">2007-01-04T05:01:09Z</dcterms:created>
  <dcterms:modified xsi:type="dcterms:W3CDTF">2023-12-11T07:55:59Z</dcterms:modified>
</cp:coreProperties>
</file>