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2336A78D-D9E5-4439-B70C-4C9CA02F1B2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Posting!$A$1:$P$17931</definedName>
    <definedName name="_xlnm._FilterDatabase" localSheetId="4" hidden="1">Supplier!$A$1:$XFC$4057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34" r:id="rId21"/>
    <pivotCache cacheId="40" r:id="rId22"/>
  </pivotCaches>
</workbook>
</file>

<file path=xl/calcChain.xml><?xml version="1.0" encoding="utf-8"?>
<calcChain xmlns="http://schemas.openxmlformats.org/spreadsheetml/2006/main">
  <c r="G4066" i="2" l="1"/>
  <c r="G17890" i="1" l="1"/>
  <c r="G17897" i="1"/>
  <c r="G17893" i="1"/>
  <c r="G17894" i="1"/>
  <c r="G17895" i="1"/>
  <c r="G17896" i="1"/>
  <c r="G17885" i="1"/>
  <c r="G17886" i="1"/>
  <c r="G17887" i="1"/>
  <c r="G17888" i="1"/>
  <c r="G17889" i="1"/>
  <c r="G17891" i="1"/>
  <c r="G17892" i="1"/>
  <c r="G17884" i="1"/>
  <c r="G17883" i="1"/>
  <c r="G4067" i="2"/>
  <c r="G17911" i="1"/>
  <c r="G17940" i="1" l="1"/>
  <c r="G17934" i="1"/>
  <c r="G17935" i="1"/>
  <c r="G17936" i="1"/>
  <c r="G17937" i="1"/>
  <c r="G17938" i="1"/>
  <c r="G17939" i="1"/>
  <c r="G17933" i="1"/>
  <c r="G17910" i="1"/>
  <c r="G17881" i="1"/>
  <c r="G17882" i="1"/>
  <c r="G17877" i="1"/>
  <c r="G17878" i="1"/>
  <c r="G17879" i="1"/>
  <c r="G17880" i="1"/>
  <c r="G17873" i="1"/>
  <c r="G17874" i="1"/>
  <c r="G17875" i="1"/>
  <c r="G17876" i="1"/>
  <c r="G17872" i="1"/>
  <c r="G17871" i="1"/>
  <c r="G17866" i="1"/>
  <c r="G17867" i="1"/>
  <c r="G17868" i="1"/>
  <c r="G17869" i="1"/>
  <c r="G17870" i="1"/>
  <c r="G17932" i="1"/>
  <c r="G4065" i="2"/>
  <c r="G4044" i="2"/>
  <c r="G17857" i="1"/>
  <c r="G17858" i="1"/>
  <c r="G17859" i="1"/>
  <c r="G17860" i="1"/>
  <c r="G17861" i="1"/>
  <c r="G17862" i="1"/>
  <c r="G17863" i="1"/>
  <c r="G17864" i="1"/>
  <c r="G17865" i="1"/>
  <c r="G17856" i="1"/>
  <c r="G17851" i="1"/>
  <c r="G17852" i="1"/>
  <c r="G17853" i="1"/>
  <c r="G17854" i="1"/>
  <c r="G17855" i="1"/>
  <c r="G17850" i="1"/>
  <c r="G17844" i="1"/>
  <c r="G17845" i="1"/>
  <c r="G17846" i="1"/>
  <c r="G17847" i="1"/>
  <c r="G17848" i="1"/>
  <c r="G17849" i="1"/>
  <c r="G4058" i="2"/>
  <c r="G4059" i="2"/>
  <c r="G4060" i="2"/>
  <c r="G4061" i="2"/>
  <c r="G4062" i="2"/>
  <c r="G4063" i="2"/>
  <c r="G4064" i="2"/>
  <c r="G17843" i="1"/>
  <c r="G17841" i="1"/>
  <c r="G17842" i="1"/>
  <c r="G17837" i="1"/>
  <c r="G17838" i="1"/>
  <c r="G17839" i="1"/>
  <c r="G3411" i="2" l="1"/>
  <c r="H73" i="5"/>
  <c r="H72" i="5"/>
  <c r="H71" i="5"/>
  <c r="G73" i="5"/>
  <c r="G72" i="5"/>
  <c r="G71" i="5"/>
  <c r="I70" i="5"/>
  <c r="I71" i="5"/>
  <c r="I72" i="5"/>
  <c r="I73" i="5"/>
  <c r="G4032" i="2"/>
  <c r="G4043" i="2"/>
  <c r="G17931" i="1"/>
  <c r="G17925" i="1"/>
  <c r="G17926" i="1"/>
  <c r="G17927" i="1"/>
  <c r="G17928" i="1"/>
  <c r="G17929" i="1"/>
  <c r="G17930" i="1"/>
  <c r="I74" i="5" l="1"/>
  <c r="I78" i="5" s="1"/>
  <c r="I80" i="5" s="1"/>
  <c r="G17914" i="1"/>
  <c r="C12" i="3"/>
  <c r="B12" i="3"/>
  <c r="C11" i="3"/>
  <c r="B11" i="3"/>
  <c r="G17833" i="1"/>
  <c r="G17834" i="1"/>
  <c r="G17835" i="1"/>
  <c r="G17836" i="1"/>
  <c r="G17840" i="1"/>
  <c r="G17832" i="1"/>
  <c r="G17831" i="1"/>
  <c r="G17821" i="1"/>
  <c r="G17822" i="1"/>
  <c r="G17823" i="1"/>
  <c r="G17824" i="1"/>
  <c r="G17825" i="1"/>
  <c r="G17826" i="1"/>
  <c r="G17827" i="1"/>
  <c r="G17828" i="1"/>
  <c r="G17829" i="1"/>
  <c r="G17830" i="1"/>
  <c r="G17815" i="1"/>
  <c r="G17816" i="1"/>
  <c r="G17817" i="1"/>
  <c r="G17818" i="1"/>
  <c r="G17819" i="1"/>
  <c r="G17820" i="1"/>
  <c r="F148" i="37"/>
  <c r="G4057" i="2"/>
  <c r="G17814" i="1"/>
  <c r="G4053" i="2"/>
  <c r="G4054" i="2"/>
  <c r="G4055" i="2"/>
  <c r="G4056" i="2"/>
  <c r="G17811" i="1"/>
  <c r="G17812" i="1"/>
  <c r="G17813" i="1"/>
  <c r="G17810" i="1"/>
  <c r="G17809" i="1"/>
  <c r="G17808" i="1"/>
  <c r="G4052" i="2"/>
  <c r="G17807" i="1"/>
  <c r="G17806" i="1"/>
  <c r="G17805" i="1"/>
  <c r="G17804" i="1"/>
  <c r="F147" i="37"/>
  <c r="G4038" i="2"/>
  <c r="G4050" i="2"/>
  <c r="G4049" i="2"/>
  <c r="G4037" i="2"/>
  <c r="G4042" i="2"/>
  <c r="G4036" i="2"/>
  <c r="G3970" i="2"/>
  <c r="G4035" i="2"/>
  <c r="G4051" i="2"/>
  <c r="G4041" i="2"/>
  <c r="G4045" i="2"/>
  <c r="G4026" i="2"/>
  <c r="G3979" i="2"/>
  <c r="G3969" i="2"/>
  <c r="G4048" i="2"/>
  <c r="G4040" i="2"/>
  <c r="G4039" i="2"/>
  <c r="G4031" i="2"/>
  <c r="G17924" i="1"/>
  <c r="G17920" i="1"/>
  <c r="G17921" i="1"/>
  <c r="G17922" i="1"/>
  <c r="G17923" i="1"/>
  <c r="G17803" i="1"/>
  <c r="G17800" i="1"/>
  <c r="G17802" i="1"/>
  <c r="G17801" i="1"/>
  <c r="G17799" i="1"/>
  <c r="G17792" i="1"/>
  <c r="G17793" i="1"/>
  <c r="G17794" i="1"/>
  <c r="G17795" i="1"/>
  <c r="G17796" i="1"/>
  <c r="G17797" i="1"/>
  <c r="G17798" i="1"/>
  <c r="G17791" i="1"/>
  <c r="G17790" i="1"/>
  <c r="G17789" i="1"/>
  <c r="G17909" i="1"/>
  <c r="G17908" i="1"/>
  <c r="G17907" i="1"/>
  <c r="G17906" i="1"/>
  <c r="G17905" i="1"/>
  <c r="G17904" i="1"/>
  <c r="G17903" i="1"/>
  <c r="G17919" i="1"/>
  <c r="G17918" i="1"/>
  <c r="G17788" i="1"/>
  <c r="G17787" i="1"/>
  <c r="G17786" i="1"/>
  <c r="G17776" i="1"/>
  <c r="G17777" i="1"/>
  <c r="G17778" i="1"/>
  <c r="G17779" i="1"/>
  <c r="G17780" i="1"/>
  <c r="G17781" i="1"/>
  <c r="G17782" i="1"/>
  <c r="G17783" i="1"/>
  <c r="G17784" i="1"/>
  <c r="G17785" i="1"/>
  <c r="G17772" i="1"/>
  <c r="G17773" i="1"/>
  <c r="G17774" i="1"/>
  <c r="G17775" i="1"/>
  <c r="G17771" i="1"/>
  <c r="G17770" i="1"/>
  <c r="G17769" i="1"/>
  <c r="G17916" i="1"/>
  <c r="G17917" i="1"/>
  <c r="G17768" i="1" l="1"/>
  <c r="G17709" i="1"/>
  <c r="G17436" i="1"/>
  <c r="G17437" i="1"/>
  <c r="G17763" i="1"/>
  <c r="G17764" i="1"/>
  <c r="G17765" i="1"/>
  <c r="G17766" i="1"/>
  <c r="G17767" i="1"/>
  <c r="G17733" i="1"/>
  <c r="G17714" i="1"/>
  <c r="G17713" i="1"/>
  <c r="G17703" i="1"/>
  <c r="G17704" i="1"/>
  <c r="G17705" i="1"/>
  <c r="G17902" i="1" l="1"/>
  <c r="G17900" i="1"/>
  <c r="G17901" i="1"/>
  <c r="G17899" i="1"/>
  <c r="G17898" i="1"/>
  <c r="G17602" i="1"/>
  <c r="G17603" i="1"/>
  <c r="G17604" i="1"/>
  <c r="G17605" i="1"/>
  <c r="G17606" i="1"/>
  <c r="G17607" i="1"/>
  <c r="G17608" i="1"/>
  <c r="G17609" i="1"/>
  <c r="G4047" i="2"/>
  <c r="G4046"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4" i="2"/>
  <c r="G17715" i="1"/>
  <c r="F145" i="37"/>
  <c r="G4033"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915" i="1"/>
  <c r="G17913" i="1"/>
  <c r="G17912" i="1"/>
  <c r="G4021" i="2"/>
  <c r="G4022" i="2"/>
  <c r="G4023" i="2"/>
  <c r="G4024" i="2"/>
  <c r="G4025"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0" i="2"/>
  <c r="G4029" i="2"/>
  <c r="G4028" i="2"/>
  <c r="G4027" i="2"/>
  <c r="G17672" i="1"/>
  <c r="G17673" i="1"/>
  <c r="G17674" i="1"/>
  <c r="G17675" i="1"/>
  <c r="G17671" i="1"/>
  <c r="G17670" i="1"/>
  <c r="G17669" i="1"/>
  <c r="G17668" i="1"/>
  <c r="G4018" i="2"/>
  <c r="G3974" i="2"/>
  <c r="G3785" i="2"/>
  <c r="G3777" i="2"/>
  <c r="G3622" i="2"/>
  <c r="G3520" i="2"/>
  <c r="G4000" i="2" l="1"/>
  <c r="G4001" i="2"/>
  <c r="G4002" i="2"/>
  <c r="G4003" i="2"/>
  <c r="G4004" i="2"/>
  <c r="G4005" i="2"/>
  <c r="G4006" i="2"/>
  <c r="G3737" i="2"/>
  <c r="G3736" i="2"/>
  <c r="G3436" i="2"/>
  <c r="G3410" i="2"/>
  <c r="G3150" i="2" l="1"/>
  <c r="G3149" i="2"/>
  <c r="G4020" i="2" l="1"/>
  <c r="G4017" i="2"/>
  <c r="G17667" i="1" l="1"/>
  <c r="G17666" i="1"/>
  <c r="G17681" i="1"/>
  <c r="G17696" i="1" l="1"/>
  <c r="G17690" i="1"/>
  <c r="G17689" i="1"/>
  <c r="G17688" i="1"/>
  <c r="G17687" i="1"/>
  <c r="G17686" i="1"/>
  <c r="G17685" i="1"/>
  <c r="J18" i="33"/>
  <c r="M3" i="33"/>
  <c r="G3909" i="2" l="1"/>
  <c r="G3788" i="2"/>
  <c r="G3694" i="2"/>
  <c r="G17684" i="1"/>
  <c r="G3988" i="2" l="1"/>
  <c r="G3973" i="2"/>
  <c r="G3968" i="2"/>
  <c r="G3961" i="2"/>
  <c r="G3954" i="2"/>
  <c r="G3941" i="2"/>
  <c r="G4016" i="2"/>
  <c r="G4015" i="2"/>
  <c r="G4014" i="2"/>
  <c r="G3999" i="2"/>
  <c r="G17567" i="1"/>
  <c r="G4019" i="2"/>
  <c r="G17564" i="1"/>
  <c r="G17565" i="1"/>
  <c r="G17566" i="1"/>
  <c r="G17661" i="1" l="1"/>
  <c r="G17559" i="1"/>
  <c r="G17560" i="1"/>
  <c r="G17561" i="1"/>
  <c r="G4013" i="2"/>
  <c r="G4012" i="2"/>
  <c r="G401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0" i="2"/>
  <c r="G4009" i="2"/>
  <c r="G4008"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7" i="2"/>
  <c r="G3998" i="2"/>
  <c r="G17653" i="1" l="1"/>
  <c r="G17652" i="1"/>
  <c r="G4007" i="2"/>
  <c r="G3992" i="2"/>
  <c r="G3991" i="2"/>
  <c r="G3990" i="2"/>
  <c r="G398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7" i="2"/>
  <c r="G3996" i="2"/>
  <c r="G3995" i="2"/>
  <c r="G3978" i="2"/>
  <c r="G17645" i="1"/>
  <c r="G17643" i="1"/>
  <c r="G3989" i="2"/>
  <c r="G3981" i="2"/>
  <c r="G3980" i="2"/>
  <c r="G3976" i="2"/>
  <c r="G3965" i="2"/>
  <c r="G3994" i="2"/>
  <c r="G3993"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9" i="2"/>
  <c r="G3787" i="2"/>
  <c r="G3786" i="2"/>
  <c r="G3812" i="2"/>
  <c r="G3561" i="2"/>
  <c r="G3562" i="2"/>
  <c r="G17682" i="1"/>
  <c r="G3983" i="2" l="1"/>
  <c r="G3984" i="2"/>
  <c r="G3985" i="2"/>
  <c r="G3986" i="2"/>
  <c r="G3987" i="2"/>
  <c r="G17641" i="1"/>
  <c r="G17640" i="1"/>
  <c r="G17639" i="1"/>
  <c r="G17638" i="1"/>
  <c r="G17637" i="1"/>
  <c r="G17290" i="1"/>
  <c r="G3967" i="2" l="1"/>
  <c r="G3966"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2" i="2" l="1"/>
  <c r="G3958" i="2"/>
  <c r="G3971" i="2"/>
  <c r="G3964" i="2"/>
  <c r="G3963" i="2"/>
  <c r="G3957" i="2"/>
  <c r="G3956" i="2"/>
  <c r="G3946" i="2"/>
  <c r="G3975" i="2"/>
  <c r="G3962" i="2"/>
  <c r="G3960"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5" i="2"/>
  <c r="G17361" i="1"/>
  <c r="G17677" i="1"/>
  <c r="G17678" i="1"/>
  <c r="G17679" i="1"/>
  <c r="G3945" i="2"/>
  <c r="G3923" i="2"/>
  <c r="G3938" i="2"/>
  <c r="G394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8" i="2"/>
  <c r="G3949" i="2"/>
  <c r="G3953" i="2"/>
  <c r="G3944" i="2"/>
  <c r="G3952" i="2"/>
  <c r="G3939" i="2"/>
  <c r="G393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1" i="2"/>
  <c r="G3950" i="2"/>
  <c r="G17629" i="1"/>
  <c r="G17628" i="1"/>
  <c r="G3943" i="2"/>
  <c r="G3947" i="2"/>
  <c r="G3948"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6" i="2"/>
  <c r="G3942" i="2"/>
  <c r="G3935" i="2"/>
  <c r="G3934" i="2"/>
  <c r="F3877" i="2"/>
  <c r="G3933" i="2"/>
  <c r="G3931" i="2"/>
  <c r="G3930" i="2"/>
  <c r="G3925" i="2"/>
  <c r="G3924" i="2"/>
  <c r="G3918" i="2"/>
  <c r="G3932" i="2"/>
  <c r="G3929" i="2"/>
  <c r="G3789" i="2"/>
  <c r="G3784" i="2"/>
  <c r="G3917" i="2"/>
  <c r="G3916" i="2"/>
  <c r="G3928" i="2"/>
  <c r="G3927" i="2"/>
  <c r="G3926" i="2"/>
  <c r="G3922" i="2"/>
  <c r="G3921" i="2"/>
  <c r="G3920" i="2"/>
  <c r="G3919" i="2"/>
  <c r="G3915"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4" i="2"/>
  <c r="G3913" i="2"/>
  <c r="G3912" i="2"/>
  <c r="G3911" i="2"/>
  <c r="G3908" i="2"/>
  <c r="G17326" i="1"/>
  <c r="G17133" i="1"/>
  <c r="G17135" i="1"/>
  <c r="G17126" i="1"/>
  <c r="G17125" i="1"/>
  <c r="G17124" i="1"/>
  <c r="G17134" i="1"/>
  <c r="G17132" i="1"/>
  <c r="G17308" i="1"/>
  <c r="G3910"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7" i="2" l="1"/>
  <c r="G3902" i="2"/>
  <c r="G3906" i="2"/>
  <c r="G3892" i="2"/>
  <c r="G3901" i="2"/>
  <c r="G17307" i="1"/>
  <c r="G3905" i="2"/>
  <c r="G3904" i="2"/>
  <c r="G3891" i="2" l="1"/>
  <c r="G3890" i="2"/>
  <c r="O20" i="31" l="1"/>
  <c r="G17306" i="1" l="1"/>
  <c r="G17103" i="1"/>
  <c r="G17098" i="1"/>
  <c r="G17099" i="1"/>
  <c r="G17100" i="1"/>
  <c r="G17101" i="1"/>
  <c r="G17102" i="1"/>
  <c r="G3903" i="2"/>
  <c r="G17305" i="1"/>
  <c r="G17304" i="1"/>
  <c r="G17303" i="1"/>
  <c r="G3894" i="2"/>
  <c r="G3895" i="2"/>
  <c r="G3896" i="2"/>
  <c r="G3897" i="2"/>
  <c r="G3898" i="2"/>
  <c r="G3899" i="2"/>
  <c r="G3900"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3" i="2"/>
  <c r="G17082" i="1"/>
  <c r="G17077" i="1"/>
  <c r="G17078" i="1"/>
  <c r="G17079" i="1"/>
  <c r="G17080" i="1"/>
  <c r="G17081" i="1"/>
  <c r="I139" i="28"/>
  <c r="G17324" i="1"/>
  <c r="G17325" i="1"/>
  <c r="G3889" i="2"/>
  <c r="G3888" i="2"/>
  <c r="G3887" i="2"/>
  <c r="G3886" i="2"/>
  <c r="G3885" i="2"/>
  <c r="G3884" i="2"/>
  <c r="G3883" i="2"/>
  <c r="G3882" i="2"/>
  <c r="G3881" i="2"/>
  <c r="G3880" i="2"/>
  <c r="G3879" i="2"/>
  <c r="G3878" i="2"/>
  <c r="G3877" i="2"/>
  <c r="G3876" i="2"/>
  <c r="G2947" i="2"/>
  <c r="G3875" i="2"/>
  <c r="G3575" i="2"/>
  <c r="G17323" i="1"/>
  <c r="G16975" i="1"/>
  <c r="G16974" i="1"/>
  <c r="G17072" i="1"/>
  <c r="G17073" i="1"/>
  <c r="G16846" i="1"/>
  <c r="G17074" i="1"/>
  <c r="G17075" i="1"/>
  <c r="G17076" i="1"/>
  <c r="G17071" i="1"/>
  <c r="G17070" i="1"/>
  <c r="G17069" i="1"/>
  <c r="E26" i="33"/>
  <c r="G3874" i="2"/>
  <c r="G17068" i="1"/>
  <c r="G17064" i="1"/>
  <c r="G17065" i="1"/>
  <c r="G17066" i="1"/>
  <c r="G17067" i="1"/>
  <c r="G3836" i="2"/>
  <c r="G3846" i="2"/>
  <c r="G3872" i="2"/>
  <c r="G3873" i="2"/>
  <c r="G3855" i="2"/>
  <c r="G3854" i="2"/>
  <c r="G3848" i="2"/>
  <c r="G3847" i="2"/>
  <c r="G3871" i="2"/>
  <c r="G3870" i="2"/>
  <c r="G3857" i="2"/>
  <c r="G3856" i="2"/>
  <c r="G3853" i="2"/>
  <c r="G3852" i="2"/>
  <c r="G3851" i="2"/>
  <c r="G3837" i="2"/>
  <c r="G17063" i="1"/>
  <c r="G17062" i="1"/>
  <c r="G17061" i="1"/>
  <c r="G17056" i="1"/>
  <c r="G17057" i="1"/>
  <c r="G16845" i="1"/>
  <c r="G17058" i="1"/>
  <c r="G17059" i="1"/>
  <c r="G17060" i="1"/>
  <c r="G17055" i="1"/>
  <c r="G17050" i="1"/>
  <c r="G17051" i="1"/>
  <c r="G17052" i="1"/>
  <c r="G17053" i="1"/>
  <c r="G17054" i="1"/>
  <c r="G3869" i="2"/>
  <c r="G17048" i="1"/>
  <c r="E17047" i="1"/>
  <c r="G17046" i="1"/>
  <c r="G17045" i="1"/>
  <c r="G17044" i="1"/>
  <c r="G17043" i="1"/>
  <c r="G17042" i="1"/>
  <c r="G17041" i="1"/>
  <c r="G17047" i="1" l="1"/>
  <c r="E17049" i="1"/>
  <c r="G17049" i="1" s="1"/>
  <c r="B10" i="3" l="1"/>
  <c r="G17037" i="1"/>
  <c r="G17038" i="1"/>
  <c r="G17039" i="1"/>
  <c r="G17040" i="1"/>
  <c r="G3850" i="2"/>
  <c r="G3868" i="2"/>
  <c r="G3867" i="2"/>
  <c r="G3866" i="2"/>
  <c r="G3864" i="2"/>
  <c r="G3863" i="2"/>
  <c r="G17322" i="1"/>
  <c r="G3859" i="2"/>
  <c r="G3860" i="2"/>
  <c r="G3861" i="2"/>
  <c r="G3862" i="2"/>
  <c r="G3858" i="2"/>
  <c r="G3813" i="2"/>
  <c r="G3574" i="2"/>
  <c r="G3573"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9" i="2" l="1"/>
  <c r="E42" i="33"/>
  <c r="G16516" i="1"/>
  <c r="G17320" i="1"/>
  <c r="G16959" i="1"/>
  <c r="G3845" i="2"/>
  <c r="G16968" i="1"/>
  <c r="G16965" i="1"/>
  <c r="G16966" i="1"/>
  <c r="G16967" i="1"/>
  <c r="G16964" i="1"/>
  <c r="G16952" i="1"/>
  <c r="G16953" i="1"/>
  <c r="G16954" i="1"/>
  <c r="G16955" i="1"/>
  <c r="G16956" i="1"/>
  <c r="G16957" i="1"/>
  <c r="G16958" i="1"/>
  <c r="G16960" i="1"/>
  <c r="G16961" i="1"/>
  <c r="G16962" i="1"/>
  <c r="G16963" i="1"/>
  <c r="F3829" i="2"/>
  <c r="G3831" i="2"/>
  <c r="G16947" i="1" l="1"/>
  <c r="G16948" i="1"/>
  <c r="G16949" i="1"/>
  <c r="G16950" i="1"/>
  <c r="G3842" i="2"/>
  <c r="G3841" i="2"/>
  <c r="G3835" i="2"/>
  <c r="G3834" i="2"/>
  <c r="G3833" i="2"/>
  <c r="G3832" i="2"/>
  <c r="G3830" i="2"/>
  <c r="G16875" i="1"/>
  <c r="G16876" i="1"/>
  <c r="G16877" i="1"/>
  <c r="G3838" i="2"/>
  <c r="G3829" i="2"/>
  <c r="G3828" i="2"/>
  <c r="G3827" i="2"/>
  <c r="G3839" i="2"/>
  <c r="G3825" i="2"/>
  <c r="G3824" i="2"/>
  <c r="G3809" i="2"/>
  <c r="G3844" i="2"/>
  <c r="G3840" i="2"/>
  <c r="G16951" i="1"/>
  <c r="G16946" i="1"/>
  <c r="G16941" i="1"/>
  <c r="G16942" i="1"/>
  <c r="G16943" i="1"/>
  <c r="G16944" i="1"/>
  <c r="G16945" i="1"/>
  <c r="G3843"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5" i="2"/>
  <c r="G3744" i="2"/>
  <c r="G3768" i="2"/>
  <c r="G3767" i="2"/>
  <c r="G3759" i="2"/>
  <c r="G3758" i="2"/>
  <c r="G16857" i="1"/>
  <c r="G16852" i="1"/>
  <c r="G16853" i="1"/>
  <c r="G16854" i="1"/>
  <c r="G16855" i="1"/>
  <c r="G16856" i="1"/>
  <c r="G3816" i="2"/>
  <c r="G3817" i="2"/>
  <c r="G3818" i="2"/>
  <c r="G3819" i="2"/>
  <c r="G3820" i="2"/>
  <c r="G16773" i="1"/>
  <c r="G16912" i="1"/>
  <c r="G16879" i="1"/>
  <c r="G16880" i="1"/>
  <c r="G16881" i="1"/>
  <c r="G16882" i="1"/>
  <c r="G16878" i="1"/>
  <c r="G3826" i="2"/>
  <c r="G16874" i="1"/>
  <c r="G16873" i="1" l="1"/>
  <c r="G16872" i="1"/>
  <c r="G16866" i="1"/>
  <c r="G16867" i="1"/>
  <c r="G16868" i="1"/>
  <c r="G16869" i="1"/>
  <c r="G16870" i="1"/>
  <c r="G16871" i="1"/>
  <c r="G16865" i="1"/>
  <c r="G16858" i="1" l="1"/>
  <c r="G16859" i="1"/>
  <c r="G16860" i="1"/>
  <c r="G16861" i="1"/>
  <c r="G16862" i="1"/>
  <c r="G3823" i="2"/>
  <c r="G3822" i="2"/>
  <c r="G16929" i="1" l="1"/>
  <c r="G3781" i="2"/>
  <c r="G3782" i="2"/>
  <c r="G3783" i="2"/>
  <c r="G3779" i="2"/>
  <c r="G3776" i="2"/>
  <c r="G3780" i="2"/>
  <c r="G3766" i="2"/>
  <c r="G3762" i="2"/>
  <c r="G3761" i="2"/>
  <c r="G3811" i="2"/>
  <c r="G3803" i="2"/>
  <c r="G3810" i="2"/>
  <c r="G3765" i="2"/>
  <c r="G3693" i="2"/>
  <c r="G16863" i="1" l="1"/>
  <c r="G16864" i="1"/>
  <c r="G3821" i="2"/>
  <c r="G3815"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4" i="2"/>
  <c r="G16775" i="1"/>
  <c r="G16774" i="1"/>
  <c r="G16772" i="1"/>
  <c r="G16757" i="1"/>
  <c r="G3808" i="2"/>
  <c r="G16756" i="1"/>
  <c r="G16755" i="1"/>
  <c r="G16754" i="1"/>
  <c r="G3807" i="2"/>
  <c r="G3806" i="2"/>
  <c r="G3805" i="2"/>
  <c r="G16753" i="1"/>
  <c r="G16752" i="1"/>
  <c r="G3770" i="2"/>
  <c r="G3773" i="2"/>
  <c r="G3772" i="2"/>
  <c r="G3771" i="2"/>
  <c r="G3769" i="2"/>
  <c r="G3764" i="2"/>
  <c r="G3763" i="2"/>
  <c r="G3804" i="2"/>
  <c r="G16770" i="1"/>
  <c r="G16758" i="1"/>
  <c r="G16759" i="1"/>
  <c r="G16760" i="1"/>
  <c r="G16761" i="1"/>
  <c r="G16762" i="1"/>
  <c r="G16763" i="1"/>
  <c r="G16764" i="1"/>
  <c r="G16765" i="1"/>
  <c r="G16766" i="1"/>
  <c r="G16767" i="1"/>
  <c r="G16768" i="1"/>
  <c r="G16769" i="1"/>
  <c r="G16928" i="1"/>
  <c r="G16751" i="1"/>
  <c r="G16750" i="1"/>
  <c r="G16749" i="1"/>
  <c r="G16748" i="1"/>
  <c r="G3799" i="2"/>
  <c r="G3800" i="2"/>
  <c r="G3801" i="2"/>
  <c r="G3802" i="2"/>
  <c r="G16735" i="1"/>
  <c r="G16736" i="1"/>
  <c r="G16737" i="1"/>
  <c r="G16738" i="1"/>
  <c r="G16739" i="1"/>
  <c r="G16740" i="1"/>
  <c r="G16741" i="1"/>
  <c r="G16742" i="1"/>
  <c r="G16743" i="1"/>
  <c r="G16744" i="1"/>
  <c r="G3790" i="2"/>
  <c r="G3791" i="2"/>
  <c r="G3792" i="2"/>
  <c r="G3793" i="2"/>
  <c r="G3794" i="2"/>
  <c r="G3795" i="2"/>
  <c r="G3796" i="2"/>
  <c r="G3797" i="2"/>
  <c r="G3798" i="2"/>
  <c r="G3760" i="2"/>
  <c r="G16734" i="1"/>
  <c r="G16733" i="1" l="1"/>
  <c r="G3778" i="2"/>
  <c r="G3775" i="2"/>
  <c r="G16732" i="1"/>
  <c r="G16715" i="1"/>
  <c r="G16731" i="1"/>
  <c r="G3774"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4" i="2"/>
  <c r="G3755" i="2"/>
  <c r="G16689" i="1" l="1"/>
  <c r="G16688" i="1"/>
  <c r="G16687" i="1"/>
  <c r="G16686" i="1"/>
  <c r="G16349" i="1" l="1"/>
  <c r="G16911" i="1"/>
  <c r="G16910" i="1"/>
  <c r="G16691" i="1"/>
  <c r="G16631" i="1"/>
  <c r="G16909" i="1"/>
  <c r="G16690" i="1"/>
  <c r="G16685" i="1"/>
  <c r="G16662" i="1"/>
  <c r="G3757" i="2"/>
  <c r="G3756"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2" i="2"/>
  <c r="G3751" i="2"/>
  <c r="G3750" i="2"/>
  <c r="G374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8" i="2" l="1"/>
  <c r="G3730" i="2"/>
  <c r="G3695" i="2"/>
  <c r="G3679" i="2"/>
  <c r="G3648" i="2"/>
  <c r="G3753" i="2"/>
  <c r="G3743" i="2"/>
  <c r="G3739" i="2"/>
  <c r="G3738" i="2"/>
  <c r="G3735" i="2"/>
  <c r="G3740" i="2"/>
  <c r="G373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7" i="2" l="1"/>
  <c r="G16586" i="1"/>
  <c r="G3742" i="2"/>
  <c r="G3746" i="2"/>
  <c r="G3729" i="2"/>
  <c r="G3725" i="2"/>
  <c r="G3724" i="2"/>
  <c r="G371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1"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3" i="2" l="1"/>
  <c r="G3732" i="2"/>
  <c r="G373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8" i="2"/>
  <c r="G3717" i="2"/>
  <c r="G3709" i="2"/>
  <c r="G3708" i="2"/>
  <c r="G3728" i="2"/>
  <c r="G3692" i="2"/>
  <c r="G3691" i="2"/>
  <c r="G3698" i="2"/>
  <c r="G3714" i="2"/>
  <c r="G3727" i="2"/>
  <c r="G3716" i="2"/>
  <c r="G3715" i="2"/>
  <c r="G3678" i="2"/>
  <c r="G3726" i="2"/>
  <c r="G3713" i="2"/>
  <c r="G3712" i="2"/>
  <c r="G3711" i="2"/>
  <c r="G3710" i="2"/>
  <c r="G3697" i="2"/>
  <c r="G3684" i="2"/>
  <c r="G3683" i="2"/>
  <c r="G3682" i="2"/>
  <c r="G3681" i="2"/>
  <c r="G3680" i="2"/>
  <c r="G16442" i="1" l="1"/>
  <c r="G16441" i="1"/>
  <c r="G16440" i="1"/>
  <c r="G16434" i="1"/>
  <c r="G16433" i="1"/>
  <c r="G3723" i="2"/>
  <c r="G16500" i="1"/>
  <c r="G3722" i="2"/>
  <c r="G3721" i="2"/>
  <c r="G3720"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7" i="2"/>
  <c r="G3706" i="2"/>
  <c r="G3705" i="2"/>
  <c r="G16366" i="1"/>
  <c r="G16367" i="1"/>
  <c r="G16368" i="1"/>
  <c r="G16369" i="1"/>
  <c r="G16370" i="1"/>
  <c r="G16371" i="1"/>
  <c r="G16372" i="1"/>
  <c r="G16284" i="1"/>
  <c r="G16518" i="1"/>
  <c r="G16517" i="1"/>
  <c r="T9" i="30"/>
  <c r="G16492" i="1" l="1"/>
  <c r="G16487" i="1"/>
  <c r="G16488" i="1"/>
  <c r="G16489" i="1"/>
  <c r="G16490" i="1"/>
  <c r="G16491" i="1"/>
  <c r="G3704" i="2"/>
  <c r="G3699" i="2"/>
  <c r="G3700" i="2"/>
  <c r="G3701" i="2"/>
  <c r="G3702" i="2"/>
  <c r="G3703" i="2"/>
  <c r="G16486" i="1"/>
  <c r="G16485" i="1"/>
  <c r="G369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2" i="2" l="1"/>
  <c r="G3671" i="2"/>
  <c r="G16331" i="1"/>
  <c r="G16332" i="1"/>
  <c r="G16333" i="1"/>
  <c r="G16334" i="1"/>
  <c r="G16335" i="1"/>
  <c r="G3690" i="2"/>
  <c r="G3689" i="2"/>
  <c r="G3688" i="2"/>
  <c r="G3687" i="2"/>
  <c r="G3686" i="2"/>
  <c r="G3685" i="2"/>
  <c r="G16338" i="1"/>
  <c r="G16339" i="1"/>
  <c r="G16340" i="1"/>
  <c r="G16341" i="1"/>
  <c r="G16342" i="1"/>
  <c r="G16343" i="1"/>
  <c r="G16344" i="1"/>
  <c r="G3646" i="2"/>
  <c r="G16482" i="1"/>
  <c r="G16481" i="1"/>
  <c r="G16480" i="1"/>
  <c r="G3668" i="2"/>
  <c r="G3670" i="2"/>
  <c r="G3669" i="2"/>
  <c r="G3593" i="2"/>
  <c r="G3592" i="2"/>
  <c r="G3673" i="2" l="1"/>
  <c r="G3663" i="2"/>
  <c r="G3662" i="2"/>
  <c r="G3645" i="2" l="1"/>
  <c r="G3674" i="2"/>
  <c r="G3675" i="2"/>
  <c r="G3676" i="2"/>
  <c r="G3677" i="2"/>
  <c r="F17" i="32" s="1"/>
  <c r="G17" i="32" s="1"/>
  <c r="H17" i="32" s="1"/>
  <c r="I17" i="32" s="1"/>
  <c r="J17" i="32" s="1"/>
  <c r="K17" i="32" s="1"/>
  <c r="G3647" i="2"/>
  <c r="G3643" i="2"/>
  <c r="G364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60" i="2"/>
  <c r="G3659" i="2"/>
  <c r="G3635" i="2"/>
  <c r="G3623" i="2"/>
  <c r="G16479" i="1"/>
  <c r="G3667" i="2"/>
  <c r="F7" i="32" s="1"/>
  <c r="G7" i="32" s="1"/>
  <c r="H7" i="32" s="1"/>
  <c r="I7" i="32" s="1"/>
  <c r="J7" i="32" s="1"/>
  <c r="K7" i="32" s="1"/>
  <c r="L7" i="32" s="1"/>
  <c r="M7" i="32" s="1"/>
  <c r="N7" i="32" s="1"/>
  <c r="O7" i="32" s="1"/>
  <c r="P7" i="32" s="1"/>
  <c r="Q7" i="32" s="1"/>
  <c r="G3666" i="2"/>
  <c r="G3665" i="2"/>
  <c r="G3664" i="2"/>
  <c r="G3661" i="2"/>
  <c r="G3621" i="2"/>
  <c r="G3607"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3" i="2"/>
  <c r="G3654" i="2"/>
  <c r="G3655" i="2"/>
  <c r="G3656" i="2"/>
  <c r="G3657" i="2"/>
  <c r="G365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2" i="2"/>
  <c r="G16471" i="1"/>
  <c r="G16470" i="1"/>
  <c r="G3651" i="2"/>
  <c r="G3650" i="2"/>
  <c r="G3649" i="2"/>
  <c r="G16468" i="1"/>
  <c r="G15723" i="1"/>
  <c r="G15724" i="1"/>
  <c r="G15725" i="1"/>
  <c r="G15726" i="1"/>
  <c r="G15727" i="1"/>
  <c r="G15721" i="1"/>
  <c r="G16469" i="1" l="1"/>
  <c r="G16505" i="1"/>
  <c r="G3640"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4" i="2"/>
  <c r="G16463" i="1"/>
  <c r="G3625" i="2"/>
  <c r="G3641"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9" i="2"/>
  <c r="G3638" i="2"/>
  <c r="G3633" i="2"/>
  <c r="G3632" i="2"/>
  <c r="G3631" i="2"/>
  <c r="G3630" i="2"/>
  <c r="G3629" i="2"/>
  <c r="G3637" i="2"/>
  <c r="G3627" i="2"/>
  <c r="G3634" i="2"/>
  <c r="G3626" i="2"/>
  <c r="G3560" i="2"/>
  <c r="G3511" i="2"/>
  <c r="G3636" i="2" l="1"/>
  <c r="G3628" i="2"/>
  <c r="G3612" i="2"/>
  <c r="G3588" i="2"/>
  <c r="G3572"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4" i="2"/>
  <c r="G3620" i="2"/>
  <c r="G3619" i="2"/>
  <c r="G3618" i="2"/>
  <c r="G3617" i="2"/>
  <c r="G3616" i="2"/>
  <c r="G16073" i="1"/>
  <c r="G3615" i="2"/>
  <c r="G3614" i="2"/>
  <c r="G3613"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1"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10" i="2"/>
  <c r="G3606" i="2"/>
  <c r="G3594" i="2"/>
  <c r="G3587" i="2"/>
  <c r="G3609"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5" i="2"/>
  <c r="G3604" i="2"/>
  <c r="G3603" i="2"/>
  <c r="G3602" i="2"/>
  <c r="G3601" i="2"/>
  <c r="G3600" i="2"/>
  <c r="G3599" i="2"/>
  <c r="G3608" i="2"/>
  <c r="G15915" i="1"/>
  <c r="G15916" i="1"/>
  <c r="G15917" i="1"/>
  <c r="G15919" i="1"/>
  <c r="G15920" i="1"/>
  <c r="G15921" i="1"/>
  <c r="G15922" i="1"/>
  <c r="G15923" i="1"/>
  <c r="G15924" i="1"/>
  <c r="G15925" i="1"/>
  <c r="G15926" i="1"/>
  <c r="G15927" i="1"/>
  <c r="G15928" i="1"/>
  <c r="G15929" i="1"/>
  <c r="G15930" i="1"/>
  <c r="G3578" i="2"/>
  <c r="G3577" i="2"/>
  <c r="G3576" i="2"/>
  <c r="G3598" i="2" l="1"/>
  <c r="G3597" i="2"/>
  <c r="G3596" i="2"/>
  <c r="G3595" i="2"/>
  <c r="G3591" i="2"/>
  <c r="G3590" i="2"/>
  <c r="G3589" i="2"/>
  <c r="G3586" i="2"/>
  <c r="G3585"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4" i="2"/>
  <c r="G3583" i="2"/>
  <c r="G3582"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1" i="2"/>
  <c r="G3580" i="2"/>
  <c r="G3579" i="2"/>
  <c r="G15800" i="1"/>
  <c r="G15799" i="1"/>
  <c r="G16072" i="1"/>
  <c r="G16071" i="1"/>
  <c r="G3567" i="2" l="1"/>
  <c r="G15621" i="1"/>
  <c r="G3508" i="2"/>
  <c r="F3509" i="2"/>
  <c r="G3545" i="2"/>
  <c r="G3569" i="2"/>
  <c r="G3568"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6" i="2"/>
  <c r="G3551" i="2"/>
  <c r="G16070" i="1"/>
  <c r="D109" i="28"/>
  <c r="N79" i="28"/>
  <c r="I79" i="28"/>
  <c r="D79" i="28"/>
  <c r="N139" i="28"/>
  <c r="M28" i="31"/>
  <c r="D139" i="28"/>
  <c r="G16069" i="1"/>
  <c r="G3571" i="2"/>
  <c r="G3570" i="2"/>
  <c r="G3565" i="2"/>
  <c r="G3564" i="2"/>
  <c r="G3563"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<sst xmlns="http://schemas.openxmlformats.org/spreadsheetml/2006/main" count="82578" uniqueCount="12132">
  <si>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</si>
  <si>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</si>
  <si>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</si>
  <si>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</si>
  <si>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</si>
  <si>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</si>
  <si>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</si>
  <si>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</si>
  <si>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</si>
  <si>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</si>
  <si>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</si>
  <si>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</si>
  <si>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</si>
  <si>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</si>
  <si>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</si>
  <si>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</si>
  <si>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</si>
  <si>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</si>
  <si>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</si>
  <si>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</si>
  <si>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</si>
  <si>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</si>
  <si>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</si>
  <si>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</si>
  <si>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</si>
  <si>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</si>
  <si>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</si>
  <si>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</si>
  <si>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</si>
  <si>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</si>
  <si>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</si>
  <si>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</si>
  <si>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</si>
  <si>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</si>
  <si>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</si>
  <si>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</si>
  <si>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</si>
  <si>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</si>
  <si>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</si>
  <si>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</si>
  <si>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</si>
  <si>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</si>
  <si>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</si>
  <si>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</si>
  <si>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</si>
  <si>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</si>
  <si>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</si>
  <si>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</si>
  <si>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</si>
  <si>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</si>
  <si>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</si>
  <si>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</si>
  <si>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</si>
  <si>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</si>
  <si>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</si>
  <si>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</si>
  <si>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</si>
  <si>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</si>
  <si>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</si>
  <si>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</si>
  <si>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</si>
  <si>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</si>
  <si>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</si>
  <si>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</si>
  <si>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</si>
  <si>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</si>
  <si>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</si>
  <si>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</si>
  <si>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</si>
  <si>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</si>
  <si>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</si>
  <si>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</si>
  <si>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</si>
  <si>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</si>
  <si>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</si>
  <si>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</si>
  <si>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</si>
  <si>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</si>
  <si>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</si>
  <si>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</si>
  <si>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</si>
  <si>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</si>
  <si>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</si>
  <si>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</si>
  <si>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</si>
  <si>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</si>
  <si>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</si>
  <si>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</si>
  <si>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</si>
  <si>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</si>
  <si>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</si>
  <si>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</si>
  <si>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</si>
  <si>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</si>
  <si>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</si>
  <si>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</si>
  <si>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</si>
  <si>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</si>
  <si>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</si>
  <si>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</si>
  <si>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</si>
  <si>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</si>
  <si>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</si>
  <si>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</si>
  <si>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</si>
  <si>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</si>
  <si>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</si>
  <si>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</si>
  <si>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</si>
  <si>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</si>
  <si>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</si>
  <si>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</si>
  <si>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</si>
  <si>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</si>
  <si>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</si>
  <si>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</si>
  <si>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</si>
  <si>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</si>
  <si>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</si>
  <si>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</si>
  <si>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</si>
  <si>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</si>
  <si>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</si>
  <si>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</si>
  <si>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</si>
  <si>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</si>
  <si>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</si>
  <si>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</si>
  <si>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</si>
  <si>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</si>
  <si>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</si>
  <si>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</si>
  <si>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</si>
  <si>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</si>
  <si>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</si>
  <si>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</si>
  <si>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</si>
  <si>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</si>
  <si>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</si>
  <si>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</si>
  <si>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</si>
  <si>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</si>
  <si>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</si>
  <si>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</si>
  <si>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</si>
  <si>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</si>
  <si>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</si>
  <si>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</si>
  <si>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</si>
  <si>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</si>
  <si>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</si>
  <si>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</si>
  <si>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</si>
  <si>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</si>
  <si>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</si>
  <si>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</si>
  <si>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</si>
  <si>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</si>
  <si>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</si>
  <si>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</si>
  <si>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</si>
  <si>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</si>
  <si>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</si>
  <si>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</si>
  <si>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</si>
  <si>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</si>
  <si>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</si>
  <si>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</si>
  <si>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</si>
  <si>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</si>
  <si>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</si>
  <si>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</si>
  <si>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</si>
  <si>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</si>
  <si>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</si>
  <si>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</si>
  <si>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</si>
  <si>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</si>
  <si>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</si>
  <si>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</si>
  <si>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</si>
  <si>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</si>
  <si>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</si>
  <si>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</si>
  <si>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</si>
  <si>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</si>
  <si>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</si>
  <si>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</si>
  <si>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</si>
  <si>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</si>
  <si>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</si>
  <si>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</si>
  <si>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</si>
  <si>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</si>
  <si>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</si>
  <si>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</si>
  <si>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</si>
  <si>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</si>
  <si>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</si>
  <si>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</si>
  <si>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</si>
  <si>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</si>
  <si>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</si>
  <si>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</si>
  <si>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</si>
  <si>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</si>
  <si>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</si>
  <si>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</si>
  <si>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</si>
  <si>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</si>
  <si>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</si>
  <si>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</si>
  <si>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</si>
  <si>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</si>
  <si>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</si>
  <si>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</si>
  <si>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</si>
  <si>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</si>
  <si>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</si>
  <si>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</si>
  <si>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</si>
  <si>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</si>
  <si>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</si>
  <si>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</si>
  <si>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</si>
  <si>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</si>
  <si>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</si>
  <si>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</si>
  <si>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</si>
  <si>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</si>
  <si>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</si>
  <si>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</si>
  <si>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</si>
  <si>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</si>
  <si>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</si>
  <si>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</si>
  <si>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</si>
  <si>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</si>
  <si>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</si>
  <si>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</si>
  <si>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</si>
  <si>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</si>
  <si>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</si>
  <si>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</si>
  <si>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</si>
  <si>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</si>
  <si>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</si>
  <si>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</si>
  <si>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</si>
  <si>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</si>
  <si>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</si>
  <si>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</si>
  <si>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</si>
  <si>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</si>
  <si>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</si>
  <si>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</si>
  <si>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</si>
  <si>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</si>
  <si>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</si>
  <si>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</si>
  <si>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</si>
  <si>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</si>
  <si>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</si>
  <si>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</si>
  <si>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</si>
  <si>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</si>
  <si>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</si>
  <si>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</si>
  <si>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</si>
  <si>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</si>
  <si>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</si>
  <si>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</si>
  <si>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</si>
  <si>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</si>
  <si>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</si>
  <si>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</si>
  <si>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</si>
  <si>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</si>
  <si>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</si>
  <si>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</si>
  <si>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</si>
  <si>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</si>
  <si>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</si>
  <si>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</si>
  <si>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</si>
  <si>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</si>
  <si>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</si>
  <si>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</si>
  <si>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</si>
  <si>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</si>
  <si>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</si>
  <si>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</si>
  <si>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</si>
  <si>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</si>
  <si>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</si>
  <si>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</si>
  <si>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</si>
  <si>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</si>
  <si>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</si>
  <si>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</si>
  <si>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</si>
  <si>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</si>
  <si>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</si>
  <si>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</si>
  <si>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</si>
  <si>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</si>
  <si>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</si>
  <si>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</si>
  <si>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</si>
  <si>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</si>
  <si>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</si>
  <si>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</si>
  <si>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</si>
  <si>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</si>
  <si>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</si>
  <si>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</si>
  <si>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</si>
  <si>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</si>
  <si>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</si>
  <si>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</si>
  <si>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</si>
  <si>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</si>
  <si>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</si>
  <si>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</si>
  <si>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</si>
  <si>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</si>
  <si>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</si>
  <si>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</si>
  <si>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</si>
  <si>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</si>
  <si>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</si>
  <si>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</si>
  <si>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</si>
  <si>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</si>
  <si>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</si>
  <si>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</si>
  <si>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</si>
  <si>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</si>
  <si>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</si>
  <si>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</si>
  <si>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</si>
  <si>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</si>
  <si>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</si>
  <si>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</si>
  <si>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</si>
  <si>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</si>
  <si>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</si>
  <si>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</si>
  <si>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</si>
  <si>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</si>
  <si>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</si>
  <si>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</si>
  <si>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</si>
  <si>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</si>
  <si>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</si>
  <si>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</si>
  <si>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</si>
  <si>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</si>
  <si>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</si>
  <si>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</si>
  <si>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</si>
  <si>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</si>
  <si>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</si>
  <si>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</si>
  <si>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</si>
  <si>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</si>
  <si>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</si>
  <si>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</si>
  <si>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</si>
  <si>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</si>
  <si>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</si>
  <si>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</si>
  <si>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</si>
  <si>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</si>
  <si>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</si>
  <si>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</si>
  <si>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</si>
  <si>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</si>
  <si>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</si>
  <si>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</si>
  <si>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</si>
  <si>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</si>
  <si>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</si>
  <si>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</si>
  <si>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</si>
  <si>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</si>
  <si>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</si>
  <si>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</si>
  <si>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</si>
  <si>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</si>
  <si>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</si>
  <si>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</si>
  <si>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</si>
  <si>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</si>
  <si>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</si>
  <si>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</si>
  <si>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</si>
  <si>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</si>
  <si>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</si>
  <si>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</si>
  <si>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</si>
  <si>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</si>
  <si>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</si>
  <si>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</si>
  <si>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</si>
  <si>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</si>
  <si>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</si>
  <si>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</si>
  <si>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</si>
  <si>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</si>
  <si>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</si>
  <si>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</si>
  <si>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</si>
  <si>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</si>
  <si>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</si>
  <si>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</si>
  <si>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</si>
  <si>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</si>
  <si>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</si>
  <si>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</si>
  <si>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</si>
  <si>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</si>
  <si>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</si>
  <si>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</si>
  <si>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</si>
  <si>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</si>
  <si>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</si>
  <si>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</si>
  <si>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</si>
  <si>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</si>
  <si>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</si>
  <si>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</si>
  <si>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</si>
  <si>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</si>
  <si>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</si>
  <si>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</si>
  <si>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</si>
  <si>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</si>
  <si>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</si>
  <si>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</si>
  <si>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</si>
  <si>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</si>
  <si>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</si>
  <si>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</si>
  <si>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</si>
  <si>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</si>
  <si>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</si>
  <si>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</si>
  <si>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</si>
  <si>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</si>
  <si>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</si>
  <si>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</si>
  <si>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</si>
  <si>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</si>
  <si>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</si>
  <si>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</si>
  <si>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</si>
  <si>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</si>
  <si>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</si>
  <si>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</si>
  <si>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</si>
  <si>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</si>
  <si>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</si>
  <si>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</si>
  <si>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</si>
  <si>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</si>
  <si>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</si>
  <si>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</si>
  <si>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</si>
  <si>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</si>
  <si>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</si>
  <si>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</si>
  <si>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</si>
  <si>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</si>
  <si>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</si>
  <si>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</si>
  <si>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</si>
  <si>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</si>
  <si>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</si>
  <si>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</si>
  <si>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</si>
  <si>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</si>
  <si>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</si>
  <si>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</si>
  <si>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</si>
  <si>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</si>
  <si>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</si>
  <si>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</si>
  <si>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</si>
  <si>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</si>
  <si>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</si>
  <si>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</si>
  <si>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</si>
  <si>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</si>
  <si>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</si>
  <si>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</si>
  <si>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</si>
  <si>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</si>
  <si>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</si>
  <si>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</si>
  <si>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</si>
  <si>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</si>
  <si>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</si>
  <si>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</si>
  <si>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</si>
  <si>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</si>
  <si>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</si>
  <si>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</si>
  <si>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</si>
  <si>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</si>
  <si>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</si>
  <si>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</si>
  <si>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</si>
  <si>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</si>
  <si>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</si>
  <si>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</si>
  <si>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</si>
  <si>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</si>
  <si>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</si>
  <si>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</si>
  <si>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</si>
  <si>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</si>
  <si>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</si>
  <si>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</si>
  <si>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</si>
  <si>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</si>
  <si>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</si>
  <si>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</si>
  <si>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</si>
  <si>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</si>
  <si>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</si>
  <si>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</si>
  <si>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</si>
  <si>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</si>
  <si>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</si>
  <si>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</si>
  <si>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</si>
  <si>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</si>
  <si>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</si>
  <si>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</si>
  <si>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</si>
  <si>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</si>
  <si>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</si>
  <si>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</si>
  <si>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</si>
  <si>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</si>
  <si>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</si>
  <si>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</si>
  <si>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</si>
  <si>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</si>
  <si>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</si>
  <si>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</si>
  <si>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</si>
  <si>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</si>
  <si>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</si>
  <si>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</si>
  <si>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</si>
  <si>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</si>
  <si>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</si>
  <si>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</si>
  <si>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</si>
  <si>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</si>
  <si>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</si>
  <si>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</si>
  <si>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</si>
  <si>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</si>
  <si>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</si>
  <si>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</si>
  <si>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</si>
  <si>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</si>
  <si>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</si>
  <si>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</si>
  <si>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</si>
  <si>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</si>
  <si>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</si>
  <si>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</si>
  <si>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</si>
  <si>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</si>
  <si>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</si>
  <si>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</si>
  <si>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</si>
  <si>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</si>
  <si>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</si>
  <si>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</si>
  <si>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</si>
  <si>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</si>
  <si>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</si>
  <si>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</si>
  <si>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</si>
  <si>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</si>
  <si>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</si>
  <si>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</si>
  <si>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</si>
  <si>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</si>
  <si>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</si>
  <si>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</si>
  <si>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</si>
  <si>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</si>
  <si>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</si>
  <si>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</si>
  <si>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</si>
  <si>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</si>
  <si>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</si>
  <si>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</si>
  <si>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</si>
  <si>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</si>
  <si>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</si>
  <si>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</si>
  <si>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</si>
  <si>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</si>
  <si>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</si>
  <si>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</si>
  <si>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</si>
  <si>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</si>
  <si>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</si>
  <si>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</si>
  <si>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</si>
  <si>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</si>
  <si>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</si>
  <si>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</si>
  <si>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</si>
  <si>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</si>
  <si>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</si>
  <si>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</si>
  <si>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</si>
  <si>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</si>
  <si>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</si>
  <si>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</si>
  <si>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</si>
  <si>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</si>
  <si>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</si>
  <si>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</si>
  <si>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</si>
  <si>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</si>
  <si>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</si>
  <si>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</si>
  <si>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</si>
  <si>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</si>
  <si>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</si>
  <si>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</si>
  <si>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</si>
  <si>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</si>
  <si>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</si>
  <si>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</si>
  <si>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</si>
  <si>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</si>
  <si>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</si>
  <si>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</si>
  <si>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</si>
  <si>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</si>
  <si>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</si>
  <si>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</si>
  <si>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</si>
  <si>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</si>
  <si>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</si>
  <si>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</si>
  <si>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</si>
  <si>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</si>
  <si>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</si>
  <si>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</si>
  <si>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</si>
  <si>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</si>
  <si>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</si>
  <si>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</si>
  <si>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</si>
  <si>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</si>
  <si>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</si>
  <si>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</si>
  <si>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</si>
  <si>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</si>
  <si>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</si>
  <si>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</si>
  <si>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</si>
  <si>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</si>
  <si>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</si>
  <si>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</si>
  <si>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</si>
  <si>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</si>
  <si>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</si>
  <si>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</si>
  <si>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</si>
  <si>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</si>
  <si>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</si>
  <si>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</si>
  <si>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</si>
  <si>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</si>
  <si>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</si>
  <si>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</si>
  <si>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</si>
  <si>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</si>
  <si>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</si>
  <si>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</si>
  <si>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</si>
  <si>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</si>
  <si>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</si>
  <si>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</si>
  <si>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</si>
  <si>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</si>
  <si>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</si>
  <si>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</si>
  <si>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</si>
  <si>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</si>
  <si>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</si>
  <si>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</si>
  <si>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</si>
  <si>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</si>
  <si>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</si>
  <si>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</si>
  <si>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</si>
  <si>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</si>
  <si>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</si>
  <si>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</si>
  <si>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</si>
  <si>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</si>
  <si>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</si>
  <si>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</si>
  <si>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</si>
  <si>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</si>
  <si>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</si>
  <si>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</si>
  <si>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</si>
  <si>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</si>
  <si>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</si>
  <si>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</si>
  <si>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</si>
  <si>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</si>
  <si>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</si>
  <si>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</si>
  <si>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</si>
  <si>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</si>
  <si>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</si>
  <si>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</si>
  <si>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</si>
  <si>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</si>
  <si>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</si>
  <si>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</si>
  <si>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</si>
  <si>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</si>
  <si>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</si>
  <si>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</si>
  <si>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</si>
  <si>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</si>
  <si>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</si>
  <si>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</si>
  <si>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</si>
  <si>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</si>
  <si>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</si>
  <si>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</si>
  <si>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</si>
  <si>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</si>
  <si>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</si>
  <si>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</si>
  <si>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</si>
  <si>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</si>
  <si>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</si>
  <si>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</si>
  <si>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</si>
  <si>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</si>
  <si>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</si>
  <si>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</si>
  <si>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</si>
  <si>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</si>
  <si>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</si>
  <si>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</si>
  <si>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</si>
  <si>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</si>
  <si>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</si>
  <si>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</si>
  <si>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</si>
  <si>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</si>
  <si>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</si>
  <si>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</si>
  <si>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</si>
  <si>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</si>
  <si>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</si>
  <si>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</si>
  <si>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</si>
  <si>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</si>
  <si>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</si>
  <si>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</si>
  <si>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</si>
  <si>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</si>
  <si>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</si>
  <si>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</si>
  <si>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</si>
  <si>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</si>
  <si>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</si>
  <si>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</si>
  <si>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</si>
  <si>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</si>
  <si>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</si>
  <si>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</si>
  <si>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</si>
  <si>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</si>
  <si>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</si>
  <si>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</si>
  <si>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</si>
  <si>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</si>
  <si>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</si>
  <si>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</si>
  <si>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</si>
  <si>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</si>
  <si>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</si>
  <si>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</si>
  <si>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</si>
  <si>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</si>
  <si>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</si>
  <si>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</si>
  <si>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</si>
  <si>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</si>
  <si>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</si>
  <si>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</si>
  <si>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</si>
  <si>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</si>
  <si>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</si>
  <si>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</si>
  <si>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</si>
  <si>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</si>
  <si>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</si>
  <si>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</si>
  <si>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</si>
  <si>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</si>
  <si>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</si>
  <si>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</si>
  <si>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</si>
  <si>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</si>
  <si>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</si>
  <si>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</si>
  <si>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</si>
  <si>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</si>
  <si>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</si>
  <si>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</si>
  <si>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</si>
  <si>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</si>
  <si>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</si>
  <si>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</si>
  <si>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</si>
  <si>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</si>
  <si>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</si>
  <si>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</si>
  <si>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</si>
  <si>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</si>
  <si>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</si>
  <si>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</si>
  <si>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</si>
  <si>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</si>
  <si>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</si>
  <si>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</si>
  <si>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</si>
  <si>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</si>
  <si>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</si>
  <si>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</si>
  <si>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</si>
  <si>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</si>
  <si>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</si>
  <si>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</si>
  <si>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</si>
  <si>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</si>
  <si>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</si>
  <si>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</si>
  <si>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</si>
  <si>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</si>
  <si>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</si>
  <si>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</si>
  <si>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</si>
  <si>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</si>
  <si>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</si>
  <si>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</si>
  <si>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</si>
  <si>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</si>
  <si>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</si>
  <si>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</si>
  <si>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</si>
  <si>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</si>
  <si>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</si>
  <si>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</si>
  <si>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</si>
  <si>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</si>
  <si>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</si>
  <si>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</si>
  <si>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</si>
  <si>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</si>
  <si>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</si>
  <si>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</si>
  <si>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</si>
  <si>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</si>
  <si>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</si>
  <si>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</si>
  <si>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</si>
  <si>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</si>
  <si>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</si>
  <si>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</si>
  <si>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</si>
  <si>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</si>
  <si>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</si>
  <si>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</si>
  <si>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</si>
  <si>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</si>
  <si>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</si>
  <si>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</si>
  <si>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</si>
  <si>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</si>
  <si>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</si>
  <si>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</si>
  <si>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</si>
  <si>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</si>
  <si>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</si>
  <si>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</si>
  <si>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</si>
  <si>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</si>
  <si>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</si>
  <si>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</si>
  <si>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</si>
  <si>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</si>
  <si>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</si>
  <si>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</si>
  <si>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</si>
  <si>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</si>
  <si>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</si>
  <si>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</si>
  <si>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</si>
  <si>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</si>
  <si>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</si>
  <si>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</si>
  <si>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</si>
  <si>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</si>
  <si>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</si>
  <si>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</si>
  <si>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</si>
  <si>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</si>
  <si>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</si>
  <si>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</si>
  <si>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</si>
  <si>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</si>
  <si>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</si>
  <si>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</si>
  <si>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</si>
  <si>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</si>
  <si>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</si>
  <si>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</si>
  <si>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</si>
  <si>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</si>
  <si>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</si>
  <si>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</si>
  <si>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</si>
  <si>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</si>
  <si>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</si>
  <si>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</si>
  <si>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</si>
  <si>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</si>
  <si>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</si>
  <si>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</si>
  <si>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</si>
  <si>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</si>
  <si>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</si>
  <si>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</si>
  <si>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</si>
  <si>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</si>
  <si>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</si>
  <si>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</si>
  <si>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</si>
  <si>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</si>
  <si>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</si>
  <si>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</si>
  <si>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</si>
  <si>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</si>
  <si>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</si>
  <si>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</si>
  <si>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</si>
  <si>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</si>
  <si>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</si>
  <si>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</si>
  <si>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</si>
  <si>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</si>
  <si>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</si>
  <si>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</si>
  <si>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</si>
  <si>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</si>
  <si>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</si>
  <si>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</si>
  <si>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</si>
  <si>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</si>
  <si>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</si>
  <si>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</si>
  <si>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</si>
  <si>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</si>
  <si>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</si>
  <si>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</si>
  <si>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</si>
  <si>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</si>
  <si>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</si>
  <si>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</si>
  <si>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</si>
  <si>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</si>
  <si>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</si>
  <si>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</si>
  <si>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</si>
  <si>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</si>
  <si>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</si>
  <si>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</si>
  <si>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</si>
  <si>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</si>
  <si>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</si>
  <si>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</si>
  <si>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</si>
  <si>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</si>
  <si>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</si>
  <si>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</si>
  <si>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</si>
  <si>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</si>
  <si>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</si>
  <si>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</si>
  <si>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</si>
  <si>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</si>
  <si>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</si>
  <si>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</si>
  <si>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</si>
  <si>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</si>
  <si>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</si>
  <si>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</si>
  <si>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</si>
  <si>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</si>
  <si>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</si>
  <si>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</si>
  <si>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</si>
  <si>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</si>
  <si>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</si>
  <si>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</si>
  <si>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</si>
  <si>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</si>
  <si>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</si>
  <si>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</si>
  <si>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</si>
  <si>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</si>
  <si>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</si>
  <si>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</si>
  <si>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</si>
  <si>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</si>
  <si>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</si>
  <si>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</si>
  <si>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</si>
  <si>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</si>
  <si>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</si>
  <si>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</si>
  <si>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</si>
  <si>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</si>
  <si>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</si>
  <si>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</si>
  <si>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</si>
  <si>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</si>
  <si>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</si>
  <si>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</si>
  <si>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</si>
  <si>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</si>
  <si>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</si>
  <si>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</si>
  <si>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</si>
  <si>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</si>
  <si>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</si>
  <si>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</si>
  <si>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</si>
  <si>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</si>
  <si>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</si>
  <si>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</si>
  <si>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</si>
  <si>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</si>
  <si>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</si>
  <si>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</si>
  <si>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</si>
  <si>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</si>
  <si>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</si>
  <si>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</si>
  <si>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</si>
  <si>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</si>
  <si>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</si>
  <si>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</si>
  <si>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</si>
  <si>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</si>
  <si>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</si>
  <si>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</si>
  <si>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</si>
  <si>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</si>
  <si>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</si>
  <si>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</si>
  <si>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</si>
  <si>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</si>
  <si>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</si>
  <si>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</si>
  <si>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</si>
  <si>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</si>
  <si>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</si>
  <si>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</si>
  <si>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</si>
  <si>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</si>
  <si>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</si>
  <si>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</si>
  <si>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</si>
  <si>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</si>
  <si>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</si>
  <si>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</si>
  <si>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</si>
  <si>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</si>
  <si>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</si>
  <si>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</si>
  <si>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</si>
  <si>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</si>
  <si>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</si>
  <si>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</si>
  <si>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</si>
  <si>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</si>
  <si>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</si>
  <si>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</si>
  <si>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</si>
  <si>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</si>
  <si>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</si>
  <si>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</si>
  <si>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</si>
  <si>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</si>
  <si>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</si>
  <si>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</si>
  <si>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</si>
  <si>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</si>
  <si>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</si>
  <si>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</si>
  <si>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</si>
  <si>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</si>
  <si>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</si>
  <si>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</si>
  <si>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</si>
  <si>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</si>
  <si>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</si>
  <si>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</si>
  <si>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</si>
  <si>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</si>
  <si>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</si>
  <si>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</si>
  <si>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</si>
  <si>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</si>
  <si>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</si>
  <si>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</si>
  <si>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</si>
  <si>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</si>
  <si>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</si>
  <si>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</si>
  <si>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</si>
  <si>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</si>
  <si>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</si>
  <si>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</si>
  <si>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</si>
  <si>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</si>
  <si>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</si>
  <si>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</si>
  <si>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</si>
  <si>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</si>
  <si>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</si>
  <si>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</si>
  <si>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</si>
  <si>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</si>
  <si>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</si>
  <si>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</si>
  <si>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</si>
  <si>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</si>
  <si>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</si>
  <si>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</si>
  <si>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</si>
  <si>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</si>
  <si>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</si>
  <si>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</si>
  <si>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</si>
  <si>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</si>
  <si>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</si>
  <si>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</si>
  <si>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</si>
  <si>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</si>
  <si>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</si>
  <si>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</si>
  <si>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</si>
  <si>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</si>
  <si>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</si>
  <si>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</si>
  <si>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</si>
  <si>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</si>
  <si>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</si>
  <si>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</si>
  <si>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</si>
  <si>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</si>
  <si>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</si>
  <si>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</si>
  <si>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</si>
  <si>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</si>
  <si>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</si>
  <si>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</si>
  <si>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</si>
  <si>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</si>
  <si>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</si>
  <si>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</si>
  <si>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</si>
  <si>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</si>
  <si>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</si>
  <si>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</si>
  <si>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</si>
  <si>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</si>
  <si>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</si>
  <si>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</si>
  <si>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</si>
  <si>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</si>
  <si>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</si>
  <si>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</si>
  <si>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</si>
  <si>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</si>
  <si>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</si>
  <si>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</si>
  <si>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</si>
  <si>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</si>
  <si>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</si>
  <si>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</si>
  <si>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</si>
  <si>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</si>
  <si>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</si>
  <si>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</si>
  <si>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</si>
  <si>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</si>
  <si>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</si>
  <si>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</si>
  <si>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</si>
  <si>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</si>
  <si>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</si>
  <si>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</si>
  <si>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</si>
  <si>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</si>
  <si>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</si>
  <si>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</si>
  <si>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</si>
  <si>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</si>
  <si>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</si>
  <si>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</si>
  <si>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</si>
  <si>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</si>
  <si>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</si>
  <si>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</si>
  <si>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</si>
  <si>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</si>
  <si>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</si>
  <si>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</si>
  <si>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</si>
  <si>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</si>
  <si>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</si>
  <si>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</si>
  <si>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</si>
  <si>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</si>
  <si>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</si>
  <si>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</si>
  <si>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</si>
  <si>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</si>
  <si>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</si>
  <si>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</si>
  <si>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</si>
  <si>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</si>
  <si>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</si>
  <si>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</si>
  <si>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</si>
  <si>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</si>
  <si>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</si>
  <si>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</si>
  <si>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</si>
  <si>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</si>
  <si>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</si>
  <si>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</si>
  <si>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</si>
  <si>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</si>
  <si>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</si>
  <si>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</si>
  <si>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</si>
  <si>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</si>
  <si>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</si>
  <si>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</si>
  <si>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</si>
  <si>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</si>
  <si>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</si>
  <si>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</si>
  <si>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</si>
  <si>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</si>
  <si>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</si>
  <si>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</si>
  <si>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</si>
  <si>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</si>
  <si>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</si>
  <si>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</si>
  <si>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</si>
  <si>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</si>
  <si>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</si>
  <si>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</si>
  <si>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</si>
  <si>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</si>
  <si>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</si>
  <si>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</si>
  <si>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</si>
  <si>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</si>
  <si>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</si>
  <si>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</si>
  <si>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</si>
  <si>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</si>
  <si>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</si>
  <si>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</si>
  <si>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</si>
  <si>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</si>
  <si>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</si>
  <si>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</si>
  <si>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</si>
  <si>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</si>
  <si>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</si>
  <si>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</si>
  <si>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</si>
  <si>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</si>
  <si>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</si>
  <si>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</si>
  <si>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</si>
  <si>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</si>
  <si>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</si>
  <si>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</si>
  <si>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</si>
  <si>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</si>
  <si>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</si>
  <si>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</si>
  <si>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</si>
  <si>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</si>
  <si>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</si>
  <si>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</si>
  <si>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</si>
  <si>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</si>
  <si>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</si>
  <si>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</si>
  <si>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</si>
  <si>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</si>
  <si>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</si>
  <si>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</si>
  <si>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</si>
  <si>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</si>
  <si>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</si>
  <si>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</si>
  <si>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</si>
  <si>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</si>
  <si>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</si>
  <si>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</si>
  <si>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</si>
  <si>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</si>
  <si>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</si>
  <si>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</si>
  <si>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</si>
  <si>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</si>
  <si>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</si>
  <si>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</si>
  <si>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</si>
  <si>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</si>
  <si>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</si>
  <si>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</si>
  <si>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</si>
  <si>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</si>
  <si>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</si>
  <si>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</si>
  <si>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</si>
  <si>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</si>
  <si>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</si>
  <si>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</si>
  <si>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</si>
  <si>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</si>
  <si>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</si>
  <si>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</si>
  <si>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</si>
  <si>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</si>
  <si>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</si>
  <si>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</si>
  <si>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</si>
  <si>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</si>
  <si>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</si>
  <si>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</si>
  <si>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</si>
  <si>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</si>
  <si>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</si>
  <si>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</si>
  <si>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</si>
  <si>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</si>
  <si>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</si>
  <si>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</si>
  <si>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</si>
  <si>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</si>
  <si>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</si>
  <si>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</si>
  <si>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</si>
  <si>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</si>
  <si>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</si>
  <si>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</si>
  <si>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</si>
  <si>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</si>
  <si>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</si>
  <si>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</si>
  <si>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</si>
  <si>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</si>
  <si>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</si>
  <si>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</si>
  <si>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</si>
  <si>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</si>
  <si>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</si>
  <si>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</si>
  <si>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</si>
  <si>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</si>
  <si>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</si>
  <si>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</si>
  <si>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</si>
  <si>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</si>
  <si>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</si>
  <si>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</si>
  <si>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</si>
  <si>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</si>
  <si>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</si>
  <si>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</si>
  <si>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</si>
  <si>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</si>
  <si>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</si>
  <si>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</si>
  <si>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</si>
  <si>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</si>
  <si>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</si>
  <si>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</si>
  <si>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</si>
  <si>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</si>
  <si>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</si>
  <si>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</si>
  <si>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</si>
  <si>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</si>
  <si>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</si>
  <si>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</si>
  <si>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</si>
  <si>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</si>
  <si>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</si>
  <si>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</si>
  <si>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</si>
  <si>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</si>
  <si>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</si>
  <si>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</si>
  <si>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</si>
  <si>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</si>
  <si>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</si>
  <si>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</si>
  <si>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</si>
  <si>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</si>
  <si>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</si>
  <si>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</si>
  <si>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</si>
  <si>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</si>
  <si>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</si>
  <si>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</si>
  <si>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</si>
  <si>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</si>
  <si>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</si>
  <si>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</si>
  <si>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</si>
  <si>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</si>
  <si>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</si>
  <si>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</si>
  <si>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</si>
  <si>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</si>
  <si>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</si>
  <si>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</si>
  <si>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</si>
  <si>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</si>
  <si>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</si>
  <si>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</si>
  <si>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</si>
  <si>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</si>
  <si>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</si>
  <si>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</si>
  <si>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</si>
  <si>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</si>
  <si>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</si>
  <si>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</si>
  <si>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</si>
  <si>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</si>
  <si>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</si>
  <si>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</si>
  <si>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</si>
  <si>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</si>
  <si>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</si>
  <si>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</si>
  <si>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</si>
  <si>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</si>
  <si>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</si>
  <si>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</si>
  <si>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</si>
  <si>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</si>
  <si>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</si>
  <si>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</si>
  <si>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</si>
  <si>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</si>
  <si>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</si>
  <si>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</si>
  <si>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</si>
  <si>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</si>
  <si>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</si>
  <si>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</si>
  <si>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</si>
  <si>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</si>
  <si>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</si>
  <si>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</si>
  <si>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</si>
  <si>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</si>
  <si>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</si>
  <si>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</si>
  <si>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</si>
  <si>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</si>
  <si>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</si>
  <si>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</si>
  <si>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</si>
  <si>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</si>
  <si>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</si>
  <si>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</si>
  <si>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</si>
  <si>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</si>
  <si>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</si>
  <si>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</si>
  <si>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</si>
  <si>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</si>
  <si>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</si>
  <si>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</si>
  <si>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</si>
  <si>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</si>
  <si>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</si>
  <si>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</si>
  <si>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</si>
  <si>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</si>
  <si>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</si>
  <si>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</si>
  <si>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</si>
  <si>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</si>
  <si>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</si>
  <si>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</si>
  <si>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</si>
  <si>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</si>
  <si>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</si>
  <si>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</si>
  <si>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</si>
  <si>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</si>
  <si>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</si>
  <si>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</si>
  <si>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</si>
  <si>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</si>
  <si>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</si>
  <si>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</si>
  <si>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</si>
  <si>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</si>
  <si>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</si>
  <si>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</si>
  <si>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</si>
  <si>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</si>
  <si>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</si>
  <si>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</si>
  <si>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</si>
  <si>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</si>
  <si>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</si>
  <si>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</si>
  <si>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</si>
  <si>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</si>
  <si>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</si>
  <si>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</si>
  <si>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</si>
  <si>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</si>
  <si>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</si>
  <si>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</si>
  <si>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</si>
  <si>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</si>
  <si>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</si>
  <si>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</si>
  <si>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</si>
  <si>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</si>
  <si>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</si>
  <si>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</si>
  <si>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</si>
  <si>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</si>
  <si>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</si>
  <si>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</si>
  <si>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</si>
  <si>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</si>
  <si>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</si>
  <si>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</si>
  <si>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</si>
  <si>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</si>
  <si>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</si>
  <si>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</si>
  <si>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</si>
  <si>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</si>
  <si>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</si>
  <si>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</si>
  <si>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</si>
  <si>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</si>
  <si>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</si>
  <si>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</si>
  <si>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</si>
  <si>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</si>
  <si>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</si>
  <si>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</si>
  <si>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</si>
  <si>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</si>
  <si>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</si>
  <si>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</si>
  <si>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</si>
  <si>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</si>
  <si>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</si>
  <si>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</si>
  <si>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</si>
  <si>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</si>
  <si>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</si>
  <si>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</si>
  <si>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</si>
  <si>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</si>
  <si>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</si>
  <si>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</si>
  <si>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</si>
  <si>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</si>
  <si>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</si>
  <si>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</si>
  <si>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</si>
  <si>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</si>
  <si>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</si>
  <si>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</si>
  <si>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</si>
  <si>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</si>
  <si>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</si>
  <si>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</si>
  <si>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</si>
  <si>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</si>
  <si>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</si>
  <si>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</si>
  <si>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</si>
  <si>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</si>
  <si>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</si>
  <si>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</si>
  <si>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</si>
  <si>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</si>
  <si>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</si>
  <si>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</si>
  <si>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</si>
  <si>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</si>
  <si>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</si>
  <si>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</si>
  <si>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</si>
  <si>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</si>
  <si>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</si>
  <si>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</si>
  <si>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</si>
  <si>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</si>
  <si>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</si>
  <si>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</si>
  <si>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</si>
  <si>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</si>
  <si>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</si>
  <si>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</si>
  <si>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</si>
  <si>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</si>
  <si>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</si>
  <si>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</si>
  <si>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</si>
  <si>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</si>
  <si>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</si>
  <si>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</si>
  <si>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</si>
  <si>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</si>
  <si>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</si>
  <si>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</si>
  <si>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</si>
  <si>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</si>
  <si>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</si>
  <si>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</si>
  <si>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</si>
  <si>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</si>
  <si>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</si>
  <si>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</si>
  <si>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</si>
  <si>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</si>
  <si>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</si>
  <si>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</si>
  <si>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</si>
  <si>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</si>
  <si>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</si>
  <si>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</si>
  <si>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</si>
  <si>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</si>
  <si>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</si>
  <si>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</si>
  <si>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</si>
  <si>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</si>
  <si>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</si>
  <si>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</si>
  <si>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</si>
  <si>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</si>
  <si>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</si>
  <si>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</si>
  <si>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</si>
  <si>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</si>
  <si>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</si>
  <si>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</si>
  <si>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</si>
  <si>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</si>
  <si>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</si>
  <si>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</si>
  <si>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</si>
  <si>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</si>
  <si>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</si>
  <si>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</si>
  <si>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</si>
  <si>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</si>
  <si>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</si>
  <si>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</si>
  <si>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</si>
  <si>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</si>
  <si>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</si>
  <si>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</si>
  <si>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</si>
  <si>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</si>
  <si>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</si>
  <si>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</si>
  <si>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</si>
  <si>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</si>
  <si>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</si>
  <si>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</si>
  <si>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</si>
  <si>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</si>
  <si>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</si>
  <si>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</si>
  <si>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</si>
  <si>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</si>
  <si>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</si>
  <si>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</si>
  <si>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</si>
  <si>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</si>
  <si>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</si>
  <si>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</si>
  <si>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</si>
  <si>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</si>
  <si>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</si>
  <si>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</si>
  <si>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</si>
  <si>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</si>
  <si>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</si>
  <si>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</si>
  <si>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</si>
  <si>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</si>
  <si>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</si>
  <si>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</si>
  <si>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</si>
  <si>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</si>
  <si>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</si>
  <si>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</si>
  <si>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</si>
  <si>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</si>
  <si>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</si>
  <si>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</si>
  <si>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</si>
  <si>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</si>
  <si>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</si>
  <si>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</si>
  <si>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</si>
  <si>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</si>
  <si>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</si>
  <si>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</si>
  <si>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</si>
  <si>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</si>
  <si>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</si>
  <si>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</si>
  <si>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</si>
  <si>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</si>
  <si>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</si>
  <si>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</si>
  <si>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</si>
  <si>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</si>
  <si>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</si>
  <si>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</si>
  <si>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</si>
  <si>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</si>
  <si>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</si>
  <si>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</si>
  <si>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</si>
  <si>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</si>
  <si>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</si>
  <si>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</si>
  <si>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</si>
  <si>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</si>
  <si>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</si>
  <si>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</si>
  <si>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</si>
  <si>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</si>
  <si>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</si>
  <si>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</si>
  <si>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</si>
  <si>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</si>
  <si>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</si>
  <si>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</si>
  <si>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</si>
  <si>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</si>
  <si>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</si>
  <si>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</si>
  <si>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</si>
  <si>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</si>
  <si>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</si>
  <si>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</si>
  <si>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</si>
  <si>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</si>
  <si>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</si>
  <si>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</si>
  <si>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</si>
  <si>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</si>
  <si>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</si>
  <si>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</si>
  <si>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</si>
  <si>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</si>
  <si>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</si>
  <si>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</si>
  <si>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</si>
  <si>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</si>
  <si>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</si>
  <si>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</si>
  <si>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</si>
  <si>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</si>
  <si>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</si>
  <si>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</si>
  <si>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</si>
  <si>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</si>
  <si>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</si>
  <si>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</si>
  <si>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</si>
  <si>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</si>
  <si>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</si>
  <si>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</si>
  <si>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</si>
  <si>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</si>
  <si>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</si>
  <si>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</si>
  <si>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</si>
  <si>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</si>
  <si>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</si>
  <si>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</si>
  <si>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</si>
  <si>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</si>
  <si>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</si>
  <si>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</si>
  <si>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</si>
  <si>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</si>
  <si>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</si>
  <si>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</si>
  <si>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</si>
  <si>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</si>
  <si>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</si>
  <si>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</si>
  <si>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</si>
  <si>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</si>
  <si>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</si>
  <si>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</si>
  <si>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</si>
  <si>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</si>
  <si>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</si>
  <si>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</si>
  <si>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</si>
  <si>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</si>
  <si>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</si>
  <si>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</si>
  <si>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</si>
  <si>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</si>
  <si>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</si>
  <si>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</si>
  <si>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</si>
  <si>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</si>
  <si>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</si>
  <si>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</si>
  <si>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</si>
  <si>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</si>
  <si>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</si>
  <si>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</si>
  <si>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</si>
  <si>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</si>
  <si>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</si>
  <si>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</si>
  <si>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</si>
  <si>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</si>
  <si>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</si>
  <si>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</si>
  <si>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</si>
  <si>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</si>
  <si>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</si>
  <si>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</si>
  <si>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</si>
  <si>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</si>
  <si>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</si>
  <si>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</si>
  <si>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</si>
  <si>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</si>
  <si>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</si>
  <si>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</si>
  <si>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</si>
  <si>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</si>
  <si>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</si>
  <si>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</si>
  <si>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</si>
  <si>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</si>
  <si>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</si>
  <si>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</si>
  <si>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</si>
  <si>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</si>
  <si>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</si>
  <si>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</si>
  <si>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</si>
  <si>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</si>
  <si>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</si>
  <si>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</si>
  <si>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</si>
  <si>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</si>
  <si>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</si>
  <si>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</si>
  <si>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</si>
  <si>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</si>
  <si>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</si>
  <si>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</si>
  <si>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</si>
  <si>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</si>
  <si>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</si>
  <si>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</si>
  <si>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</si>
  <si>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</si>
  <si>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</si>
  <si>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</si>
  <si>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</si>
  <si>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</si>
  <si>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</si>
  <si>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</si>
  <si>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</si>
  <si>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</si>
  <si>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</si>
  <si>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</si>
  <si>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</si>
  <si>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</si>
  <si>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</si>
  <si>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</si>
  <si>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</si>
  <si>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</si>
  <si>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</si>
  <si>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</si>
  <si>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</si>
  <si>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</si>
  <si>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</si>
  <si>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</si>
  <si>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</si>
  <si>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</si>
  <si>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</si>
  <si>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</si>
  <si>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</si>
  <si>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</si>
  <si>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</si>
  <si>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</si>
  <si>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</si>
  <si>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</si>
  <si>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</si>
  <si>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</si>
  <si>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</si>
  <si>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</si>
  <si>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</si>
  <si>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</si>
  <si>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</si>
  <si>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</si>
  <si>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</si>
  <si>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</si>
  <si>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</si>
  <si>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</si>
  <si>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</si>
  <si>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</si>
  <si>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</si>
  <si>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</si>
  <si>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</si>
  <si>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</si>
  <si>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</si>
  <si>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</si>
  <si>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</si>
  <si>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</si>
  <si>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</si>
  <si>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</si>
  <si>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</si>
  <si>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</si>
  <si>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</si>
  <si>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</si>
  <si>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</si>
  <si>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</si>
  <si>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</si>
  <si>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</si>
  <si>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</si>
  <si>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</si>
  <si>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</si>
  <si>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</si>
  <si>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</si>
  <si>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</si>
  <si>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</si>
  <si>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</si>
  <si>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</si>
  <si>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</si>
  <si>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</si>
  <si>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</si>
  <si>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</si>
  <si>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</si>
  <si>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</si>
  <si>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</si>
  <si>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</si>
  <si>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</si>
  <si>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</si>
  <si>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</si>
  <si>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</si>
  <si>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</si>
  <si>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</si>
  <si>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</si>
  <si>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</si>
  <si>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</si>
  <si>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</si>
  <si>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</si>
  <si>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</si>
  <si>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</si>
  <si>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</si>
  <si>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</si>
  <si>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</si>
  <si>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</si>
  <si>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</si>
  <si>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</si>
  <si>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</si>
  <si>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</si>
  <si>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</si>
  <si>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</si>
  <si>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</si>
  <si>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</si>
  <si>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</si>
  <si>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</si>
  <si>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</si>
  <si>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</si>
  <si>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</si>
  <si>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</si>
  <si>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</si>
  <si>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</si>
  <si>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</si>
  <si>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</si>
  <si>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</si>
  <si>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</si>
  <si>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</si>
  <si>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</si>
  <si>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</si>
  <si>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</si>
  <si>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</si>
  <si>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</si>
  <si>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</si>
  <si>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</si>
  <si>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</si>
  <si>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</si>
  <si>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</si>
  <si>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</si>
  <si>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</si>
  <si>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</si>
  <si>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</si>
  <si>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</si>
  <si>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</si>
  <si>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</si>
  <si>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</si>
  <si>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</si>
  <si>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</si>
  <si>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</si>
  <si>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</si>
  <si>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</si>
  <si>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</si>
  <si>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</si>
  <si>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</si>
  <si>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</si>
  <si>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</si>
  <si>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</si>
  <si>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</si>
  <si>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</si>
  <si>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</si>
  <si>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</si>
  <si>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</si>
  <si>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</si>
  <si>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</si>
  <si>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</si>
  <si>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</si>
  <si>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</si>
  <si>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</si>
  <si>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</si>
  <si>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</si>
  <si>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</si>
  <si>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</si>
  <si>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</si>
  <si>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</si>
  <si>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</si>
  <si>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</si>
  <si>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</si>
  <si>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</si>
  <si>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</si>
  <si>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</si>
  <si>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</si>
  <si>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</si>
  <si>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</si>
  <si>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</si>
  <si>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</si>
  <si>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</si>
  <si>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</si>
  <si>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</si>
  <si>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</si>
  <si>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</si>
  <si>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</si>
  <si>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</si>
  <si>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</si>
  <si>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</si>
  <si>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</si>
  <si>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</si>
  <si>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</si>
  <si>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</si>
  <si>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</si>
  <si>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</si>
  <si>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</si>
  <si>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</si>
  <si>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</si>
  <si>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</si>
  <si>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</si>
  <si>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</si>
  <si>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</si>
  <si>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</si>
  <si>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</si>
  <si>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</si>
  <si>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</si>
  <si>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</si>
  <si>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</si>
  <si>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</si>
  <si>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</si>
  <si>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</si>
  <si>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</si>
  <si>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</si>
  <si>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</si>
  <si>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</si>
  <si>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</si>
  <si>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</si>
  <si>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</si>
  <si>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</si>
  <si>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</si>
  <si>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</si>
  <si>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</si>
  <si>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</si>
  <si>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</si>
  <si>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</si>
  <si>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</si>
  <si>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</si>
  <si>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</si>
  <si>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</si>
  <si>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</si>
  <si>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</si>
  <si>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</si>
  <si>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</si>
  <si>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</si>
  <si>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</si>
  <si>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</si>
  <si>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</si>
  <si>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</si>
  <si>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</si>
  <si>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</si>
  <si>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</si>
  <si>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</si>
  <si>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</si>
  <si>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</si>
  <si>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</si>
  <si>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</si>
  <si>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</si>
  <si>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</si>
  <si>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</si>
  <si>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</si>
  <si>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</si>
  <si>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</si>
  <si>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</si>
  <si>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</si>
  <si>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</si>
  <si>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</si>
  <si>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</si>
  <si>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</si>
  <si>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</si>
  <si>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</si>
  <si>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</si>
  <si>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</si>
  <si>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</si>
  <si>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</si>
  <si>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</si>
  <si>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</si>
  <si>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</si>
  <si>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</si>
  <si>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</si>
  <si>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</si>
  <si>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</si>
  <si>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</si>
  <si>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</si>
  <si>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</si>
  <si>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</si>
  <si>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</si>
  <si>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</si>
  <si>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</si>
  <si>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</si>
  <si>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</si>
  <si>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</si>
  <si>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</si>
  <si>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</si>
  <si>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</si>
  <si>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</si>
  <si>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</si>
  <si>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</si>
  <si>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</si>
  <si>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</si>
  <si>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</si>
  <si>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</si>
  <si>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</si>
  <si>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</si>
  <si>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</si>
  <si>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</si>
  <si>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</si>
  <si>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</si>
  <si>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</si>
  <si>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</si>
  <si>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</si>
  <si>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</si>
  <si>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</si>
  <si>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</si>
  <si>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</si>
  <si>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</si>
  <si>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</si>
  <si>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</si>
  <si>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</si>
  <si>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</si>
  <si>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</si>
  <si>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</si>
  <si>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</si>
  <si>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</si>
  <si>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</si>
  <si>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</si>
  <si>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</si>
  <si>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</si>
  <si>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</si>
  <si>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</si>
  <si>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</si>
  <si>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</si>
  <si>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</si>
  <si>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</si>
  <si>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</si>
  <si>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</si>
  <si>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</si>
  <si>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</si>
  <si>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</si>
  <si>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</si>
  <si>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</si>
  <si>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</si>
  <si>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</si>
  <si>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</si>
  <si>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</si>
  <si>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</si>
  <si>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</si>
  <si>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</si>
  <si>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</si>
  <si>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</si>
  <si>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</si>
  <si>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</si>
  <si>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</si>
  <si>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</si>
  <si>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</si>
  <si>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</si>
  <si>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</si>
  <si>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</si>
  <si>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</si>
  <si>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</si>
  <si>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</si>
  <si>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</si>
  <si>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</si>
  <si>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</si>
  <si>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</si>
  <si>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</si>
  <si>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</si>
  <si>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</si>
  <si>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</si>
  <si>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</si>
  <si>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</si>
  <si>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</si>
  <si>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</si>
  <si>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</si>
  <si>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</si>
  <si>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</si>
  <si>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</si>
  <si>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</si>
  <si>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</si>
  <si>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</si>
  <si>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</si>
  <si>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</si>
  <si>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</si>
  <si>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</si>
  <si>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</si>
  <si>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</si>
  <si>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</si>
  <si>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</si>
  <si>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</si>
  <si>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</si>
  <si>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</si>
  <si>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</si>
  <si>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</si>
  <si>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</si>
  <si>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</si>
  <si>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</si>
  <si>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</si>
  <si>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</si>
  <si>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</si>
  <si>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</si>
  <si>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</si>
  <si>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</si>
  <si>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</si>
  <si>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</si>
  <si>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</si>
  <si>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</si>
  <si>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</si>
  <si>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</si>
  <si>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</si>
  <si>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</si>
  <si>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</si>
  <si>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</si>
  <si>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</si>
  <si>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</si>
  <si>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</si>
  <si>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</si>
  <si>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</si>
  <si>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</si>
  <si>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</si>
  <si>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</si>
  <si>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</si>
  <si>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</si>
  <si>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</si>
  <si>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</si>
  <si>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</si>
  <si>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</si>
  <si>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</si>
  <si>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</si>
  <si>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</si>
  <si>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</si>
  <si>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</si>
  <si>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</si>
  <si>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</si>
  <si>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</si>
  <si>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</si>
  <si>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</si>
  <si>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</si>
  <si>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</si>
  <si>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</si>
  <si>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</si>
  <si>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</si>
  <si>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</si>
  <si>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</si>
  <si>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</si>
  <si>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</si>
  <si>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</si>
  <si>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</si>
  <si>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</si>
  <si>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</si>
  <si>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</si>
  <si>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</si>
  <si>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</si>
  <si>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</si>
  <si>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</si>
  <si>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</si>
  <si>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</si>
  <si>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</si>
  <si>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</si>
  <si>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</si>
  <si>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</si>
  <si>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</si>
  <si>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</si>
  <si>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</si>
  <si>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</si>
  <si>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</si>
  <si>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</si>
  <si>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</si>
  <si>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</si>
  <si>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</si>
  <si>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</si>
  <si>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</si>
  <si>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</si>
  <si>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</si>
  <si>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</si>
  <si>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</si>
  <si>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</si>
  <si>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</si>
  <si>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</si>
  <si>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</si>
  <si>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</si>
  <si>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</si>
  <si>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</si>
  <si>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</si>
  <si>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</si>
  <si>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</si>
  <si>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</si>
  <si>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</si>
  <si>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</si>
  <si>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</si>
  <si>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</si>
  <si>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</si>
  <si>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</si>
  <si>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</si>
  <si>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</si>
  <si>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</si>
  <si>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</si>
  <si>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</si>
  <si>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</si>
  <si>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</si>
  <si>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</si>
  <si>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</si>
  <si>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</si>
  <si>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</si>
  <si>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</si>
  <si>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</si>
  <si>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</si>
  <si>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</si>
  <si>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</si>
  <si>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</si>
  <si>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</si>
  <si>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</si>
  <si>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</si>
  <si>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</si>
  <si>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</si>
  <si>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</si>
  <si>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</si>
  <si>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</si>
  <si>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</si>
  <si>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</si>
  <si>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</si>
  <si>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</si>
  <si>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</si>
  <si>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</si>
  <si>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</si>
  <si>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</si>
  <si>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</si>
  <si>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</si>
  <si>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</si>
  <si>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</si>
  <si>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</si>
  <si>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</si>
  <si>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</si>
  <si>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</si>
  <si>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</si>
  <si>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</si>
  <si>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</si>
  <si>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</si>
  <si>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</si>
  <si>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</si>
  <si>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</si>
  <si>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</si>
  <si>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</si>
  <si>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</si>
  <si>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</si>
  <si>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</si>
  <si>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</si>
  <si>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</si>
  <si>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</si>
  <si>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</si>
  <si>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</si>
  <si>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</si>
  <si>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</si>
  <si>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</si>
  <si>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</si>
  <si>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</si>
  <si>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</si>
  <si>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</si>
  <si>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</si>
  <si>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</si>
  <si>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</si>
  <si>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</si>
  <si>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</si>
  <si>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</si>
  <si>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</si>
  <si>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</si>
  <si>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</si>
  <si>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</si>
  <si>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</si>
  <si>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</si>
  <si>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</si>
  <si>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</si>
  <si>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</si>
  <si>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</si>
  <si>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</si>
  <si>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</si>
  <si>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</si>
  <si>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</si>
  <si>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</si>
  <si>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</si>
  <si>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</si>
  <si>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</si>
  <si>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</si>
  <si>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</si>
  <si>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</si>
  <si>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</si>
  <si>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</si>
  <si>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</si>
  <si>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</si>
  <si>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</si>
  <si>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</si>
  <si>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</si>
  <si>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</si>
  <si>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</si>
  <si>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</si>
  <si>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</si>
  <si>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</si>
  <si>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</si>
  <si>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</si>
  <si>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</si>
  <si>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</si>
  <si>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</si>
  <si>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</si>
  <si>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</si>
  <si>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</si>
  <si>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</si>
  <si>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</si>
  <si>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</si>
  <si>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</si>
  <si>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</si>
  <si>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</si>
  <si>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</si>
  <si>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</si>
  <si>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</si>
  <si>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</si>
  <si>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</si>
  <si>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</si>
  <si>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</si>
  <si>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</si>
  <si>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</si>
  <si>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</si>
  <si>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</si>
  <si>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</si>
  <si>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</si>
  <si>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</si>
  <si>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</si>
  <si>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</si>
  <si>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</si>
  <si>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</si>
  <si>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</si>
  <si>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</si>
  <si>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</si>
  <si>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</si>
  <si>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</si>
  <si>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</si>
  <si>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</si>
  <si>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</si>
  <si>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</si>
  <si>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</si>
  <si>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</si>
  <si>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</si>
  <si>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</si>
  <si>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</si>
  <si>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</si>
  <si>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</si>
  <si>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</si>
  <si>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</si>
  <si>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</si>
  <si>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</si>
  <si>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</si>
  <si>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</si>
  <si>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</si>
  <si>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</si>
  <si>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</si>
  <si>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</si>
  <si>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</si>
  <si>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</si>
  <si>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</si>
  <si>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</si>
  <si>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</si>
  <si>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</si>
  <si>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</si>
  <si>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</si>
  <si>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</si>
  <si>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</si>
  <si>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</si>
  <si>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</si>
  <si>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</si>
  <si>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</si>
  <si>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</si>
  <si>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</si>
  <si>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</si>
  <si>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</si>
  <si>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</si>
  <si>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</si>
  <si>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</si>
  <si>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</si>
  <si>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</si>
  <si>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</si>
  <si>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</si>
  <si>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</si>
  <si>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</si>
  <si>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</si>
  <si>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</si>
  <si>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</si>
  <si>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</si>
  <si>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</si>
  <si>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</si>
  <si>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</si>
  <si>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</si>
  <si>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</si>
  <si>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</si>
  <si>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</si>
  <si>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</si>
  <si>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</si>
  <si>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</si>
  <si>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</si>
  <si>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</si>
  <si>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</si>
  <si>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</si>
  <si>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</si>
  <si>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</si>
  <si>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</si>
  <si>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</si>
  <si>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</si>
  <si>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</si>
  <si>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</si>
  <si>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</si>
  <si>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</si>
  <si>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</si>
  <si>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</si>
  <si>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</si>
  <si>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</si>
  <si>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</si>
  <si>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</si>
  <si>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</si>
  <si>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</si>
  <si>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</si>
  <si>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</si>
  <si>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</si>
  <si>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</si>
  <si>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</si>
  <si>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</si>
  <si>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</si>
  <si>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</si>
  <si>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</si>
  <si>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</si>
  <si>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</si>
  <si>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</si>
  <si>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</si>
  <si>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</si>
  <si>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</si>
  <si>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</si>
  <si>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</si>
  <si>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</si>
  <si>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</si>
  <si>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</si>
  <si>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</si>
  <si>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</si>
  <si>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</si>
  <si>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</si>
  <si>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</si>
  <si>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</si>
  <si>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</si>
  <si>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</si>
  <si>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</si>
  <si>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</si>
  <si>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</si>
  <si>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</si>
  <si>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</si>
  <si>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</si>
  <si>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</si>
  <si>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</si>
  <si>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</si>
  <si>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</si>
  <si>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</si>
  <si>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</si>
  <si>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</si>
  <si>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</si>
  <si>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</si>
  <si>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</si>
  <si>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</si>
  <si>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</si>
  <si>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</si>
  <si>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</si>
  <si>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</si>
  <si>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</si>
  <si>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</si>
  <si>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</si>
  <si>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</si>
  <si>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</si>
  <si>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</si>
  <si>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</si>
  <si>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</si>
  <si>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</si>
  <si>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</si>
  <si>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</si>
  <si>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</si>
  <si>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</si>
  <si>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</si>
  <si>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</si>
  <si>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</si>
  <si>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</si>
  <si>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</si>
  <si>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</si>
  <si>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</si>
  <si>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</si>
  <si>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</si>
  <si>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</si>
  <si>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</si>
  <si>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</si>
  <si>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</si>
  <si>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</si>
  <si>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</si>
  <si>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</si>
  <si>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</si>
  <si>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</si>
  <si>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</si>
  <si>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</si>
  <si>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</si>
  <si>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</si>
  <si>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</si>
  <si>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</si>
  <si>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</si>
  <si>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</si>
  <si>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</si>
  <si>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</si>
  <si>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</si>
  <si>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</si>
  <si>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</si>
  <si>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</si>
  <si>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</si>
  <si>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</si>
  <si>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</si>
  <si>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</si>
  <si>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</si>
  <si>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</si>
  <si>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</si>
  <si>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</si>
  <si>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</si>
  <si>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</si>
  <si>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</si>
  <si>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</si>
  <si>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</si>
  <si>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</si>
  <si>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</si>
  <si>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</si>
  <si>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</si>
  <si>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</si>
  <si>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</si>
  <si>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</si>
  <si>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</si>
  <si>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</si>
  <si>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</si>
  <si>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</si>
  <si>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</si>
  <si>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</si>
  <si>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</si>
  <si>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</si>
  <si>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</si>
  <si>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</si>
  <si>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</si>
  <si>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</si>
  <si>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</si>
  <si>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</si>
  <si>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</si>
  <si>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</si>
  <si>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</si>
  <si>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</si>
  <si>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</si>
  <si>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</si>
  <si>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</si>
  <si>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</si>
  <si>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</si>
  <si>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</si>
  <si>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</si>
  <si>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</si>
  <si>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</si>
  <si>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</si>
  <si>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</si>
  <si>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</si>
  <si>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</si>
  <si>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</si>
  <si>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</si>
  <si>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</si>
  <si>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</si>
  <si>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</si>
  <si>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</si>
  <si>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</si>
  <si>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</si>
  <si>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</si>
  <si>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</si>
  <si>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</si>
  <si>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</si>
  <si>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</si>
  <si>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</si>
  <si>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</si>
  <si>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</si>
  <si>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</si>
  <si>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</si>
  <si>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</si>
  <si>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</si>
  <si>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</si>
  <si>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</si>
  <si>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</si>
  <si>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</si>
  <si>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</si>
  <si>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</si>
  <si>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</si>
  <si>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</si>
  <si>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</si>
  <si>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</si>
  <si>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</si>
  <si>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</si>
  <si>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</si>
  <si>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</si>
  <si>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</si>
  <si>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</si>
  <si>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</si>
  <si>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</si>
  <si>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</si>
  <si>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</si>
  <si>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</si>
  <si>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</si>
  <si>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</si>
  <si>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</si>
  <si>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</si>
  <si>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</si>
  <si>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</si>
  <si>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</si>
  <si>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</si>
  <si>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</si>
  <si>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</si>
  <si>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</si>
  <si>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</si>
  <si>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</si>
  <si>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</si>
  <si>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</si>
  <si>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</si>
  <si>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</si>
  <si>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</si>
  <si>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</si>
  <si>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</si>
  <si>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</si>
  <si>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</si>
  <si>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</si>
  <si>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</si>
  <si>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</si>
  <si>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</si>
  <si>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</si>
  <si>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</si>
  <si>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</si>
  <si>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</si>
  <si>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</si>
  <si>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</si>
  <si>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</si>
  <si>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</si>
  <si>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</si>
  <si>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</si>
  <si>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</si>
  <si>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</si>
  <si>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</si>
  <si>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</si>
  <si>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</si>
  <si>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</si>
  <si>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</si>
  <si>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</si>
  <si>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</si>
  <si>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</si>
  <si>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</si>
  <si>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</si>
  <si>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</si>
  <si>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</si>
  <si>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</si>
  <si>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</si>
  <si>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</si>
  <si>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</si>
  <si>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</si>
  <si>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</si>
  <si>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</si>
  <si>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</si>
  <si>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</si>
  <si>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</si>
  <si>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</si>
  <si>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</si>
  <si>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</si>
  <si>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</si>
  <si>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</si>
  <si>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</si>
  <si>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</si>
  <si>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</si>
  <si>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</si>
  <si>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</si>
  <si>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</si>
  <si>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</si>
  <si>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</si>
  <si>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</si>
  <si>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</si>
  <si>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</si>
  <si>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</si>
  <si>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</si>
  <si>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</si>
  <si>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</si>
  <si>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</si>
  <si>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</si>
  <si>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</si>
  <si>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</si>
  <si>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</si>
  <si>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</si>
  <si>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</si>
  <si>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</si>
  <si>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</si>
  <si>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</si>
  <si>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</si>
  <si>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</si>
  <si>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</si>
  <si>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</si>
  <si>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</si>
  <si>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</si>
  <si>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</si>
  <si>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</si>
  <si>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</si>
  <si>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</si>
  <si>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</si>
  <si>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</si>
  <si>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</si>
  <si>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</si>
  <si>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</si>
  <si>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</si>
  <si>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</si>
  <si>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</si>
  <si>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</si>
  <si>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</si>
  <si>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</si>
  <si>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</si>
  <si>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</si>
  <si>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</si>
  <si>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</si>
  <si>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</si>
  <si>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</si>
  <si>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</si>
  <si>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</si>
  <si>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</si>
  <si>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</si>
  <si>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</si>
  <si>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</si>
  <si>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</si>
  <si>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</si>
  <si>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</si>
  <si>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</si>
  <si>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</si>
  <si>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</si>
  <si>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</si>
  <si>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</si>
  <si>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</si>
  <si>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</si>
  <si>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</si>
  <si>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</si>
  <si>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</si>
  <si>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</si>
  <si>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</si>
  <si>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</si>
  <si>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</si>
  <si>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</si>
  <si>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</si>
  <si>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</si>
  <si>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</si>
  <si>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</si>
  <si>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</si>
  <si>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</si>
  <si>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</si>
  <si>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</si>
  <si>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</si>
  <si>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</si>
  <si>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</si>
  <si>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</si>
  <si>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</si>
  <si>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</si>
  <si>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</si>
  <si>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</si>
  <si>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</si>
  <si>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</si>
  <si>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</si>
  <si>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</si>
  <si>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</si>
  <si>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</si>
  <si>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</si>
  <si>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</si>
  <si>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</si>
  <si>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</si>
  <si>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</si>
  <si>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</si>
  <si>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</si>
  <si>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</si>
  <si>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</si>
  <si>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</si>
  <si>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</si>
  <si>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</si>
  <si>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</si>
  <si>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</si>
  <si>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</si>
  <si>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</si>
  <si>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</si>
  <si>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</si>
  <si>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</si>
  <si>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</si>
  <si>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</si>
  <si>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</si>
  <si>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</si>
  <si>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</si>
  <si>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</si>
  <si>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</si>
  <si>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</si>
  <si>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</si>
  <si>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</si>
  <si>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</si>
  <si>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</si>
  <si>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</si>
  <si>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</si>
  <si>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</si>
  <si>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</si>
  <si>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</si>
  <si>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</si>
  <si>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</si>
  <si>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</si>
  <si>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</si>
  <si>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</si>
  <si>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</si>
  <si>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</si>
  <si>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</si>
  <si>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</si>
  <si>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</si>
  <si>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</si>
  <si>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</si>
  <si>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</si>
  <si>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</si>
  <si>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</si>
  <si>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</si>
  <si>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</si>
  <si>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</si>
  <si>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</si>
  <si>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</si>
  <si>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</si>
  <si>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</si>
  <si>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</si>
  <si>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</si>
  <si>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</si>
  <si>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</si>
  <si>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</si>
  <si>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</si>
  <si>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</si>
  <si>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</si>
  <si>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</si>
  <si>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</si>
  <si>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</si>
  <si>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</si>
  <si>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</si>
  <si>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</si>
  <si>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</si>
  <si>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</si>
  <si>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</si>
  <si>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</si>
  <si>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</si>
  <si>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</si>
  <si>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</si>
  <si>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</si>
  <si>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</si>
  <si>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</si>
  <si>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</si>
  <si>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</si>
  <si>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</si>
  <si>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</si>
  <si>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</si>
  <si>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</si>
  <si>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</si>
  <si>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</si>
  <si>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</si>
  <si>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</si>
  <si>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</si>
  <si>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</si>
  <si>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</si>
  <si>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</si>
  <si>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</si>
  <si>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</si>
  <si>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</si>
  <si>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</si>
  <si>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</si>
  <si>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</si>
  <si>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</si>
  <si>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</si>
  <si>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</si>
  <si>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</si>
  <si>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</si>
  <si>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</si>
  <si>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</si>
  <si>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</si>
  <si>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</si>
  <si>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</si>
  <si>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</si>
  <si>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</si>
  <si>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</si>
  <si>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</si>
  <si>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</si>
  <si>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</si>
  <si>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</si>
  <si>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</si>
  <si>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</si>
  <si>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</si>
  <si>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</si>
  <si>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</si>
  <si>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</si>
  <si>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</si>
  <si>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</si>
  <si>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</si>
  <si>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</si>
  <si>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</si>
  <si>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</si>
  <si>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</si>
  <si>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</si>
  <si>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</si>
  <si>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</si>
  <si>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</si>
  <si>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</si>
  <si>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</si>
  <si>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</si>
  <si>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</si>
  <si>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</si>
  <si>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</si>
  <si>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</si>
  <si>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</si>
  <si>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</si>
  <si>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</si>
  <si>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</si>
  <si>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</si>
  <si>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</si>
  <si>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</si>
  <si>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</si>
  <si>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</si>
  <si>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</si>
  <si>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</si>
  <si>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</si>
  <si>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</si>
  <si>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</si>
  <si>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</si>
  <si>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</si>
  <si>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</si>
  <si>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</si>
  <si>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</si>
  <si>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</si>
  <si>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</si>
  <si>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</si>
  <si>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</si>
  <si>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</si>
  <si>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</si>
  <si>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</si>
  <si>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</si>
  <si>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</si>
  <si>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</si>
  <si>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</si>
  <si>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</si>
  <si>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</si>
  <si>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</si>
  <si>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</si>
  <si>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</si>
  <si>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</si>
  <si>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</si>
  <si>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</si>
  <si>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</si>
  <si>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</si>
  <si>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</si>
  <si>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</si>
  <si>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</si>
  <si>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</si>
  <si>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</si>
  <si>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</si>
  <si>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</si>
  <si>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</si>
  <si>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</si>
  <si>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</si>
  <si>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</si>
  <si>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</si>
  <si>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</si>
  <si>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</si>
  <si>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</si>
  <si>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</si>
  <si>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</si>
  <si>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</si>
  <si>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</si>
  <si>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</si>
  <si>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</si>
  <si>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</si>
  <si>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</si>
  <si>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</si>
  <si>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</si>
  <si>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</si>
  <si>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</si>
  <si>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</si>
  <si>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</si>
  <si>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</si>
  <si>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</si>
  <si>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</si>
  <si>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</si>
  <si>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</si>
  <si>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</si>
  <si>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</si>
  <si>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</si>
  <si>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</si>
  <si>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</si>
  <si>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</si>
  <si>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</si>
  <si>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</si>
  <si>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</si>
  <si>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</si>
  <si>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</si>
  <si>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</si>
  <si>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</si>
  <si>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</si>
  <si>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</si>
  <si>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</si>
  <si>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</si>
  <si>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</si>
  <si>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</si>
  <si>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</si>
  <si>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</si>
  <si>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</si>
  <si>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</si>
  <si>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</si>
  <si>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</si>
  <si>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</si>
  <si>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</si>
  <si>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</si>
  <si>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</si>
  <si>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</si>
  <si>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</si>
  <si>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</si>
  <si>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</si>
  <si>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</si>
  <si>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</si>
  <si>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</si>
  <si>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</si>
  <si>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</si>
  <si>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</si>
  <si>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</si>
  <si>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</si>
  <si>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</si>
  <si>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</si>
  <si>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</si>
  <si>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</si>
  <si>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</si>
  <si>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</si>
  <si>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</si>
  <si>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</si>
  <si>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</si>
  <si>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</si>
  <si>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</si>
  <si>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</si>
  <si>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</si>
  <si>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</si>
  <si>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</si>
  <si>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</si>
  <si>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</si>
  <si>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</si>
  <si>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</si>
  <si>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</si>
  <si>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</si>
  <si>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</si>
  <si>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</si>
  <si>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</si>
  <si>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</si>
  <si>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</si>
  <si>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</si>
  <si>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</si>
  <si>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</si>
  <si>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</si>
  <si>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</si>
  <si>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</si>
  <si>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</si>
  <si>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</si>
  <si>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</si>
  <si>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</si>
  <si>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</si>
  <si>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</si>
  <si>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</si>
  <si>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</si>
  <si>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</si>
  <si>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</si>
  <si>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</si>
  <si>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</si>
  <si>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</si>
  <si>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</si>
  <si>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</si>
  <si>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</si>
  <si>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</si>
  <si>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</si>
  <si>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</si>
  <si>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</si>
  <si>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</si>
  <si>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</si>
  <si>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</si>
  <si>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</si>
  <si>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</si>
  <si>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</si>
  <si>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</si>
  <si>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</si>
  <si>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</si>
  <si>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</si>
  <si>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</si>
  <si>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</si>
  <si>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</si>
  <si>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</si>
  <si>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</si>
  <si>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</si>
  <si>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</si>
  <si>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</si>
  <si>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</si>
  <si>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</si>
  <si>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</si>
  <si>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</si>
  <si>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</si>
  <si>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</si>
  <si>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</si>
  <si>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</si>
  <si>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</si>
  <si>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</si>
  <si>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</si>
  <si>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</si>
  <si>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</si>
  <si>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</si>
  <si>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</si>
  <si>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</si>
  <si>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</si>
  <si>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</si>
  <si>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</si>
  <si>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</si>
  <si>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</si>
  <si>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</si>
  <si>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</si>
  <si>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</si>
  <si>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</si>
  <si>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</si>
  <si>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</si>
  <si>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</si>
  <si>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</si>
  <si>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</si>
  <si>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</si>
  <si>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</si>
  <si>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</si>
  <si>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</si>
  <si>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</si>
  <si>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</si>
  <si>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</si>
  <si>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</si>
  <si>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</si>
  <si>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</si>
  <si>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</si>
  <si>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</si>
  <si>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</si>
  <si>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</si>
  <si>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</si>
  <si>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</si>
  <si>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</si>
  <si>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</si>
  <si>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</si>
  <si>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</si>
  <si>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</si>
  <si>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</si>
  <si>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</si>
  <si>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</si>
  <si>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</si>
  <si>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</si>
  <si>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</si>
  <si>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</si>
  <si>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</si>
  <si>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</si>
  <si>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</si>
  <si>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</si>
  <si>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</si>
  <si>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</si>
  <si>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</si>
  <si>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</si>
  <si>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</si>
  <si>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</si>
  <si>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</si>
  <si>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</si>
  <si>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</si>
  <si>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</si>
  <si>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</si>
  <si>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</si>
  <si>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</si>
  <si>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</si>
  <si>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</si>
  <si>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</si>
  <si>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</si>
  <si>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</si>
  <si>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</si>
  <si>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</si>
  <si>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</si>
  <si>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</si>
  <si>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</si>
  <si>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</si>
  <si>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</si>
  <si>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</si>
  <si>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</si>
  <si>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</si>
  <si>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</si>
  <si>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</si>
  <si>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</si>
  <si>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</si>
  <si>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</si>
  <si>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</si>
  <si>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</si>
  <si>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</si>
  <si>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</si>
  <si>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</si>
  <si>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</si>
  <si>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</si>
  <si>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</si>
  <si>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</si>
  <si>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</si>
  <si>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</si>
  <si>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</si>
  <si>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</si>
  <si>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</si>
  <si>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</si>
  <si>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</si>
  <si>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</si>
  <si>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</si>
  <si>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</si>
  <si>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</si>
  <si>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</si>
  <si>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</si>
  <si>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</si>
  <si>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</si>
  <si>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</si>
  <si>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</si>
  <si>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</si>
  <si>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</si>
  <si>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</si>
  <si>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</si>
  <si>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</si>
  <si>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</si>
  <si>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</si>
  <si>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</si>
  <si>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</si>
  <si>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</si>
  <si>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</si>
  <si>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</si>
  <si>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</si>
  <si>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</si>
  <si>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</si>
  <si>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</si>
  <si>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</si>
  <si>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</si>
  <si>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</si>
  <si>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</si>
  <si>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</si>
  <si>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</si>
  <si>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</si>
  <si>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</si>
  <si>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</si>
  <si>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</si>
  <si>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</si>
  <si>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</si>
  <si>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</si>
  <si>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</si>
  <si>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</si>
  <si>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</si>
  <si>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</si>
  <si>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</si>
  <si>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</si>
  <si>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</si>
  <si>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</si>
  <si>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</si>
  <si>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</si>
  <si>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</si>
  <si>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</si>
  <si>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</si>
  <si>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</si>
  <si>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</si>
  <si>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</si>
  <si>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</si>
  <si>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</si>
  <si>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</si>
  <si>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</si>
  <si>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</si>
  <si>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</si>
  <si>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</si>
  <si>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</si>
  <si>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</si>
  <si>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</si>
  <si>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</si>
  <si>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</si>
  <si>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</si>
  <si>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</si>
  <si>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</si>
  <si>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</si>
  <si>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</si>
  <si>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</si>
  <si>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</si>
  <si>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</si>
  <si>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</si>
  <si>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</si>
  <si>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</si>
  <si>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</si>
  <si>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</si>
  <si>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</si>
  <si>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</si>
  <si>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</si>
  <si>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</si>
  <si>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</si>
  <si>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</si>
  <si>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</si>
  <si>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</si>
  <si>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</si>
  <si>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</si>
  <si>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</si>
  <si>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</si>
  <si>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</si>
  <si>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</si>
  <si>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</si>
  <si>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</si>
  <si>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</si>
  <si>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</si>
  <si>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</si>
  <si>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</si>
  <si>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</si>
  <si>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</si>
  <si>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</si>
  <si>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</si>
  <si>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</si>
  <si>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</si>
  <si>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</si>
  <si>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</si>
  <si>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</si>
  <si>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</si>
  <si>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</si>
  <si>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</si>
  <si>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</si>
  <si>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</si>
  <si>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</si>
  <si>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</si>
  <si>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</si>
  <si>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</si>
  <si>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</si>
  <si>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</si>
  <si>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</si>
  <si>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</si>
  <si>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</si>
  <si>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</si>
  <si>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</si>
  <si>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</si>
  <si>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</si>
  <si>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</si>
  <si>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</si>
  <si>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</si>
  <si>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</si>
  <si>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</si>
  <si>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</si>
  <si>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</si>
  <si>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</si>
  <si>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</si>
  <si>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</si>
  <si>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</si>
  <si>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</si>
  <si>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</si>
  <si>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</si>
  <si>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</si>
  <si>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</si>
  <si>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</si>
  <si>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</si>
  <si>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</si>
  <si>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</si>
  <si>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</si>
  <si>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</si>
  <si>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</si>
  <si>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</si>
  <si>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</si>
  <si>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</si>
  <si>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</si>
  <si>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</si>
  <si>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</si>
  <si>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</si>
  <si>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</si>
  <si>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</si>
  <si>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</si>
  <si>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</si>
  <si>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</si>
  <si>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</si>
  <si>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</si>
  <si>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</si>
  <si>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</si>
  <si>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</si>
  <si>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</si>
  <si>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</si>
  <si>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</si>
  <si>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</si>
  <si>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</si>
  <si>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</si>
  <si>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</si>
  <si>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</si>
  <si>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</si>
  <si>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</si>
  <si>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</si>
  <si>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</si>
  <si>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</si>
  <si>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</si>
  <si>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</si>
  <si>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</si>
  <si>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</si>
  <si>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</si>
  <si>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</si>
  <si>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</si>
  <si>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</si>
  <si>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</si>
  <si>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</si>
  <si>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</si>
  <si>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</si>
  <si>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</si>
  <si>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</si>
  <si>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</si>
  <si>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</si>
  <si>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</si>
  <si>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</si>
  <si>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</si>
  <si>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</si>
  <si>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</si>
  <si>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</si>
  <si>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</si>
  <si>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</si>
  <si>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</si>
  <si>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</si>
  <si>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</si>
  <si>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</si>
  <si>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</si>
  <si>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</si>
  <si>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</si>
  <si>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</si>
  <si>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</si>
  <si>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</si>
  <si>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</si>
  <si>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</si>
  <si>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</si>
  <si>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</si>
  <si>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</si>
  <si>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</si>
  <si>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</si>
  <si>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</si>
  <si>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</si>
  <si>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</si>
  <si>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</si>
  <si>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</si>
  <si>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</si>
  <si>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</si>
  <si>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</si>
  <si>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</si>
  <si>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</si>
  <si>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</si>
  <si>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</si>
  <si>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</si>
  <si>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</si>
  <si>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</si>
  <si>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</si>
  <si>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</si>
  <si>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</si>
  <si>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</si>
  <si>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</si>
  <si>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</si>
  <si>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</si>
  <si>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</si>
  <si>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</si>
  <si>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</si>
  <si>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</si>
  <si>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</si>
  <si>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</si>
  <si>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</si>
  <si>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</si>
  <si>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</si>
  <si>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</si>
  <si>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</si>
  <si>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</si>
  <si>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</si>
  <si>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</si>
  <si>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</si>
  <si>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</si>
  <si>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</si>
  <si>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</si>
  <si>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</si>
  <si>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</si>
  <si>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</si>
  <si>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</si>
  <si>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</si>
  <si>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</si>
  <si>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</si>
  <si>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</si>
  <si>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</si>
  <si>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</si>
  <si>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</si>
  <si>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</si>
  <si>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</si>
  <si>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</si>
  <si>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</si>
  <si>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</si>
  <si>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</si>
  <si>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</si>
  <si>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</si>
  <si>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</si>
  <si>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</si>
  <si>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</si>
  <si>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</si>
  <si>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</si>
  <si>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</si>
  <si>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</si>
  <si>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</si>
  <si>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</si>
  <si>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</si>
  <si>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</si>
  <si>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</si>
  <si>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</si>
  <si>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</si>
  <si>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</si>
  <si>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</si>
  <si>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</si>
  <si>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</si>
  <si>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</si>
  <si>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</si>
  <si>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</si>
  <si>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</si>
  <si>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</si>
  <si>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</si>
  <si>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</si>
  <si>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</si>
  <si>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</si>
  <si>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</si>
  <si>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</si>
  <si>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</si>
  <si>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</si>
  <si>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</si>
  <si>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</si>
  <si>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</si>
  <si>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</si>
  <si>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</si>
  <si>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</si>
  <si>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</si>
  <si>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</si>
  <si>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</si>
  <si>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</si>
  <si>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</si>
  <si>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</si>
  <si>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</si>
  <si>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</si>
  <si>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</si>
  <si>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</si>
  <si>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</si>
  <si>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</si>
  <si>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</si>
  <si>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</si>
  <si>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</si>
  <si>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</si>
  <si>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</si>
  <si>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</si>
  <si>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</si>
  <si>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</si>
  <si>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</si>
  <si>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</si>
  <si>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</si>
  <si>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</si>
  <si>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</si>
  <si>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</si>
  <si>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</si>
  <si>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</si>
  <si>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</si>
  <si>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</si>
  <si>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</si>
  <si>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</si>
  <si>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</si>
  <si>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</si>
  <si>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</si>
  <si>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</si>
  <si>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</si>
  <si>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</si>
  <si>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</si>
  <si>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</si>
  <si>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</si>
  <si>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</si>
  <si>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</si>
  <si>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</si>
  <si>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</si>
  <si>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</si>
  <si>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</si>
  <si>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</si>
  <si>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</si>
  <si>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</si>
  <si>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</si>
  <si>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</si>
  <si>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</si>
  <si>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</si>
  <si>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</si>
  <si>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</si>
  <si>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</si>
  <si>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</si>
  <si>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</si>
  <si>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</si>
  <si>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</si>
  <si>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</si>
  <si>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</si>
  <si>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</si>
  <si>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</si>
  <si>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</si>
  <si>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</si>
  <si>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</si>
  <si>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</si>
  <si>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</si>
  <si>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</si>
  <si>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</si>
  <si>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</si>
  <si>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</si>
  <si>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</si>
  <si>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</si>
  <si>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</si>
  <si>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</si>
  <si>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</si>
  <si>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</si>
  <si>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</si>
  <si>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</si>
  <si>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</si>
  <si>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</si>
  <si>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</si>
  <si>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</si>
  <si>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</si>
  <si>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</si>
  <si>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</si>
  <si>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</si>
  <si>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</si>
  <si>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</si>
  <si>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</si>
  <si>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</si>
  <si>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</si>
  <si>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</si>
  <si>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</si>
  <si>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</si>
  <si>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</si>
  <si>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</si>
  <si>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</si>
  <si>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</si>
  <si>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</si>
  <si>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</si>
  <si>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</si>
  <si>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</si>
  <si>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</si>
  <si>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</si>
  <si>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</si>
  <si>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</si>
  <si>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</si>
  <si>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</si>
  <si>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</si>
  <si>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</si>
  <si>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</si>
  <si>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</si>
  <si>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</si>
  <si>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</si>
  <si>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</si>
  <si>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</si>
  <si>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</si>
  <si>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</si>
  <si>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</si>
  <si>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</si>
  <si>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</si>
  <si>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</si>
  <si>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</si>
  <si>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</si>
  <si>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</si>
  <si>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</si>
  <si>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</si>
  <si>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</si>
  <si>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</si>
  <si>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</si>
  <si>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</si>
  <si>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</si>
  <si>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</si>
  <si>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</si>
  <si>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</si>
  <si>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</si>
  <si>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</si>
  <si>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</si>
  <si>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</si>
  <si>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</si>
  <si>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</si>
  <si>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</si>
  <si>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</si>
  <si>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</si>
  <si>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</si>
  <si>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</si>
  <si>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</si>
  <si>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</si>
  <si>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</si>
  <si>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</si>
  <si>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</si>
  <si>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</si>
  <si>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</si>
  <si>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</si>
  <si>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</si>
  <si>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</si>
  <si>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</si>
  <si>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</si>
  <si>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</si>
  <si>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</si>
  <si>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</si>
  <si>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</si>
  <si>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</si>
  <si>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</si>
  <si>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</si>
  <si>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</si>
  <si>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</si>
  <si>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</si>
  <si>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</si>
  <si>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</si>
  <si>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</si>
  <si>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</si>
  <si>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</si>
  <si>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</si>
  <si>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</si>
  <si>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</si>
  <si>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</si>
  <si>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</si>
  <si>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</si>
  <si>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</si>
  <si>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</si>
  <si>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</si>
  <si>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</si>
  <si>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</si>
  <si>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</si>
  <si>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</si>
  <si>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</si>
  <si>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</si>
  <si>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</si>
  <si>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</si>
  <si>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</si>
  <si>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</si>
  <si>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</si>
  <si>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</si>
  <si>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</si>
  <si>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</si>
  <si>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</si>
  <si>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</si>
  <si>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</si>
  <si>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</si>
  <si>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</si>
  <si>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</si>
  <si>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</si>
  <si>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</si>
  <si>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</si>
  <si>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</si>
  <si>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</si>
  <si>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</si>
  <si>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</si>
  <si>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</si>
  <si>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</si>
  <si>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</si>
  <si>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</si>
  <si>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</si>
  <si>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</si>
  <si>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</si>
  <si>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</si>
  <si>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</si>
  <si>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</si>
  <si>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</si>
  <si>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</si>
  <si>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</si>
  <si>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</si>
  <si>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</si>
  <si>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</si>
  <si>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</si>
  <si>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</si>
  <si>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</si>
  <si>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</si>
  <si>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</si>
  <si>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</si>
  <si>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</si>
  <si>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</si>
  <si>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</si>
  <si>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</si>
  <si>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</si>
  <si>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</si>
  <si>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</si>
  <si>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</si>
  <si>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</si>
  <si>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</si>
  <si>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</si>
  <si>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</si>
  <si>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</si>
  <si>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</si>
  <si>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</si>
  <si>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</si>
  <si>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</si>
  <si>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</si>
  <si>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</si>
  <si>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</si>
  <si>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</si>
  <si>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</si>
  <si>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</si>
  <si>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</si>
  <si>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</si>
  <si>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</si>
  <si>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</si>
  <si>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</si>
  <si>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</si>
  <si>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</si>
  <si>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</si>
  <si>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</si>
  <si>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</si>
  <si>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</si>
  <si>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</si>
  <si>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</si>
  <si>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</si>
  <si>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</si>
  <si>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</si>
  <si>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</si>
  <si>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</si>
  <si>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</si>
  <si>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</si>
  <si>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</si>
  <si>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</si>
  <si>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</si>
  <si>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</si>
  <si>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</si>
  <si>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</si>
  <si>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</si>
  <si>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</si>
  <si>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</si>
  <si>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</si>
  <si>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</si>
  <si>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</si>
  <si>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</si>
  <si>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</si>
  <si>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</si>
  <si>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</si>
  <si>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</si>
  <si>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</si>
  <si>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</si>
  <si>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</si>
  <si>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</si>
  <si>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</si>
  <si>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</si>
  <si>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</si>
  <si>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</si>
  <si>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</si>
  <si>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</si>
  <si>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</si>
  <si>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</si>
  <si>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</si>
  <si>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</si>
  <si>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</si>
  <si>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</si>
  <si>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</si>
  <si>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</si>
  <si>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</si>
  <si>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</si>
  <si>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</si>
  <si>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</si>
  <si>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</si>
  <si>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</si>
  <si>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</si>
  <si>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</si>
  <si>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</si>
  <si>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</si>
  <si>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</si>
  <si>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</si>
  <si>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</si>
  <si>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</si>
  <si>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</si>
  <si>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</si>
  <si>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</si>
  <si>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</si>
  <si>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</si>
  <si>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</si>
  <si>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</si>
  <si>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</si>
  <si>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</si>
  <si>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</si>
  <si>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</si>
  <si>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</si>
  <si>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</si>
  <si>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</si>
  <si>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</si>
  <si>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</si>
  <si>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</si>
  <si>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</si>
  <si>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</si>
  <si>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</si>
  <si>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</si>
  <si>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</si>
  <si>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</si>
  <si>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</si>
  <si>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</si>
  <si>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</si>
  <si>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</si>
  <si>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</si>
  <si>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</si>
  <si>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</si>
  <si>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</si>
  <si>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</si>
  <si>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</si>
  <si>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</si>
  <si>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</si>
  <si>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</si>
  <si>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</si>
  <si>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</si>
  <si>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</si>
  <si>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</si>
  <si>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</si>
  <si>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</si>
  <si>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</si>
  <si>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</si>
  <si>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</si>
  <si>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</si>
  <si>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</si>
  <si>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</si>
  <si>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</si>
  <si>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</si>
  <si>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</si>
  <si>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</si>
  <si>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</si>
  <si>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</si>
  <si>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</si>
  <si>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</si>
  <si>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</si>
  <si>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</si>
  <si>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</si>
  <si>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</si>
  <si>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</si>
  <si>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</si>
  <si>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</si>
  <si>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</si>
  <si>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</si>
  <si>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</si>
  <si>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</si>
  <si>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</si>
  <si>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</si>
  <si>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</si>
  <si>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</si>
  <si>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</si>
  <si>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</si>
  <si>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</si>
  <si>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</si>
  <si>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</si>
  <si>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</si>
  <si>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</si>
  <si>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</si>
  <si>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</si>
  <si>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</si>
  <si>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</si>
  <si>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</si>
  <si>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</si>
  <si>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</si>
  <si>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</si>
  <si>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</si>
  <si>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</si>
  <si>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</si>
  <si>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</si>
  <si>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</si>
  <si>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</si>
  <si>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</si>
  <si>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</si>
  <si>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</si>
  <si>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</si>
  <si>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</si>
  <si>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</si>
  <si>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</si>
  <si>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</si>
  <si>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</si>
  <si>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</si>
  <si>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</si>
  <si>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</si>
  <si>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</si>
  <si>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</si>
  <si>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</si>
  <si>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</si>
  <si>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</si>
  <si>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</si>
  <si>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</si>
  <si>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</si>
  <si>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</si>
  <si>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</si>
  <si>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</si>
  <si>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</si>
  <si>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</si>
  <si>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</si>
  <si>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</si>
  <si>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</si>
  <si>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</si>
  <si>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</si>
  <si>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</si>
  <si>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</si>
  <si>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</si>
  <si>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</si>
  <si>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</si>
  <si>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</si>
  <si>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</si>
  <si>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</si>
  <si>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</si>
  <si>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</si>
  <si>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</si>
  <si>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</si>
  <si>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</si>
  <si>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</si>
  <si>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</si>
  <si>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</si>
  <si>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</si>
  <si>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</si>
  <si>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</si>
  <si>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</si>
  <si>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</si>
  <si>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</si>
  <si>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</si>
  <si>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</si>
  <si>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</si>
  <si>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</si>
  <si>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</si>
  <si>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</si>
  <si>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</si>
  <si>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</si>
  <si>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</si>
  <si>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</si>
  <si>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</si>
  <si>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</si>
  <si>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</si>
  <si>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</si>
  <si>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</si>
  <si>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</si>
  <si>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</si>
  <si>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</si>
  <si>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</si>
  <si>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</si>
  <si>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</si>
  <si>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</si>
  <si>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</si>
  <si>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</si>
  <si>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</si>
  <si>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</si>
  <si>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</si>
  <si>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</si>
  <si>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</si>
  <si>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</si>
  <si>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</si>
  <si>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</si>
  <si>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</si>
  <si>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</si>
  <si>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</si>
  <si>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</si>
  <si>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</si>
  <si>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</si>
  <si>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</si>
  <si>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</si>
  <si>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</si>
  <si>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</si>
  <si>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</si>
  <si>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</si>
  <si>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</si>
  <si>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</si>
  <si>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</si>
  <si>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</si>
  <si>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</si>
  <si>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</si>
  <si>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</si>
  <si>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</si>
  <si>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</si>
  <si>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</si>
  <si>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</si>
  <si>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</si>
  <si>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</si>
  <si>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</si>
  <si>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</si>
  <si>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</si>
  <si>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</si>
  <si>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</si>
  <si>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</si>
  <si>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</si>
  <si>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</si>
  <si>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</si>
  <si>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</si>
  <si>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</si>
  <si>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</si>
  <si>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</si>
  <si>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</si>
  <si>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</si>
  <si>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</si>
  <si>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</si>
  <si>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</si>
  <si>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</si>
  <si>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</si>
  <si>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</si>
  <si>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</si>
  <si>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</si>
  <si>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</si>
  <si>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</si>
  <si>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</si>
  <si>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</si>
  <si>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</si>
  <si>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</si>
  <si>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</si>
  <si>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</si>
  <si>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</si>
  <si>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</si>
  <si>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</si>
  <si>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</si>
  <si>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</si>
  <si>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</si>
  <si>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</si>
  <si>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</si>
  <si>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</si>
  <si>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</si>
  <si>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</si>
  <si>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</si>
  <si>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</si>
  <si>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</si>
  <si>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</si>
  <si>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</si>
  <si>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</si>
  <si>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</si>
  <si>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</si>
  <si>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</si>
  <si>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</si>
  <si>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</si>
  <si>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</si>
  <si>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</si>
  <si>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</si>
  <si>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</si>
  <si>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</si>
  <si>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</si>
  <si>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</si>
  <si>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</si>
  <si>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</si>
  <si>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</si>
  <si>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</si>
  <si>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</si>
  <si>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</si>
  <si>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</si>
  <si>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</si>
  <si>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</si>
  <si>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</si>
  <si>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</si>
  <si>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</si>
  <si>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</si>
  <si>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</si>
  <si>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</si>
  <si>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</si>
  <si>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</si>
  <si>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</si>
  <si>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</si>
  <si>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</si>
  <si>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</si>
  <si>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</si>
  <si>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</si>
  <si>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</si>
  <si>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</si>
  <si>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</si>
  <si>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</si>
  <si>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</si>
  <si>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</si>
  <si>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</si>
  <si>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</si>
  <si>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</si>
  <si>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</si>
  <si>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</si>
  <si>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</si>
  <si>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</si>
  <si>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</si>
  <si>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</si>
  <si>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</si>
  <si>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</si>
  <si>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</si>
  <si>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</si>
  <si>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</si>
  <si>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</si>
  <si>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</si>
  <si>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</si>
  <si>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</si>
  <si>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</si>
  <si>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</si>
  <si>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</si>
  <si>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</si>
  <si>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</si>
  <si>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</si>
  <si>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</si>
  <si>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</si>
  <si>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</si>
  <si>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</si>
  <si>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</si>
  <si>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</si>
  <si>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</si>
  <si>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</si>
  <si>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</si>
  <si>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</si>
  <si>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</si>
  <si>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</si>
  <si>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</si>
  <si>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</si>
  <si>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</si>
  <si>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</si>
  <si>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</si>
  <si>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</si>
  <si>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</si>
  <si>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</si>
  <si>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</si>
  <si>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</si>
  <si>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</si>
  <si>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</si>
  <si>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</si>
  <si>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</si>
  <si>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</si>
  <si>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</si>
  <si>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</si>
  <si>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</si>
  <si>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</si>
  <si>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</si>
  <si>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</si>
  <si>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</si>
  <si>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</si>
  <si>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</si>
  <si>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</si>
  <si>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</si>
  <si>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</si>
  <si>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</si>
  <si>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</si>
  <si>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</si>
  <si>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</si>
  <si>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</si>
  <si>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</si>
  <si>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</si>
  <si>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</si>
  <si>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</si>
  <si>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</si>
  <si>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</si>
  <si>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</si>
  <si>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</si>
  <si>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</si>
  <si>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</si>
  <si>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</si>
  <si>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</si>
  <si>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</si>
  <si>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</si>
  <si>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</si>
  <si>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</si>
  <si>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</si>
  <si>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</si>
  <si>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</si>
  <si>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</si>
  <si>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</si>
  <si>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</si>
  <si>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</si>
  <si>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</si>
  <si>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</si>
  <si>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</si>
  <si>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</si>
  <si>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</si>
  <si>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</si>
  <si>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</si>
  <si>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</si>
  <si>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</si>
  <si>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</si>
  <si>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</si>
  <si>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</si>
  <si>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</si>
  <si>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</si>
  <si>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</si>
  <si>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</si>
  <si>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</si>
  <si>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</si>
  <si>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</si>
  <si>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</si>
  <si>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</si>
  <si>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</si>
  <si>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</si>
  <si>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</si>
  <si>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</si>
  <si>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</si>
  <si>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</si>
  <si>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</si>
  <si>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</si>
  <si>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</si>
  <si>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</si>
  <si>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</si>
  <si>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</si>
  <si>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</si>
  <si>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</si>
  <si>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</si>
  <si>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</si>
  <si>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</si>
  <si>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</si>
  <si>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</si>
  <si>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</si>
  <si>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</si>
  <si>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</si>
  <si>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</si>
  <si>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</si>
  <si>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</si>
  <si>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</si>
  <si>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</si>
  <si>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</si>
  <si>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</si>
  <si>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</si>
  <si>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</si>
  <si>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</si>
  <si>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</si>
  <si>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</si>
  <si>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</si>
  <si>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</si>
  <si>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</si>
  <si>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</si>
  <si>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</si>
  <si>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</si>
  <si>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</si>
  <si>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</si>
  <si>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</si>
  <si>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</si>
  <si>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</si>
  <si>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</si>
  <si>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</si>
  <si>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</si>
  <si>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</si>
  <si>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</si>
  <si>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</si>
  <si>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</si>
  <si>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</si>
  <si>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</si>
  <si>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</si>
  <si>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</si>
  <si>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</si>
  <si>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</si>
  <si>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</si>
  <si>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</si>
  <si>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</si>
  <si>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</si>
  <si>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</si>
  <si>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</si>
  <si>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</si>
  <si>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</si>
  <si>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</si>
  <si>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</si>
  <si>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</si>
  <si>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</si>
  <si>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</si>
  <si>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</si>
  <si>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</si>
  <si>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</si>
  <si>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</si>
  <si>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</si>
  <si>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</si>
  <si>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</si>
  <si>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</si>
  <si>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</si>
  <si>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</si>
  <si>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</si>
  <si>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</si>
  <si>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</si>
  <si>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</si>
  <si>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</si>
  <si>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</si>
  <si>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</si>
  <si>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</si>
  <si>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</si>
  <si>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</si>
  <si>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</si>
  <si>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</si>
  <si>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</si>
  <si>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</si>
  <si>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</si>
  <si>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</si>
  <si>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</si>
  <si>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</si>
  <si>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</si>
  <si>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</si>
  <si>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</si>
  <si>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</si>
  <si>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</si>
  <si>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</si>
  <si>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</si>
  <si>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</si>
  <si>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</si>
  <si>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</si>
  <si>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</si>
  <si>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</si>
  <si>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</si>
  <si>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</si>
  <si>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</si>
  <si>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</si>
  <si>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</si>
  <si>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</si>
  <si>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</si>
  <si>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</si>
  <si>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</si>
  <si>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</si>
  <si>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</si>
  <si>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</si>
  <si>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</si>
  <si>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</si>
  <si>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</si>
  <si>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</si>
  <si>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</si>
  <si>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</si>
  <si>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</si>
  <si>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</si>
  <si>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</si>
  <si>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</si>
  <si>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</si>
  <si>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</si>
  <si>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</si>
  <si>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</si>
  <si>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</si>
  <si>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</si>
  <si>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</si>
  <si>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</si>
  <si>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</si>
  <si>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</si>
  <si>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</si>
  <si>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</si>
  <si>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</si>
  <si>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</si>
  <si>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</si>
  <si>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</si>
  <si>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</si>
  <si>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</si>
  <si>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</si>
  <si>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</si>
  <si>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</si>
  <si>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</si>
  <si>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</si>
  <si>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</si>
  <si>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</si>
  <si>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</si>
  <si>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</si>
  <si>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</si>
  <si>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</si>
  <si>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</si>
  <si>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</si>
  <si>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</si>
  <si>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</si>
  <si>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</si>
  <si>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</si>
  <si>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</si>
  <si>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</si>
  <si>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</si>
  <si>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</si>
  <si>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</si>
  <si>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</si>
  <si>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</si>
  <si>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</si>
  <si>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</si>
  <si>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</si>
  <si>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</si>
  <si>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</si>
  <si>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</si>
  <si>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</si>
  <si>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</si>
  <si>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</si>
  <si>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</si>
  <si>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</si>
  <si>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</si>
  <si>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</si>
  <si>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</si>
  <si>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</si>
  <si>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</si>
  <si>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</si>
  <si>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</si>
  <si>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</si>
  <si>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</si>
  <si>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</si>
  <si>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</si>
  <si>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</si>
  <si>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</si>
  <si>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</si>
  <si>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</si>
  <si>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</si>
  <si>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</si>
  <si>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</si>
  <si>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</si>
  <si>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</si>
  <si>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</si>
  <si>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</si>
  <si>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</si>
  <si>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</si>
  <si>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</si>
  <si>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</si>
  <si>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</si>
  <si>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</si>
  <si>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</si>
  <si>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</si>
  <si>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</si>
  <si>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</si>
  <si>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</si>
  <si>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</si>
  <si>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</si>
  <si>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</si>
  <si>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</si>
  <si>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</si>
  <si>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</si>
  <si>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</si>
  <si>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</si>
  <si>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</si>
  <si>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</si>
  <si>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</si>
  <si>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</si>
  <si>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</si>
  <si>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</si>
  <si>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</si>
  <si>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</si>
  <si>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</si>
  <si>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</si>
  <si>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</si>
  <si>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</si>
  <si>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</si>
  <si>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</si>
  <si>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</si>
  <si>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</si>
  <si>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</si>
  <si>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</si>
  <si>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</si>
  <si>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</si>
  <si>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</si>
  <si>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</si>
  <si>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</si>
  <si>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</si>
  <si>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</si>
  <si>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</si>
  <si>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</si>
  <si>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</si>
  <si>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</si>
  <si>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</si>
  <si>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</si>
  <si>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</si>
  <si>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</si>
  <si>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</si>
  <si>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</si>
  <si>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</si>
  <si>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</si>
  <si>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</si>
  <si>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</si>
  <si>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</si>
  <si>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</si>
  <si>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</si>
  <si>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</si>
  <si>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</si>
  <si>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</si>
  <si>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</si>
  <si>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</si>
  <si>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</si>
  <si>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</si>
  <si>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</si>
  <si>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</si>
  <si>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</si>
  <si>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</si>
  <si>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</si>
  <si>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</si>
  <si>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</si>
  <si>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</si>
  <si>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</si>
  <si>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</si>
  <si>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</si>
  <si>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</si>
  <si>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</si>
  <si>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</si>
  <si>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</si>
  <si>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</si>
  <si>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</si>
  <si>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</si>
  <si>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</si>
  <si>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</si>
  <si>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</si>
  <si>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</si>
  <si>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</si>
  <si>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</si>
  <si>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</si>
  <si>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</si>
  <si>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</si>
  <si>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</si>
  <si>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</si>
  <si>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</si>
  <si>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</si>
  <si>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</si>
  <si>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</si>
  <si>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</si>
  <si>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</si>
  <si>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</si>
  <si>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</si>
  <si>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</si>
  <si>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</si>
  <si>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</si>
  <si>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</si>
  <si>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</si>
  <si>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</si>
  <si>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</si>
  <si>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</si>
  <si>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</si>
  <si>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</si>
  <si>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</si>
  <si>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</si>
  <si>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</si>
  <si>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</si>
  <si>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</si>
  <si>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</si>
  <si>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</si>
  <si>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</si>
  <si>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</si>
  <si>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</si>
  <si>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</si>
  <si>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</si>
  <si>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</si>
  <si>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</si>
  <si>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</si>
  <si>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</si>
  <si>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</si>
  <si>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</si>
  <si>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</si>
  <si>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</si>
  <si>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</si>
  <si>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</si>
  <si>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</si>
  <si>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</si>
  <si>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</si>
  <si>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</si>
  <si>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</si>
  <si>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</si>
  <si>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</si>
  <si>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</si>
  <si>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</si>
  <si>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</si>
  <si>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</si>
  <si>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</si>
  <si>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</si>
  <si>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</si>
  <si>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</si>
  <si>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</si>
  <si>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</si>
  <si>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</si>
  <si>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</si>
  <si>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</si>
  <si>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</si>
  <si>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</si>
  <si>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</si>
  <si>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</si>
  <si>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</si>
  <si>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</si>
  <si>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</si>
  <si>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</si>
  <si>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</si>
  <si>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</si>
  <si>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</si>
  <si>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</si>
  <si>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</si>
  <si>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</si>
  <si>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</si>
  <si>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</si>
  <si>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</si>
  <si>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</si>
  <si>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</si>
  <si>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</si>
  <si>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</si>
  <si>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</si>
  <si>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</si>
  <si>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</si>
  <si>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</si>
  <si>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</si>
  <si>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</si>
  <si>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</si>
  <si>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</si>
  <si>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</si>
  <si>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</si>
  <si>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</si>
  <si>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</si>
  <si>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</si>
  <si>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</si>
  <si>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</si>
  <si>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</si>
  <si>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</si>
  <si>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</si>
  <si>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</si>
  <si>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</si>
  <si>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</si>
  <si>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</si>
  <si>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</si>
  <si>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</si>
  <si>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</si>
  <si>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</si>
  <si>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</si>
  <si>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</si>
  <si>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</si>
  <si>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</si>
  <si>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</si>
  <si>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</si>
  <si>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</si>
  <si>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</si>
  <si>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</si>
  <si>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</si>
  <si>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</si>
  <si>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</si>
  <si>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</si>
  <si>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</si>
  <si>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</si>
  <si>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</si>
  <si>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</si>
  <si>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</si>
  <si>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</si>
  <si>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</si>
  <si>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</si>
  <si>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</si>
  <si>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</si>
  <si>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</si>
  <si>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</si>
  <si>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</si>
  <si>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</si>
  <si>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</si>
  <si>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</si>
  <si>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</si>
  <si>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</si>
  <si>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</si>
  <si>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</si>
  <si>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</si>
  <si>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</si>
  <si>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</si>
  <si>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</si>
  <si>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</si>
  <si>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</si>
  <si>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</si>
  <si>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</si>
  <si>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</si>
  <si>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</si>
  <si>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</si>
  <si>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</si>
  <si>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</si>
  <si>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</si>
  <si>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</si>
  <si>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</si>
  <si>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</si>
  <si>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</si>
  <si>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</si>
  <si>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</si>
  <si>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</si>
  <si>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</si>
  <si>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</si>
  <si>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</si>
  <si>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</si>
  <si>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</si>
  <si>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</si>
  <si>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</si>
  <si>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</si>
  <si>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</si>
  <si>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</si>
  <si>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</si>
  <si>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</si>
  <si>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</si>
  <si>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</si>
  <si>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</si>
  <si>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</si>
  <si>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</si>
  <si>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</si>
  <si>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</si>
  <si>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</si>
  <si>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</si>
  <si>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</si>
  <si>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</si>
  <si>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</si>
  <si>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</si>
  <si>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</si>
  <si>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</si>
  <si>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</si>
  <si>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</si>
  <si>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</si>
  <si>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</si>
  <si>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</si>
  <si>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</si>
  <si>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</si>
  <si>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</si>
  <si>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</si>
  <si>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</si>
  <si>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</si>
  <si>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</si>
  <si>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</si>
  <si>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</si>
  <si>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</si>
  <si>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</si>
  <si>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</si>
  <si>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</si>
  <si>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</si>
  <si>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</si>
  <si>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</si>
  <si>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</si>
  <si>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</si>
  <si>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</si>
  <si>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</si>
  <si>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</si>
  <si>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</si>
  <si>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</si>
  <si>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</si>
  <si>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</si>
  <si>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</si>
  <si>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</si>
  <si>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</si>
  <si>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</si>
  <si>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</si>
  <si>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</si>
  <si>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</si>
  <si>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</si>
  <si>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</si>
  <si>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</si>
  <si>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</si>
  <si>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</si>
  <si>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</si>
  <si>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</si>
  <si>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</si>
  <si>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</si>
  <si>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</si>
  <si>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</si>
  <si>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</si>
  <si>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</si>
  <si>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</si>
  <si>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</si>
  <si>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</si>
  <si>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</si>
  <si>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</si>
  <si>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</si>
  <si>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</si>
  <si>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</si>
  <si>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</si>
  <si>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</si>
  <si>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</si>
  <si>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</si>
  <si>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</si>
  <si>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</si>
  <si>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</si>
  <si>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</si>
  <si>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</si>
  <si>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</si>
  <si>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</si>
  <si>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</si>
  <si>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</si>
  <si>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</si>
  <si>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</si>
  <si>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</si>
  <si>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</si>
  <si>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</si>
  <si>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</si>
  <si>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</si>
  <si>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</si>
  <si>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</si>
  <si>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</si>
  <si>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</si>
  <si>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</si>
  <si>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</si>
  <si>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</si>
  <si>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</si>
  <si>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</si>
  <si>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</si>
  <si>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</si>
  <si>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</si>
  <si>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</si>
  <si>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</si>
  <si>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</si>
  <si>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</si>
  <si>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</si>
  <si>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</si>
  <si>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</si>
  <si>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</si>
  <si>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</si>
  <si>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</si>
  <si>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</si>
  <si>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</si>
  <si>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</si>
  <si>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</si>
  <si>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</si>
  <si>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</si>
  <si>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</si>
  <si>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</si>
  <si>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</si>
  <si>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</si>
  <si>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</si>
  <si>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</si>
  <si>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</si>
  <si>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</si>
  <si>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</si>
  <si>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</si>
  <si>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</si>
  <si>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</si>
  <si>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</si>
  <si>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</si>
  <si>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</si>
  <si>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</si>
  <si>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</si>
  <si>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</si>
  <si>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</si>
  <si>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</si>
  <si>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</si>
  <si>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</si>
  <si>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</si>
  <si>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</si>
  <si>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</si>
  <si>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</si>
  <si>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</si>
  <si>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</si>
  <si>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</si>
  <si>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</si>
  <si>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</si>
  <si>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</si>
  <si>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</si>
  <si>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</si>
  <si>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</si>
  <si>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</si>
  <si>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</si>
  <si>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</si>
  <si>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</si>
  <si>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</si>
  <si>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</si>
  <si>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</si>
  <si>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</si>
  <si>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</si>
  <si>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</si>
  <si>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</si>
  <si>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</si>
  <si>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</si>
  <si>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</si>
  <si>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</si>
  <si>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</si>
  <si>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</si>
  <si>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</si>
  <si>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</si>
  <si>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</si>
  <si>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</si>
  <si>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</si>
  <si>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</si>
  <si>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</si>
  <si>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</si>
  <si>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</si>
  <si>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</si>
  <si>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</si>
  <si>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</si>
  <si>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</si>
  <si>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</si>
  <si>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</si>
  <si>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</si>
  <si>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</si>
  <si>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</si>
  <si>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</si>
  <si>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</si>
  <si>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</si>
  <si>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</si>
  <si>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</si>
  <si>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</si>
  <si>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</si>
  <si>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</si>
  <si>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</si>
  <si>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</si>
  <si>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</si>
  <si>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</si>
  <si>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</si>
  <si>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</si>
  <si>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</si>
  <si>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</si>
  <si>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</si>
  <si>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</si>
  <si>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</si>
  <si>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</si>
  <si>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</si>
  <si>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</si>
  <si>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</si>
  <si>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</si>
  <si>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</si>
  <si>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</si>
  <si>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</si>
  <si>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</si>
  <si>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</si>
  <si>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</si>
  <si>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</si>
  <si>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</si>
  <si>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</si>
  <si>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</si>
  <si>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</si>
  <si>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</si>
  <si>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</si>
  <si>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</si>
  <si>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</si>
  <si>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</si>
  <si>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</si>
  <si>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</si>
  <si>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</si>
  <si>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</si>
  <si>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</si>
  <si>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</si>
  <si>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</si>
  <si>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</si>
  <si>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</si>
  <si>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</si>
  <si>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</si>
  <si>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</si>
  <si>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</si>
  <si>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</si>
  <si>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</si>
  <si>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</si>
  <si>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</si>
  <si>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</si>
  <si>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</si>
  <si>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</si>
  <si>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</si>
  <si>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</si>
  <si>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</si>
  <si>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</si>
  <si>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</si>
  <si>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</si>
  <si>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</si>
  <si>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</si>
  <si>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</si>
  <si>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</si>
  <si>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</si>
  <si>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</si>
  <si>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</si>
  <si>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</si>
  <si>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</si>
  <si>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</si>
  <si>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</si>
  <si>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</si>
  <si>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</si>
  <si>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</si>
  <si>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</si>
  <si>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</si>
  <si>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</si>
  <si>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</si>
  <si>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</si>
  <si>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</si>
  <si>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</si>
  <si>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</si>
  <si>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</si>
  <si>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</si>
  <si>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</si>
  <si>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</si>
  <si>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</si>
  <si>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</si>
  <si>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</si>
  <si>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</si>
  <si>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</si>
  <si>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</si>
  <si>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</si>
  <si>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</si>
  <si>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</si>
  <si>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</si>
  <si>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</si>
  <si>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</si>
  <si>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</si>
  <si>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</si>
  <si>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</si>
  <si>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</si>
  <si>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</si>
  <si>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</si>
  <si>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</si>
  <si>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</si>
  <si>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</si>
  <si>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</si>
  <si>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</si>
  <si>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</si>
  <si>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</si>
  <si>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</si>
  <si>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</si>
  <si>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</si>
  <si>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</si>
  <si>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</si>
  <si>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</si>
  <si>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</si>
  <si>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</si>
  <si>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</si>
  <si>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</si>
  <si>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</si>
  <si>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</si>
  <si>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</si>
  <si>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</si>
  <si>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</si>
  <si>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</si>
  <si>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</si>
  <si>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</si>
  <si>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</si>
  <si>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</si>
  <si>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</si>
  <si>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</si>
  <si>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</si>
  <si>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</si>
  <si>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</si>
  <si>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</si>
  <si>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</si>
  <si>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</si>
  <si>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</si>
  <si>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</si>
  <si>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</si>
  <si>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</si>
  <si>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</si>
  <si>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</si>
  <si>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</si>
  <si>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</si>
  <si>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</si>
  <si>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</si>
  <si>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</si>
  <si>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</si>
  <si>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</si>
  <si>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</si>
  <si>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</si>
  <si>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</si>
  <si>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</si>
  <si>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</si>
  <si>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</si>
  <si>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</si>
  <si>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</si>
  <si>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</si>
  <si>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</si>
  <si>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</si>
  <si>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</si>
  <si>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</si>
  <si>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</si>
  <si>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</si>
  <si>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</si>
  <si>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</si>
  <si>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</si>
  <si>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</si>
  <si>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</si>
  <si>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</si>
  <si>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</si>
  <si>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</si>
  <si>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</si>
  <si>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</si>
  <si>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</si>
  <si>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</si>
  <si>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</si>
  <si>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</si>
  <si>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</si>
  <si>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</si>
  <si>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</si>
  <si>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</si>
  <si>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</si>
  <si>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</si>
  <si>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</si>
  <si>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</si>
  <si>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</si>
  <si>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</si>
  <si>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</si>
  <si>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</si>
  <si>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</si>
  <si>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</si>
  <si>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</si>
  <si>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</si>
  <si>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</si>
  <si>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</si>
  <si>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</si>
  <si>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</si>
  <si>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</si>
  <si>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</si>
  <si>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</si>
  <si>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</si>
  <si>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</si>
  <si>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</si>
  <si>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</si>
  <si>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</si>
  <si>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</si>
  <si>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</si>
  <si>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</si>
  <si>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</si>
  <si>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</si>
  <si>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</si>
  <si>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</si>
  <si>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</si>
  <si>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</si>
  <si>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</si>
  <si>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</si>
  <si>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</si>
  <si>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</si>
  <si>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</si>
  <si>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</si>
  <si>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</si>
  <si>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</si>
  <si>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</si>
  <si>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</si>
  <si>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</si>
  <si>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</si>
  <si>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</si>
  <si>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</si>
  <si>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</si>
  <si>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</si>
  <si>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</si>
  <si>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</si>
  <si>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</si>
  <si>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</si>
  <si>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</si>
  <si>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</si>
  <si>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</si>
  <si>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</si>
  <si>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</si>
  <si>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</si>
  <si>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</si>
  <si>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</si>
  <si>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</si>
  <si>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</si>
  <si>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</si>
  <si>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</si>
  <si>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</si>
  <si>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</si>
  <si>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</si>
  <si>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</si>
  <si>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</si>
  <si>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</si>
  <si>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</si>
  <si>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</si>
  <si>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</si>
  <si>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</si>
  <si>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</si>
  <si>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</si>
  <si>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</si>
  <si>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</si>
  <si>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</si>
  <si>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</si>
  <si>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</si>
  <si>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</si>
  <si>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</si>
  <si>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</si>
  <si>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</si>
  <si>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</si>
  <si>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</si>
  <si>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</si>
  <si>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</si>
  <si>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</si>
  <si>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</si>
  <si>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</si>
  <si>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</si>
  <si>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</si>
  <si>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</si>
  <si>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</si>
  <si>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</si>
  <si>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</si>
  <si>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</si>
  <si>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</si>
  <si>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</si>
  <si>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</si>
  <si>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</si>
  <si>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</si>
  <si>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</si>
  <si>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</si>
  <si>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</si>
  <si>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</si>
  <si>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</si>
  <si>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</si>
  <si>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</si>
  <si>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</si>
  <si>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</si>
  <si>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</si>
  <si>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</si>
  <si>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</si>
  <si>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</si>
  <si>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</si>
  <si>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</si>
  <si>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</si>
  <si>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</si>
  <si>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</si>
  <si>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</si>
  <si>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</si>
  <si>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</si>
  <si>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</si>
  <si>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</si>
  <si>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</si>
  <si>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</si>
  <si>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</si>
  <si>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</si>
  <si>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</si>
  <si>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</si>
  <si>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</si>
  <si>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</si>
  <si>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</si>
  <si>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</si>
  <si>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</si>
  <si>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</si>
  <si>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</si>
  <si>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</si>
  <si>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</si>
  <si>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</si>
  <si>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</si>
  <si>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</si>
  <si>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</si>
  <si>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</si>
  <si>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</si>
  <si>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</si>
  <si>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</si>
  <si>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</si>
  <si>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</si>
  <si>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</si>
  <si>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</si>
  <si>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</si>
  <si>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</si>
  <si>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</si>
  <si>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</si>
  <si>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</si>
  <si>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</si>
  <si>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</si>
  <si>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</si>
  <si>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</si>
  <si>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</si>
  <si>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</si>
  <si>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</si>
  <si>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</si>
  <si>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</si>
  <si>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</si>
  <si>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</si>
  <si>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</si>
  <si>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</si>
  <si>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</si>
  <si>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</si>
  <si>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</si>
  <si>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</si>
  <si>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</si>
  <si>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</si>
  <si>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</si>
  <si>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</si>
  <si>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</si>
  <si>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</si>
  <si>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</si>
  <si>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</si>
  <si>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</si>
  <si>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</si>
  <si>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</si>
  <si>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</si>
  <si>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</si>
  <si>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</si>
  <si>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</si>
  <si>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</si>
  <si>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</si>
  <si>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</si>
  <si>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</si>
  <si>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</si>
  <si>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</si>
  <si>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</si>
  <si>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</si>
  <si>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</si>
  <si>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</si>
  <si>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</si>
  <si>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</si>
  <si>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</si>
  <si>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</si>
  <si>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</si>
  <si>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</si>
  <si>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</si>
  <si>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</si>
  <si>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</si>
  <si>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</si>
  <si>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</si>
  <si>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</si>
  <si>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</si>
  <si>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</si>
  <si>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</si>
  <si>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</si>
  <si>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</si>
  <si>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</si>
  <si>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</si>
  <si>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</si>
  <si>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</si>
  <si>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</si>
  <si>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</si>
  <si>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</si>
  <si>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</si>
  <si>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</si>
  <si>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</si>
  <si>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</si>
  <si>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</si>
  <si>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</si>
  <si>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</si>
  <si>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</si>
  <si>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</si>
  <si>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</si>
  <si>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</si>
  <si>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</si>
  <si>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</si>
  <si>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</si>
  <si>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</si>
  <si>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</si>
  <si>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</si>
  <si>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</si>
  <si>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</si>
  <si>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</si>
  <si>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</si>
  <si>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</si>
  <si>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</si>
  <si>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</si>
  <si>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</si>
  <si>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</si>
  <si>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</si>
  <si>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</si>
  <si>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</si>
  <si>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</si>
  <si>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</si>
  <si>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</si>
  <si>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</si>
  <si>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</si>
  <si>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</si>
  <si>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</si>
  <si>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</si>
  <si>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</si>
  <si>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</si>
  <si>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</si>
  <si>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</si>
  <si>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</si>
  <si>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</si>
  <si>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</si>
  <si>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</si>
  <si>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</si>
  <si>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</si>
  <si>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</si>
  <si>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</si>
  <si>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</si>
  <si>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</si>
  <si>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</si>
  <si>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</si>
  <si>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</si>
  <si>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</si>
  <si>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</si>
  <si>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</si>
  <si>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</si>
  <si>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</si>
  <si>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</si>
  <si>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</si>
  <si>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</si>
  <si>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</si>
  <si>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</si>
  <si>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</si>
  <si>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</si>
  <si>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</si>
  <si>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</si>
  <si>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</si>
  <si>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</si>
  <si>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</si>
  <si>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</si>
  <si>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</si>
  <si>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</si>
  <si>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</si>
  <si>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</si>
  <si>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</si>
  <si>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</si>
  <si>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</si>
  <si>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</si>
  <si>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</si>
  <si>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</si>
  <si>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</si>
  <si>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</si>
  <si>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</si>
  <si>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</si>
  <si>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</si>
  <si>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</si>
  <si>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</si>
  <si>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</si>
  <si>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</si>
  <si>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</si>
  <si>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</si>
  <si>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</si>
  <si>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</si>
  <si>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</si>
  <si>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</si>
  <si>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</si>
  <si>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</si>
  <si>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</si>
  <si>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</si>
  <si>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</si>
  <si>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</si>
  <si>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</si>
  <si>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</si>
  <si>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</si>
  <si>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</si>
  <si>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</si>
  <si>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</si>
  <si>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</si>
  <si>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</si>
  <si>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</si>
  <si>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</si>
  <si>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</si>
  <si>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</si>
  <si>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</si>
  <si>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</si>
  <si>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</si>
  <si>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</si>
  <si>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</si>
  <si>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</si>
  <si>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</si>
  <si>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</si>
  <si>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</si>
  <si>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</si>
  <si>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</si>
  <si>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</si>
  <si>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</si>
  <si>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</si>
  <si>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</si>
  <si>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</si>
  <si>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</si>
  <si>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</si>
  <si>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</si>
  <si>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</si>
  <si>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</si>
  <si>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</si>
  <si>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</si>
  <si>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</si>
  <si>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</si>
  <si>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</si>
  <si>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</si>
  <si>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</si>
  <si>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</si>
  <si>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</si>
  <si>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</si>
  <si>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</si>
  <si>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</si>
  <si>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</si>
  <si>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</si>
  <si>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</si>
  <si>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</si>
  <si>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</si>
  <si>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</si>
  <si>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</si>
  <si>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</si>
  <si>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</si>
  <si>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</si>
  <si>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</si>
  <si>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</si>
  <si>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</si>
  <si>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</si>
  <si>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</si>
  <si>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</si>
  <si>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</si>
  <si>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</si>
  <si>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</si>
  <si>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</si>
  <si>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</si>
  <si>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</si>
  <si>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</si>
  <si>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</si>
  <si>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</si>
  <si>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</si>
  <si>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</si>
  <si>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</si>
  <si>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</si>
  <si>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</si>
  <si>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</si>
  <si>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</si>
  <si>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</si>
  <si>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</si>
  <si>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</si>
  <si>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</si>
  <si>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</si>
  <si>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</si>
  <si>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</si>
  <si>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</si>
  <si>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</si>
  <si>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</si>
  <si>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</si>
  <si>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</si>
  <si>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</si>
  <si>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</si>
  <si>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</si>
  <si>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</si>
  <si>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</si>
  <si>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</si>
  <si>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</si>
  <si>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</si>
  <si>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</si>
  <si>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</si>
  <si>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</si>
  <si>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</si>
  <si>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</si>
  <si>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</si>
  <si>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</si>
  <si>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</si>
  <si>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</si>
  <si>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</si>
  <si>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</si>
  <si>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</si>
  <si>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</si>
  <si>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</si>
  <si>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</si>
  <si>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</si>
  <si>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</si>
  <si>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</si>
  <si>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</si>
  <si>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</si>
  <si>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</si>
  <si>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</si>
  <si>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</si>
  <si>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</si>
  <si>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</si>
  <si>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</si>
  <si>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</si>
  <si>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</si>
  <si>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</si>
  <si>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</si>
  <si>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</si>
  <si>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</si>
  <si>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</si>
  <si>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</si>
  <si>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</si>
  <si>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</si>
  <si>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</si>
  <si>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</si>
  <si>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</si>
  <si>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</si>
  <si>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</si>
  <si>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</si>
  <si>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</si>
  <si>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</si>
  <si>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</si>
  <si>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</si>
  <si>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</si>
  <si>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</si>
  <si>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</si>
  <si>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</si>
  <si>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</si>
  <si>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</si>
  <si>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</si>
  <si>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</si>
  <si>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</si>
  <si>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</si>
  <si>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</si>
  <si>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</si>
  <si>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</si>
  <si>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</si>
  <si>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</si>
  <si>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</si>
  <si>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</si>
  <si>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</si>
  <si>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</si>
  <si>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</si>
  <si>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</si>
  <si>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</si>
  <si>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</si>
  <si>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</si>
  <si>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</si>
  <si>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</si>
  <si>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</si>
  <si>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</si>
  <si>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</si>
  <si>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</si>
  <si>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</si>
  <si>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</si>
  <si>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</si>
  <si>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</si>
  <si>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</si>
  <si>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</si>
  <si>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</si>
  <si>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</si>
  <si>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</si>
  <si>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</si>
  <si>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</si>
  <si>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</si>
  <si>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</si>
  <si>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</si>
  <si>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</si>
  <si>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</si>
  <si>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</si>
  <si>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</si>
  <si>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</si>
  <si>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</si>
  <si>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</si>
  <si>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</si>
  <si>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</si>
  <si>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</si>
  <si>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</si>
  <si>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</si>
  <si>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</si>
  <si>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</si>
  <si>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</si>
  <si>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</si>
  <si>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</si>
  <si>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</si>
  <si>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</si>
  <si>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</si>
  <si>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</si>
  <si>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</si>
  <si>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</si>
  <si>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</si>
  <si>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</si>
  <si>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</si>
  <si>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</si>
  <si>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</si>
  <si>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</si>
  <si>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</si>
  <si>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</si>
  <si>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</si>
  <si>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</si>
  <si>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</si>
  <si>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</si>
  <si>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</si>
  <si>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</si>
  <si>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</si>
  <si>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</si>
  <si>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</si>
  <si>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</si>
  <si>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</si>
  <si>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</si>
  <si>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</si>
  <si>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</si>
  <si>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</si>
  <si>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</si>
  <si>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</si>
  <si>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</si>
  <si>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</si>
  <si>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</si>
  <si>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</si>
  <si>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</si>
  <si>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</si>
  <si>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</si>
  <si>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</si>
  <si>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</si>
  <si>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</si>
  <si>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</si>
  <si>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</si>
  <si>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</si>
  <si>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</si>
  <si>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</si>
  <si>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</si>
  <si>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</si>
  <si>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</si>
  <si>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</si>
  <si>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</si>
  <si>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</si>
  <si>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</si>
  <si>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</si>
  <si>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</si>
  <si>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</si>
  <si>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</si>
  <si>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</si>
  <si>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</si>
  <si>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</si>
  <si>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</si>
  <si>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</si>
  <si>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</si>
  <si>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</si>
  <si>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</si>
  <si>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</si>
  <si>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</si>
  <si>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</si>
  <si>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</si>
  <si>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</si>
  <si>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</si>
  <si>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</si>
  <si>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</si>
  <si>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</si>
  <si>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</si>
  <si>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</si>
  <si>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</si>
  <si>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</si>
  <si>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</si>
  <si>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</si>
  <si>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</si>
  <si>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</si>
  <si>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</si>
  <si>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</si>
  <si>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</si>
  <si>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</si>
  <si>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</si>
  <si>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</si>
  <si>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</si>
  <si>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</si>
  <si>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</si>
  <si>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</si>
  <si>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</si>
  <si>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</si>
  <si>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</si>
  <si>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</si>
  <si>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</si>
  <si>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</si>
  <si>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</si>
  <si>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</si>
  <si>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</si>
  <si>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</si>
  <si>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</si>
  <si>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</si>
  <si>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</si>
  <si>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</si>
  <si>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</si>
  <si>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</si>
  <si>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</si>
  <si>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</si>
  <si>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</si>
  <si>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</si>
  <si>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</si>
  <si>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</si>
  <si>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</si>
  <si>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</si>
  <si>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</si>
  <si>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</si>
  <si>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</si>
  <si>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</si>
  <si>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</si>
  <si>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</si>
  <si>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</si>
  <si>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</si>
  <si>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</si>
  <si>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</si>
  <si>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</si>
  <si>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</si>
  <si>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</si>
  <si>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</si>
  <si>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</si>
  <si>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</si>
  <si>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</si>
  <si>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</si>
  <si>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</si>
  <si>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</si>
  <si>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</si>
  <si>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</si>
  <si>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</si>
  <si>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</si>
  <si>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</si>
  <si>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</si>
  <si>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</si>
  <si>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</si>
  <si>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</si>
  <si>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</si>
  <si>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</si>
  <si>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</si>
  <si>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</si>
  <si>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</si>
  <si>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</si>
  <si>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</si>
  <si>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</si>
  <si>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</si>
  <si>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</si>
  <si>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</si>
  <si>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</si>
  <si>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</si>
  <si>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</si>
  <si>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</si>
  <si>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</si>
  <si>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</si>
  <si>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</si>
  <si>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</si>
  <si>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</si>
  <si>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</si>
  <si>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</si>
  <si>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</si>
  <si>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</si>
  <si>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</si>
  <si>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</si>
  <si>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</si>
  <si>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</si>
  <si>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</si>
  <si>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</si>
  <si>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</si>
  <si>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</si>
  <si>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</si>
  <si>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</si>
  <si>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</si>
  <si>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</si>
  <si>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</si>
  <si>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</si>
  <si>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</si>
  <si>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</si>
  <si>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</si>
  <si>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</si>
  <si>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</si>
  <si>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</si>
  <si>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</si>
  <si>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</si>
  <si>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</si>
  <si>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</si>
  <si>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</si>
  <si>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</si>
  <si>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</si>
  <si>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</si>
  <si>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</si>
  <si>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</si>
  <si>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</si>
  <si>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</si>
  <si>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</si>
  <si>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</si>
  <si>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</si>
  <si>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</si>
  <si>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</si>
  <si>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</si>
  <si>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</si>
  <si>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</si>
  <si>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</si>
  <si>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</si>
  <si>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</si>
  <si>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</si>
  <si>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</si>
  <si>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</si>
  <si>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</si>
  <si>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</si>
  <si>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</si>
  <si>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</si>
  <si>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</si>
  <si>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</si>
  <si>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</si>
  <si>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</si>
  <si>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</si>
  <si>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</si>
  <si>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</si>
  <si>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</si>
  <si>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</si>
  <si>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</si>
  <si>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</si>
  <si>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</si>
  <si>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</si>
  <si>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</si>
  <si>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</si>
  <si>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</si>
  <si>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</si>
  <si>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</si>
  <si>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</si>
  <si>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</si>
  <si>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</si>
  <si>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</si>
  <si>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</si>
  <si>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</si>
  <si>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</si>
  <si>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</si>
  <si>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</si>
  <si>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</si>
  <si>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</si>
  <si>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</si>
  <si>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</si>
  <si>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</si>
  <si>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</si>
  <si>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</si>
  <si>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</si>
  <si>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</si>
  <si>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</si>
  <si>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</si>
  <si>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</si>
  <si>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</si>
  <si>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</si>
  <si>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</si>
  <si>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</si>
  <si>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</si>
  <si>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</si>
  <si>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</si>
  <si>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</si>
  <si>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</si>
  <si>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</si>
  <si>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</si>
  <si>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</si>
  <si>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</si>
  <si>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</si>
  <si>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</si>
  <si>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</si>
  <si>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</si>
  <si>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</si>
  <si>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</si>
  <si>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</si>
  <si>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</si>
  <si>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</si>
  <si>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</si>
  <si>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</si>
  <si>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</si>
  <si>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</si>
  <si>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</si>
  <si>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</si>
  <si>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</si>
  <si>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</si>
  <si>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</si>
  <si>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</si>
  <si>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</si>
  <si>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</si>
  <si>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</si>
  <si>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</si>
  <si>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</si>
  <si>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</si>
  <si>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</si>
  <si>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</si>
  <si>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</si>
  <si>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</si>
  <si>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</si>
  <si>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</si>
  <si>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</si>
  <si>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</si>
  <si>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</si>
  <si>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</si>
  <si>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</si>
  <si>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</si>
  <si>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</si>
  <si>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</si>
  <si>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</si>
  <si>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</si>
  <si>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</si>
  <si>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</si>
  <si>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</si>
  <si>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</si>
  <si>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</si>
  <si>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</si>
  <si>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</si>
  <si>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</si>
  <si>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</si>
  <si>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</si>
  <si>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</si>
  <si>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</si>
  <si>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</si>
  <si>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</si>
  <si>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</si>
  <si>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</si>
  <si>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</si>
  <si>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</si>
  <si>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</si>
  <si>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</si>
  <si>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</si>
  <si>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</si>
  <si>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</si>
  <si>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</si>
  <si>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</si>
  <si>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</si>
  <si>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</si>
  <si>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</si>
  <si>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</si>
  <si>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</si>
  <si>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</si>
  <si>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</si>
  <si>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</si>
  <si>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</si>
  <si>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</si>
  <si>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</si>
  <si>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</si>
  <si>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</si>
  <si>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</si>
  <si>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</si>
  <si>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</si>
  <si>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</si>
  <si>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</si>
  <si>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</si>
  <si>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</si>
  <si>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</si>
  <si>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</si>
  <si>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</si>
  <si>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</si>
  <si>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</si>
  <si>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</si>
  <si>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</si>
  <si>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</si>
  <si>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</si>
  <si>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</si>
  <si>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</si>
  <si>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</si>
  <si>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</si>
  <si>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</si>
  <si>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</si>
  <si>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</si>
  <si>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</si>
  <si>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</si>
  <si>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</si>
  <si>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</si>
  <si>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</si>
  <si>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</si>
  <si>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</si>
  <si>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</si>
  <si>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</si>
  <si>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</si>
  <si>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</si>
  <si>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</si>
  <si>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</si>
  <si>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</si>
  <si>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</si>
  <si>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</si>
  <si>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</si>
  <si>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</si>
  <si>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</si>
  <si>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</si>
  <si>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</si>
  <si>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</si>
  <si>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</si>
  <si>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</si>
  <si>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</si>
  <si>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</si>
  <si>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</si>
  <si>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</si>
  <si>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</si>
  <si>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</si>
  <si>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</si>
  <si>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</si>
  <si>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</si>
  <si>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</si>
  <si>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</si>
  <si>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</si>
  <si>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</si>
  <si>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</si>
  <si>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</si>
  <si>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</si>
  <si>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</si>
  <si>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</si>
  <si>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</si>
  <si>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</si>
  <si>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</si>
  <si>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</si>
  <si>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</si>
  <si>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</si>
  <si>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</si>
  <si>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</si>
  <si>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</si>
  <si>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</si>
  <si>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</si>
  <si>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</si>
  <si>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</si>
  <si>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</si>
  <si>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</si>
  <si>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</si>
  <si>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</si>
  <si>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</si>
  <si>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</si>
  <si>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</si>
  <si>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</si>
  <si>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</si>
  <si>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</si>
  <si>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</si>
  <si>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</si>
  <si>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</si>
  <si>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</si>
  <si>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</si>
  <si>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</si>
  <si>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</si>
  <si>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</si>
  <si>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</si>
  <si>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</si>
  <si>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</si>
  <si>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</si>
  <si>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</si>
  <si>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</si>
  <si>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</si>
  <si>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</si>
  <si>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</si>
  <si>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</si>
  <si>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</si>
  <si>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</si>
  <si>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</si>
  <si>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</si>
  <si>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</si>
  <si>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</si>
  <si>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</si>
  <si>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</si>
  <si>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</si>
  <si>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</si>
  <si>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</si>
  <si>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</si>
  <si>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</si>
  <si>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</si>
  <si>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</si>
  <si>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</si>
  <si>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</si>
  <si>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</si>
  <si>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</si>
  <si>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</si>
  <si>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</si>
  <si>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</si>
  <si>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</si>
  <si>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</si>
  <si>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</si>
  <si>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</si>
  <si>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</si>
  <si>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</si>
  <si>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</si>
  <si>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</si>
  <si>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</si>
  <si>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</si>
  <si>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</si>
  <si>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</si>
  <si>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</si>
  <si>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</si>
  <si>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</si>
  <si>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</si>
  <si>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</si>
  <si>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</si>
  <si>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</si>
  <si>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</si>
  <si>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</si>
  <si>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</si>
  <si>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</si>
  <si>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</si>
  <si>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</si>
  <si>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</si>
  <si>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</si>
  <si>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</si>
  <si>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</si>
  <si>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</si>
  <si>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</si>
  <si>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</si>
  <si>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</si>
  <si>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</si>
  <si>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</si>
  <si>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</si>
  <si>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</si>
  <si>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</si>
  <si>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</si>
  <si>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</si>
  <si>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</si>
  <si>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</si>
  <si>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</si>
  <si>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</si>
  <si>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</si>
  <si>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</si>
  <si>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</si>
  <si>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</si>
  <si>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</si>
  <si>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</si>
  <si>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</si>
  <si>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</si>
  <si>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</si>
  <si>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</si>
  <si>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</si>
  <si>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</si>
  <si>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</si>
  <si>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</si>
  <si>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</si>
  <si>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</si>
  <si>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</si>
  <si>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</si>
  <si>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</si>
  <si>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</si>
  <si>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</si>
  <si>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</si>
  <si>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</si>
  <si>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</si>
  <si>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</si>
  <si>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</si>
  <si>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</si>
  <si>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</si>
  <si>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</si>
  <si>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</si>
  <si>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</si>
  <si>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</si>
  <si>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</si>
  <si>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</si>
  <si>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</si>
  <si>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</si>
  <si>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</si>
  <si>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</si>
  <si>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</si>
  <si>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</si>
  <si>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</si>
  <si>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</si>
  <si>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</si>
  <si>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</si>
  <si>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</si>
  <si>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</si>
  <si>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</si>
  <si>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</si>
  <si>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</si>
  <si>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</si>
  <si>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</si>
  <si>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</si>
  <si>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</si>
  <si>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</si>
  <si>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</si>
  <si>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</si>
  <si>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</si>
  <si>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</si>
  <si>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</si>
  <si>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</si>
  <si>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</si>
  <si>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</si>
  <si>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</si>
  <si>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</si>
  <si>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</si>
  <si>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</si>
  <si>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</si>
  <si>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</si>
  <si>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</si>
  <si>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</si>
  <si>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</si>
  <si>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</si>
  <si>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</si>
  <si>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</si>
  <si>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</si>
  <si>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</si>
  <si>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</si>
  <si>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</si>
  <si>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</si>
  <si>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</si>
  <si>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</si>
  <si>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</si>
  <si>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</si>
  <si>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</si>
  <si>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</si>
  <si>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</si>
  <si>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</si>
  <si>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</si>
  <si>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</si>
  <si>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</si>
  <si>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</si>
  <si>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</si>
  <si>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</si>
  <si>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</si>
  <si>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</si>
  <si>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</si>
  <si>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</si>
  <si>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</si>
  <si>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</si>
  <si>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</si>
  <si>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</si>
  <si>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</si>
  <si>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</si>
  <si>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</si>
  <si>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</si>
  <si>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</si>
  <si>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</si>
  <si>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</si>
  <si>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</si>
  <si>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</si>
  <si>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</si>
  <si>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</si>
  <si>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</si>
  <si>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</si>
  <si>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</si>
  <si>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</si>
  <si>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</si>
  <si>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</si>
  <si>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</si>
  <si>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</si>
  <si>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</si>
  <si>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</si>
  <si>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</si>
  <si>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</si>
  <si>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</si>
  <si>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</si>
  <si>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</si>
  <si>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</si>
  <si>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</si>
  <si>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</si>
  <si>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</si>
  <si>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</si>
  <si>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</si>
  <si>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</si>
  <si>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</si>
  <si>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</si>
  <si>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</si>
  <si>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</si>
  <si>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</si>
  <si>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</si>
  <si>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</si>
  <si>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</si>
  <si>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</si>
  <si>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</si>
  <si>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</si>
  <si>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</si>
  <si>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</si>
  <si>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</si>
  <si>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</si>
  <si>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</si>
  <si>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</si>
  <si>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</si>
  <si>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</si>
  <si>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</si>
  <si>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</si>
  <si>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</si>
  <si>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</si>
  <si>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</si>
  <si>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</si>
  <si>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</si>
  <si>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</si>
  <si>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</si>
  <si>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</si>
  <si>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</si>
  <si>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</si>
  <si>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</si>
  <si>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</si>
  <si>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</si>
  <si>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</si>
  <si>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</si>
  <si>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</si>
  <si>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</si>
  <si>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</si>
  <si>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</si>
  <si>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</si>
  <si>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</si>
  <si>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</si>
  <si>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</si>
  <si>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</si>
  <si>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</si>
  <si>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</si>
  <si>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</si>
  <si>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</si>
  <si>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</si>
  <si>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</si>
  <si>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</si>
  <si>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</si>
  <si>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</si>
  <si>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</si>
  <si>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</si>
  <si>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</si>
  <si>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</si>
  <si>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</si>
  <si>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</si>
  <si>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</si>
  <si>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</si>
  <si>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</si>
  <si>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</si>
  <si>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</si>
  <si>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</si>
  <si>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</si>
  <si>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</si>
  <si>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</si>
  <si>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</si>
  <si>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</si>
  <si>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</si>
  <si>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</si>
  <si>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</si>
  <si>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</si>
  <si>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</si>
  <si>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</si>
  <si>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</si>
  <si>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</si>
  <si>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</si>
  <si>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</si>
  <si>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</si>
  <si>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</si>
  <si>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</si>
  <si>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</si>
  <si>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</si>
  <si>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</si>
  <si>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</si>
  <si>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</si>
  <si>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</si>
  <si>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</si>
  <si>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</si>
  <si>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</si>
  <si>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</si>
  <si>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</si>
  <si>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</si>
  <si>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</si>
  <si>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</si>
  <si>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</si>
  <si>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</si>
  <si>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</si>
  <si>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</si>
  <si>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</si>
  <si>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</si>
  <si>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</si>
  <si>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</si>
  <si>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</si>
  <si>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</si>
  <si>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</si>
  <si>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</si>
  <si>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</si>
  <si>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</si>
  <si>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</si>
  <si>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</si>
  <si>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</si>
  <si>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</si>
  <si>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</si>
  <si>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</si>
  <si>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</si>
  <si>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</si>
  <si>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</si>
  <si>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</si>
  <si>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</si>
  <si>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</si>
  <si>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</si>
  <si>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</si>
  <si>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</si>
  <si>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</si>
  <si>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</si>
  <si>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</si>
  <si>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</si>
  <si>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</si>
  <si>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</si>
  <si>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</si>
  <si>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</si>
  <si>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</si>
  <si>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</si>
  <si>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</si>
  <si>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</si>
  <si>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</si>
  <si>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</si>
  <si>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</si>
  <si>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</si>
  <si>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</si>
  <si>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</si>
  <si>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</si>
  <si>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</si>
  <si>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</si>
  <si>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</si>
  <si>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</si>
  <si>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</si>
  <si>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</si>
  <si>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</si>
  <si>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</si>
  <si>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</si>
  <si>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</si>
  <si>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</si>
  <si>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</si>
  <si>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</si>
  <si>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</si>
  <si>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</si>
  <si>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</si>
  <si>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</si>
  <si>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</si>
  <si>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</si>
  <si>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</si>
  <si>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</si>
  <si>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</si>
  <si>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</si>
  <si>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</si>
  <si>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</si>
  <si>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</si>
  <si>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</si>
  <si>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</si>
  <si>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</si>
  <si>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</si>
  <si>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</si>
  <si>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</si>
  <si>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</si>
  <si>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</si>
  <si>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</si>
  <si>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</si>
  <si>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</si>
  <si>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</si>
  <si>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</si>
  <si>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</si>
  <si>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</si>
  <si>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</si>
  <si>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</si>
  <si>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</si>
  <si>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</si>
  <si>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</si>
  <si>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</si>
  <si>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</si>
  <si>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</si>
  <si>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</si>
  <si>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</si>
  <si>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</si>
  <si>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</si>
  <si>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</si>
  <si>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</si>
  <si>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</si>
  <si>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</si>
  <si>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</si>
  <si>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</si>
  <si>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</si>
  <si>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</si>
  <si>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</si>
  <si>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</si>
  <si>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</si>
  <si>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</si>
  <si>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</si>
  <si>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</si>
  <si>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</si>
  <si>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</si>
  <si>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</si>
  <si>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</si>
  <si>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</si>
  <si>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</si>
  <si>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</si>
  <si>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</si>
  <si>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</si>
  <si>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</si>
  <si>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</si>
  <si>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</si>
  <si>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</si>
  <si>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</si>
  <si>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</si>
  <si>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</si>
  <si>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</si>
  <si>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</si>
  <si>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</si>
  <si>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</si>
  <si>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</si>
  <si>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</si>
  <si>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</si>
  <si>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</si>
  <si>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</si>
  <si>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</si>
  <si>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</si>
  <si>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</si>
  <si>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</si>
  <si>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</si>
  <si>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</si>
  <si>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</si>
  <si>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</si>
  <si>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</si>
  <si>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</si>
  <si>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</si>
  <si>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</si>
  <si>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</si>
  <si>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</si>
  <si>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</si>
  <si>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</si>
  <si>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</si>
  <si>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</si>
  <si>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</si>
  <si>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</si>
  <si>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</si>
  <si>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</si>
  <si>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</si>
  <si>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</si>
  <si>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</si>
  <si>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</si>
  <si>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</si>
  <si>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</si>
  <si>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</si>
  <si>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</si>
  <si>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</si>
  <si>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</si>
  <si>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</si>
  <si>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</si>
  <si>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</si>
  <si>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</si>
  <si>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</si>
  <si>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</si>
  <si>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</si>
  <si>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</si>
  <si>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</si>
  <si>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</si>
  <si>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</si>
  <si>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</si>
  <si>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</si>
  <si>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</si>
  <si>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</si>
  <si>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</si>
  <si>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</si>
  <si>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</si>
  <si>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</si>
  <si>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</si>
  <si>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</si>
  <si>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</si>
  <si>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</si>
  <si>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</si>
  <si>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</si>
  <si>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</si>
  <si>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</si>
  <si>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</si>
  <si>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</si>
  <si>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</si>
  <si>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</si>
  <si>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</si>
  <si>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</si>
  <si>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</si>
  <si>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</si>
  <si>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</si>
  <si>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</si>
  <si>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</si>
  <si>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</si>
  <si>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</si>
  <si>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</si>
  <si>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</si>
  <si>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</si>
  <si>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</si>
  <si>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</si>
  <si>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</si>
  <si>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</si>
  <si>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</si>
  <si>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</si>
  <si>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</si>
  <si>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</si>
  <si>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</si>
  <si>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</si>
  <si>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</si>
  <si>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</si>
  <si>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</si>
  <si>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</si>
  <si>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</si>
  <si>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</si>
  <si>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</si>
  <si>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</si>
  <si>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</si>
  <si>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</si>
  <si>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</si>
  <si>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</si>
  <si>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</si>
  <si>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</si>
  <si>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</si>
  <si>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</si>
  <si>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</si>
  <si>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</si>
  <si>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</si>
  <si>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</si>
  <si>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</si>
  <si>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</si>
  <si>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</si>
  <si>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</si>
  <si>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</si>
  <si>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</si>
  <si>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</si>
  <si>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</si>
  <si>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</si>
  <si>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</si>
  <si>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</si>
  <si>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</si>
  <si>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</si>
  <si>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</si>
  <si>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</si>
  <si>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</si>
  <si>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</si>
  <si>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</si>
  <si>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</si>
  <si>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</si>
  <si>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</si>
  <si>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</si>
  <si>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</si>
  <si>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</si>
  <si>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</si>
  <si>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</si>
  <si>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</si>
  <si>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</si>
  <si>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</si>
  <si>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</si>
  <si>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</si>
  <si>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</si>
  <si>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</si>
  <si>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</si>
  <si>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</si>
  <si>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</si>
  <si>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</si>
  <si>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</si>
  <si>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</si>
  <si>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</si>
  <si>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</si>
  <si>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</si>
  <si>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</si>
  <si>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</si>
  <si>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</si>
  <si>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</si>
  <si>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</si>
  <si>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</si>
  <si>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</si>
  <si>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</si>
  <si>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</si>
  <si>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</si>
  <si>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</si>
  <si>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</si>
  <si>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</si>
  <si>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</si>
  <si>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</si>
  <si>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</si>
  <si>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</si>
  <si>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</si>
  <si>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</si>
  <si>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</si>
  <si>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</si>
  <si>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</si>
  <si>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</si>
  <si>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</si>
  <si>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</si>
  <si>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</si>
  <si>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</si>
  <si>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</si>
  <si>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</si>
  <si>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</si>
  <si>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</si>
  <si>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</si>
  <si>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</si>
  <si>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</si>
  <si>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</si>
  <si>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</si>
  <si>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</si>
  <si>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</si>
  <si>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</si>
  <si>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</si>
  <si>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</si>
  <si>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</si>
  <si>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</si>
  <si>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</si>
  <si>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</si>
  <si>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</si>
  <si>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</si>
  <si>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</si>
  <si>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</si>
  <si>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</si>
  <si>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</si>
  <si>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</si>
  <si>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</si>
  <si>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</si>
  <si>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</si>
  <si>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</si>
  <si>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</si>
  <si>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</si>
  <si>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</si>
  <si>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</si>
  <si>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</si>
  <si>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</si>
  <si>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</si>
  <si>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</si>
  <si>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</si>
  <si>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</si>
  <si>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</si>
  <si>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</si>
  <si>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</si>
  <si>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</si>
  <si>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</si>
  <si>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</si>
  <si>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</si>
  <si>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</si>
  <si>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</si>
  <si>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</si>
  <si>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</si>
  <si>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</si>
  <si>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</si>
  <si>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</si>
  <si>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</si>
  <si>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</si>
  <si>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</si>
  <si>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</si>
  <si>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</si>
  <si>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</si>
  <si>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</si>
  <si>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</si>
  <si>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</si>
  <si>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</si>
  <si>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</si>
  <si>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</si>
  <si>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</si>
  <si>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</si>
  <si>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</si>
  <si>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</si>
  <si>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</si>
  <si>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</si>
  <si>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</si>
  <si>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</si>
  <si>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</si>
  <si>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</si>
  <si>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</si>
  <si>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</si>
  <si>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</si>
  <si>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</si>
  <si>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</si>
  <si>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</si>
  <si>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</si>
  <si>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</si>
  <si>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</si>
  <si>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</si>
  <si>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</si>
  <si>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</si>
  <si>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</si>
  <si>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</si>
  <si>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</si>
  <si>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</si>
  <si>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</si>
  <si>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</si>
  <si>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</si>
  <si>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</si>
  <si>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</si>
  <si>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</si>
  <si>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</si>
  <si>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</si>
  <si>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</si>
  <si>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</si>
  <si>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</si>
  <si>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</si>
  <si>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</si>
  <si>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</si>
  <si>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</si>
  <si>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</si>
  <si>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</si>
  <si>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</si>
  <si>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</si>
  <si>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</si>
  <si>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</si>
  <si>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</si>
  <si>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</si>
  <si>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</si>
  <si>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</si>
  <si>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</si>
  <si>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</si>
  <si>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</si>
  <si>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</si>
  <si>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</si>
  <si>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</si>
  <si>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</si>
  <si>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</si>
  <si>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</si>
  <si>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</si>
  <si>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</si>
  <si>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</si>
  <si>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</si>
  <si>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</si>
  <si>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</si>
  <si>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</si>
  <si>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</si>
  <si>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</si>
  <si>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</si>
  <si>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</si>
  <si>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</si>
  <si>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</si>
  <si>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</si>
  <si>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</si>
  <si>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</si>
  <si>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</si>
  <si>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</si>
  <si>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</si>
  <si>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</si>
  <si>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</si>
  <si>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</si>
  <si>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</si>
  <si>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</si>
  <si>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</si>
  <si>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</si>
  <si>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</si>
  <si>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</si>
  <si>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</si>
  <si>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</si>
  <si>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</si>
  <si>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</si>
  <si>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</si>
  <si>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</si>
  <si>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</si>
  <si>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</si>
  <si>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</si>
  <si>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</si>
  <si>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</si>
  <si>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</si>
  <si>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</si>
  <si>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</si>
  <si>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</si>
  <si>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</si>
  <si>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</si>
  <si>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</si>
  <si>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</si>
  <si>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</si>
  <si>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</si>
  <si>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</si>
  <si>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</si>
  <si>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</si>
  <si>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</si>
  <si>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</si>
  <si>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</si>
  <si>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</si>
  <si>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</si>
  <si>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</si>
  <si>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</si>
  <si>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</si>
  <si>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</si>
  <si>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</si>
  <si>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</si>
  <si>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</si>
  <si>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</si>
  <si>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</si>
  <si>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</si>
  <si>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</si>
  <si>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</si>
  <si>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</si>
  <si>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</si>
  <si>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</si>
  <si>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</si>
  <si>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</si>
  <si>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</si>
  <si>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</si>
  <si>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</si>
  <si>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</si>
  <si>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</si>
  <si>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</si>
  <si>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</si>
  <si>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</si>
  <si>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</si>
  <si>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</si>
  <si>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</si>
  <si>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</si>
  <si>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</si>
  <si>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</si>
  <si>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</si>
  <si>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</si>
  <si>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</si>
  <si>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</si>
  <si>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</si>
  <si>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</si>
  <si>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</si>
  <si>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</si>
  <si>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</si>
  <si>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</si>
  <si>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</si>
  <si>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</si>
  <si>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</si>
  <si>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</si>
  <si>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</si>
  <si>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</si>
  <si>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</si>
  <si>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</si>
  <si>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</si>
  <si>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</si>
  <si>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</si>
  <si>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</si>
  <si>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</si>
  <si>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</si>
  <si>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</si>
  <si>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</si>
  <si>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</si>
  <si>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</si>
  <si>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</si>
  <si>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</si>
  <si>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</si>
  <si>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</si>
  <si>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</si>
  <si>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</si>
  <si>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</si>
  <si>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</si>
  <si>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</si>
  <si>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</si>
  <si>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</si>
  <si>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</si>
  <si>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</si>
  <si>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</si>
  <si>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</si>
  <si>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</si>
  <si>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</si>
  <si>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</si>
  <si>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</si>
  <si>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</si>
  <si>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</si>
  <si>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</si>
  <si>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</si>
  <si>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</si>
  <si>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</si>
  <si>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</si>
  <si>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</si>
  <si>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</si>
  <si>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</si>
  <si>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</si>
  <si>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</si>
  <si>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</si>
  <si>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</si>
  <si>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</si>
  <si>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</si>
  <si>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</si>
  <si>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</si>
  <si>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</si>
  <si>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</si>
  <si>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</si>
  <si>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</si>
  <si>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</si>
  <si>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</si>
  <si>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</si>
  <si>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</si>
  <si>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</si>
  <si>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</si>
  <si>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</si>
  <si>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</si>
  <si>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</si>
  <si>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</si>
  <si>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</si>
  <si>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</si>
  <si>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</si>
  <si>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</si>
  <si>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</si>
  <si>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</si>
  <si>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</si>
  <si>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</si>
  <si>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</si>
  <si>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</si>
  <si>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</si>
  <si>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</si>
  <si>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</si>
  <si>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</si>
  <si>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</si>
  <si>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</si>
  <si>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</si>
  <si>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</si>
  <si>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</si>
  <si>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</si>
  <si>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</si>
  <si>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</si>
  <si>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</si>
  <si>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</si>
  <si>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</si>
  <si>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</si>
  <si>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</si>
  <si>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</si>
  <si>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</si>
  <si>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</si>
  <si>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</si>
  <si>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</si>
  <si>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</si>
  <si>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</si>
  <si>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</si>
  <si>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</si>
  <si>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</si>
  <si>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</si>
  <si>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</si>
  <si>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</si>
  <si>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</si>
  <si>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</si>
  <si>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</si>
  <si>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</si>
  <si>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</si>
  <si>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</si>
  <si>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</si>
  <si>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</si>
  <si>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</si>
  <si>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</si>
  <si>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</si>
  <si>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</si>
  <si>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</si>
  <si>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</si>
  <si>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</si>
  <si>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</si>
  <si>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</si>
  <si>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</si>
  <si>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</si>
  <si>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</si>
  <si>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</si>
  <si>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</si>
  <si>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</si>
  <si>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</si>
  <si>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</si>
  <si>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</si>
  <si>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</si>
  <si>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</si>
  <si>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</si>
  <si>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</si>
  <si>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</si>
  <si>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</si>
  <si>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</si>
  <si>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</si>
  <si>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</si>
  <si>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</si>
  <si>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</si>
  <si>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</si>
  <si>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</si>
  <si>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</si>
  <si>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</si>
  <si>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</si>
  <si>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</si>
  <si>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</si>
  <si>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</si>
  <si>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</si>
  <si>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</si>
  <si>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</si>
  <si>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</si>
  <si>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</si>
  <si>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</si>
  <si>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</si>
  <si>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</si>
  <si>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</si>
  <si>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</si>
  <si>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</si>
  <si>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</si>
  <si>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</si>
  <si>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</si>
  <si>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</si>
  <si>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</si>
  <si>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</si>
  <si>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</si>
  <si>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</si>
  <si>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</si>
  <si>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</si>
  <si>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</si>
  <si>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</si>
  <si>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</si>
  <si>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</si>
  <si>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</si>
  <si>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</si>
  <si>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</si>
  <si>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</si>
  <si>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</si>
  <si>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</si>
  <si>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</si>
  <si>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</si>
  <si>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</si>
  <si>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</si>
  <si>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</si>
  <si>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</si>
  <si>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</si>
  <si>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</si>
  <si>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</si>
  <si>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</si>
  <si>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</si>
  <si>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</si>
  <si>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</si>
  <si>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</si>
  <si>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</si>
  <si>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</si>
  <si>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</si>
  <si>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</si>
  <si>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</si>
  <si>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</si>
  <si>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</si>
  <si>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</si>
  <si>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</si>
  <si>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</si>
  <si>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</si>
  <si>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</si>
  <si>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</si>
  <si>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</si>
  <si>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</si>
  <si>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</si>
  <si>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</si>
  <si>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</si>
  <si>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</si>
  <si>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</si>
  <si>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</si>
  <si>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</si>
  <si>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</si>
  <si>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</si>
  <si>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</si>
  <si>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</si>
  <si>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</si>
  <si>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</si>
  <si>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</si>
  <si>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</si>
  <si>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</si>
  <si>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</si>
  <si>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</si>
  <si>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</si>
  <si>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</si>
  <si>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</si>
  <si>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</si>
  <si>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</si>
  <si>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</si>
  <si>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</si>
  <si>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</si>
  <si>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</si>
  <si>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</si>
  <si>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</si>
  <si>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</si>
  <si>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</si>
  <si>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</si>
  <si>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</si>
  <si>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</si>
  <si>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</si>
  <si>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</si>
  <si>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</si>
  <si>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</si>
  <si>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</si>
  <si>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</si>
  <si>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</si>
  <si>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</si>
  <si>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</si>
  <si>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</si>
  <si>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</si>
  <si>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</si>
  <si>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</si>
  <si>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</si>
  <si>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</si>
  <si>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</si>
  <si>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</si>
  <si>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</si>
  <si>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</si>
  <si>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</si>
  <si>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</si>
  <si>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</si>
  <si>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</si>
  <si>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</si>
  <si>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</si>
  <si>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</si>
  <si>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</si>
  <si>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</si>
  <si>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</si>
  <si>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</si>
  <si>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</si>
  <si>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</si>
  <si>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</si>
  <si>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</si>
  <si>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</si>
  <si>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</si>
  <si>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</si>
  <si>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</si>
  <si>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</si>
  <si>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</si>
  <si>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</si>
  <si>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</si>
  <si>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</si>
  <si>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</si>
  <si>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</si>
  <si>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</si>
  <si>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</si>
  <si>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</si>
  <si>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</si>
  <si>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</si>
  <si>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</si>
  <si>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</si>
  <si>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</si>
  <si>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</si>
  <si>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</si>
  <si>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</si>
  <si>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</si>
  <si>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</si>
  <si>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</si>
  <si>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</si>
  <si>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</si>
  <si>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</si>
  <si>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</si>
  <si>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</si>
  <si>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</si>
  <si>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</si>
  <si>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</si>
  <si>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</si>
  <si>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</si>
  <si>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</si>
  <si>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</si>
  <si>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</si>
  <si>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</si>
  <si>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</si>
  <si>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</si>
  <si>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</si>
  <si>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</si>
  <si>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</si>
  <si>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</si>
  <si>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</si>
  <si>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</si>
  <si>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</si>
  <si>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</si>
  <si>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</si>
  <si>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</si>
  <si>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</si>
  <si>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</si>
  <si>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</si>
  <si>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</si>
  <si>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</si>
  <si>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</si>
  <si>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</si>
  <si>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</si>
  <si>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</si>
  <si>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</si>
  <si>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</si>
  <si>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</si>
  <si>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</si>
  <si>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</si>
  <si>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</si>
  <si>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</si>
  <si>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</si>
  <si>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</si>
  <si>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</si>
  <si>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</si>
  <si>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</si>
  <si>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</si>
  <si>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</si>
  <si>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</si>
  <si>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</si>
  <si>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</si>
  <si>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</si>
  <si>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</si>
  <si>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</si>
  <si>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</si>
  <si>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</si>
  <si>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</si>
  <si>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</si>
  <si>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</si>
  <si>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</si>
  <si>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</si>
  <si>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</si>
  <si>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</si>
  <si>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</si>
  <si>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</si>
  <si>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</si>
  <si>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</si>
  <si>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</si>
  <si>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</si>
  <si>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</si>
  <si>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</si>
  <si>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</si>
  <si>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</si>
  <si>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</si>
  <si>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</si>
  <si>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</si>
  <si>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</si>
  <si>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</si>
  <si>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</si>
  <si>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</si>
  <si>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</si>
  <si>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</si>
  <si>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</si>
  <si>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</si>
  <si>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</si>
  <si>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</si>
  <si>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</si>
  <si>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</si>
  <si>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</si>
  <si>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</si>
  <si>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</si>
  <si>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</si>
  <si>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</si>
  <si>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</si>
  <si>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</si>
  <si>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</si>
  <si>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</si>
  <si>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</si>
  <si>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</si>
  <si>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</si>
  <si>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</si>
  <si>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</si>
  <si>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</si>
  <si>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</si>
  <si>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</si>
  <si>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</si>
  <si>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</si>
  <si>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</si>
  <si>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</si>
  <si>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</si>
  <si>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</si>
  <si>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</si>
  <si>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</si>
  <si>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</si>
  <si>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</si>
  <si>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</si>
  <si>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</si>
  <si>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</si>
  <si>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</si>
  <si>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</si>
  <si>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</si>
  <si>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</si>
  <si>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</si>
  <si>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</si>
  <si>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</si>
  <si>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</si>
  <si>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</si>
  <si>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</si>
  <si>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</si>
  <si>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</si>
  <si>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</si>
  <si>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</si>
  <si>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</si>
  <si>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</si>
  <si>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</si>
  <si>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</si>
  <si>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</si>
  <si>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</si>
  <si>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</si>
  <si>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</si>
  <si>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</si>
  <si>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</si>
  <si>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</si>
  <si>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</si>
  <si>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</si>
  <si>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</si>
  <si>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</si>
  <si>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</si>
  <si>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</si>
  <si>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</si>
  <si>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</si>
  <si>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</si>
  <si>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</si>
  <si>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</si>
  <si>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</si>
  <si>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</si>
  <si>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</si>
  <si>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</si>
  <si>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</si>
  <si>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</si>
  <si>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</si>
  <si>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</si>
  <si>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</si>
  <si>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</si>
  <si>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</si>
  <si>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</si>
  <si>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</si>
  <si>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</si>
  <si>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</si>
  <si>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</si>
  <si>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</si>
  <si>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</si>
  <si>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</si>
  <si>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</si>
  <si>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</si>
  <si>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</si>
  <si>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</si>
  <si>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</si>
  <si>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</si>
  <si>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</si>
  <si>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</si>
  <si>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</si>
  <si>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</si>
  <si>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</si>
  <si>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</si>
  <si>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</si>
  <si>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</si>
  <si>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</si>
  <si>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</si>
  <si>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</si>
  <si>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</si>
  <si>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</si>
  <si>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</si>
  <si>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</si>
  <si>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</si>
  <si>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</si>
  <si>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</si>
  <si>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</si>
  <si>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</si>
  <si>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</si>
  <si>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</si>
  <si>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</si>
  <si>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</si>
  <si>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</si>
  <si>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</si>
  <si>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</si>
  <si>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</si>
  <si>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</si>
  <si>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</si>
  <si>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</si>
  <si>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</si>
  <si>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</si>
  <si>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</si>
  <si>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</si>
  <si>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</si>
  <si>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</si>
  <si>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</si>
  <si>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</si>
  <si>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</si>
  <si>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</si>
  <si>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</si>
  <si>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</si>
  <si>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</si>
  <si>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</si>
  <si>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</si>
  <si>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</si>
  <si>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</si>
  <si>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</si>
  <si>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</si>
  <si>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</si>
  <si>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</si>
  <si>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</si>
  <si>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</si>
  <si>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</si>
  <si>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</si>
  <si>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</si>
  <si>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</si>
  <si>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</si>
  <si>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</si>
  <si>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</si>
  <si>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</si>
  <si>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</si>
  <si>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</si>
  <si>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</si>
  <si>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</si>
  <si>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</si>
  <si>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</si>
  <si>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</si>
  <si>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</si>
  <si>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</si>
  <si>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</si>
  <si>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</si>
  <si>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</si>
  <si>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</si>
  <si>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</si>
  <si>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</si>
  <si>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</si>
  <si>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</si>
  <si>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</si>
  <si>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</si>
  <si>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</si>
  <si>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</si>
  <si>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</si>
  <si>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</si>
  <si>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</si>
  <si>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</si>
  <si>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</si>
  <si>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</si>
  <si>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</si>
  <si>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</si>
  <si>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</si>
  <si>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</si>
  <si>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</si>
  <si>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</si>
  <si>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</si>
  <si>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</si>
  <si>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</si>
  <si>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</si>
  <si>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</si>
  <si>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</si>
  <si>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</si>
  <si>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</si>
  <si>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</si>
  <si>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</si>
  <si>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</si>
  <si>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</si>
  <si>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</si>
  <si>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</si>
  <si>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</si>
  <si>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</si>
  <si>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</si>
  <si>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</si>
  <si>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</si>
  <si>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</si>
  <si>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</si>
  <si>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</si>
  <si>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</si>
  <si>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</si>
  <si>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</si>
  <si>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</si>
  <si>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</si>
  <si>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</si>
  <si>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</si>
  <si>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</si>
  <si>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</si>
  <si>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</si>
  <si>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</si>
  <si>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</si>
  <si>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</si>
  <si>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</si>
  <si>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</si>
  <si>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</si>
  <si>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</si>
  <si>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</si>
  <si>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</si>
  <si>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</si>
  <si>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</si>
  <si>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</si>
  <si>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</si>
  <si>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</si>
  <si>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</si>
  <si>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</si>
  <si>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</si>
  <si>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</si>
  <si>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</si>
  <si>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</si>
  <si>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</si>
  <si>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</si>
  <si>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</si>
  <si>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</si>
  <si>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</si>
  <si>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</si>
  <si>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</si>
  <si>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</si>
  <si>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</si>
  <si>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</si>
  <si>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</si>
  <si>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</si>
  <si>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</si>
  <si>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</si>
  <si>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</si>
  <si>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</si>
  <si>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</si>
  <si>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</si>
  <si>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</si>
  <si>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</si>
  <si>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</si>
  <si>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</si>
  <si>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</si>
  <si>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</si>
  <si>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</si>
  <si>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</si>
  <si>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</si>
  <si>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</si>
  <si>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</si>
  <si>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</si>
  <si>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</si>
  <si>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</si>
  <si>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</si>
  <si>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</si>
  <si>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</si>
  <si>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</si>
  <si>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</si>
  <si>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</si>
  <si>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</si>
  <si>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</si>
  <si>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</si>
  <si>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</si>
  <si>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</si>
  <si>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</si>
  <si>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</si>
  <si>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</si>
  <si>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</si>
  <si>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</si>
  <si>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</si>
  <si>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</si>
  <si>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</si>
  <si>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</si>
  <si>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</si>
  <si>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</si>
  <si>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</si>
  <si>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</si>
  <si>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</si>
  <si>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</si>
  <si>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</si>
  <si>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</si>
  <si>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</si>
  <si>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</si>
  <si>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</si>
  <si>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</si>
  <si>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</si>
  <si>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</si>
  <si>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</si>
  <si>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</si>
  <si>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</si>
  <si>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</si>
  <si>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</si>
  <si>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</si>
  <si>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</si>
  <si>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</si>
  <si>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</si>
  <si>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</si>
  <si>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</si>
  <si>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</si>
  <si>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</si>
  <si>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</si>
  <si>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</si>
  <si>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</si>
  <si>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</si>
  <si>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</si>
  <si>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</si>
  <si>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</si>
  <si>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</si>
  <si>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</si>
  <si>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</si>
  <si>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</si>
  <si>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</si>
  <si>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</si>
  <si>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</si>
  <si>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</si>
  <si>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</si>
  <si>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</si>
  <si>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</si>
  <si>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</si>
  <si>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</si>
  <si>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</si>
  <si>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</si>
  <si>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</si>
  <si>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</si>
  <si>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</si>
  <si>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</si>
  <si>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</si>
  <si>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</si>
  <si>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</si>
  <si>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</si>
  <si>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</si>
  <si>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</si>
  <si>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</si>
  <si>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</si>
  <si>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</si>
  <si>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</si>
  <si>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</si>
  <si>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</si>
  <si>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</si>
  <si>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</si>
  <si>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</si>
  <si>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</si>
  <si>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</si>
  <si>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</si>
  <si>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</si>
  <si>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</si>
  <si>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</si>
  <si>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</si>
  <si>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</si>
  <si>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</si>
  <si>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</si>
  <si>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</si>
  <si>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</si>
  <si>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</si>
  <si>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</si>
  <si>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</si>
  <si>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</si>
  <si>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</si>
  <si>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</si>
  <si>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</si>
  <si>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</si>
  <si>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</si>
  <si>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</si>
  <si>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</si>
  <si>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</si>
  <si>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</si>
  <si>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</si>
  <si>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</si>
  <si>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</si>
  <si>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</si>
  <si>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</si>
  <si>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</si>
  <si>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</si>
  <si>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</si>
  <si>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</si>
  <si>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</si>
  <si>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</si>
  <si>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</si>
  <si>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</si>
  <si>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</si>
  <si>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</si>
  <si>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</si>
  <si>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</si>
  <si>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</si>
  <si>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</si>
  <si>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</si>
  <si>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</si>
  <si>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</si>
  <si>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</si>
  <si>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</si>
  <si>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</si>
  <si>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</si>
  <si>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</si>
  <si>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</si>
  <si>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</si>
  <si>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</si>
  <si>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</si>
  <si>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</si>
  <si>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</si>
  <si>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</si>
  <si>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</si>
  <si>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</si>
  <si>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</si>
  <si>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</si>
  <si>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</si>
  <si>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</si>
  <si>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</si>
  <si>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</si>
  <si>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</si>
  <si>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</si>
  <si>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</si>
  <si>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</si>
  <si>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</si>
  <si>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</si>
  <si>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</si>
  <si>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</si>
  <si>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</si>
  <si>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</si>
  <si>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</si>
  <si>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</si>
  <si>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</si>
  <si>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</si>
  <si>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</si>
  <si>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</si>
  <si>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</si>
  <si>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</si>
  <si>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</si>
  <si>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</si>
  <si>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</si>
  <si>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</si>
  <si>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</si>
  <si>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</si>
  <si>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</si>
  <si>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</si>
  <si>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</si>
  <si>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</si>
  <si>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</si>
  <si>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</si>
  <si>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</si>
  <si>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</si>
  <si>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</si>
  <si>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</si>
  <si>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</si>
  <si>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</si>
  <si>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</si>
  <si>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</si>
  <si>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</si>
  <si>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</si>
  <si>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</si>
  <si>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</si>
  <si>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</si>
  <si>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</si>
  <si>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</si>
  <si>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</si>
  <si>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</si>
  <si>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</si>
  <si>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</si>
  <si>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</si>
  <si>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</si>
  <si>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</si>
  <si>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</si>
  <si>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</si>
  <si>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</si>
  <si>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</si>
  <si>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</si>
  <si>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</si>
  <si>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</si>
  <si>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</si>
  <si>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</si>
  <si>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</si>
  <si>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</si>
  <si>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</si>
  <si>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</si>
  <si>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</si>
  <si>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</si>
  <si>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</si>
  <si>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</si>
  <si>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</si>
  <si>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</si>
  <si>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</si>
  <si>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</si>
  <si>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</si>
  <si>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</si>
  <si>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</si>
  <si>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</si>
  <si>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</si>
  <si>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</si>
  <si>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</si>
  <si>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</si>
  <si>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</si>
  <si>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</si>
  <si>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</si>
  <si>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</si>
  <si>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</si>
  <si>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</si>
  <si>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</si>
  <si>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</si>
  <si>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</si>
  <si>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</si>
  <si>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</si>
  <si>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</si>
  <si>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</si>
  <si>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</si>
  <si>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</si>
  <si>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</si>
  <si>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</si>
  <si>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</si>
  <si>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</si>
  <si>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</si>
  <si>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</si>
  <si>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</si>
  <si>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</si>
  <si>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</si>
  <si>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</si>
  <si>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</si>
  <si>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</si>
  <si>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</si>
  <si>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</si>
  <si>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</si>
  <si>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</si>
  <si>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</si>
  <si>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</si>
  <si>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</si>
  <si>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</si>
  <si>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</si>
  <si>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</si>
  <si>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</si>
  <si>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</si>
  <si>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</si>
  <si>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</si>
  <si>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</si>
  <si>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</si>
  <si>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</si>
  <si>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</si>
  <si>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</si>
  <si>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</si>
  <si>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</si>
  <si>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</si>
  <si>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</si>
  <si>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</si>
  <si>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</si>
  <si>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</si>
  <si>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</si>
  <si>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</si>
  <si>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</si>
  <si>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</si>
  <si>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</si>
  <si>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</si>
  <si>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</si>
  <si>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</si>
  <si>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</si>
  <si>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</si>
  <si>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</si>
  <si>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</si>
  <si>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</si>
  <si>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</si>
  <si>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</si>
  <si>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</si>
  <si>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</si>
  <si>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</si>
  <si>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</si>
  <si>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</si>
  <si>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</si>
  <si>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</si>
  <si>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</si>
  <si>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</si>
  <si>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</si>
  <si>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</si>
  <si>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</si>
  <si>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</si>
  <si>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</si>
  <si>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</si>
  <si>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</si>
  <si>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</si>
  <si>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</si>
  <si>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</si>
  <si>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</si>
  <si>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</si>
  <si>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</si>
  <si>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</si>
  <si>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</si>
  <si>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</si>
  <si>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</si>
  <si>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</si>
  <si>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</si>
  <si>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</si>
  <si>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</si>
  <si>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</si>
  <si>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</si>
  <si>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</si>
  <si>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</si>
  <si>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</si>
  <si>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</si>
  <si>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</si>
  <si>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</si>
  <si>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</si>
  <si>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</si>
  <si>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</si>
  <si>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</si>
  <si>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</si>
  <si>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</si>
  <si>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</si>
  <si>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</si>
  <si>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</si>
  <si>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</si>
  <si>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</si>
  <si>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</si>
  <si>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</si>
  <si>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</si>
  <si>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</si>
  <si>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</si>
  <si>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</si>
  <si>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</si>
  <si>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</si>
  <si>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</si>
  <si>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</si>
  <si>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</si>
  <si>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</si>
  <si>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</si>
  <si>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</si>
  <si>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</si>
  <si>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</si>
  <si>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</si>
  <si>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</si>
  <si>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</si>
  <si>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</si>
  <si>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</si>
  <si>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</si>
  <si>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</si>
  <si>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</si>
  <si>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</si>
  <si>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</si>
  <si>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</si>
  <si>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</si>
  <si>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</si>
  <si>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</si>
  <si>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</si>
  <si>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</si>
  <si>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</si>
  <si>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</si>
  <si>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</si>
  <si>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</si>
  <si>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</si>
  <si>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</si>
  <si>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</si>
  <si>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</si>
  <si>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</si>
  <si>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</si>
  <si>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</si>
  <si>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</si>
  <si>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</si>
  <si>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</si>
  <si>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</si>
  <si>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</si>
  <si>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</si>
  <si>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</si>
  <si>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</si>
  <si>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</si>
  <si>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</si>
  <si>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</si>
  <si>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</si>
  <si>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</si>
  <si>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</si>
  <si>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</si>
  <si>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</si>
  <si>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</si>
  <si>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</si>
  <si>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</si>
  <si>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</si>
  <si>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</si>
  <si>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</si>
  <si>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</si>
  <si>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</si>
  <si>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</si>
  <si>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</si>
  <si>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</si>
  <si>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</si>
  <si>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</si>
  <si>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</si>
  <si>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</si>
  <si>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</si>
  <si>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</si>
  <si>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</si>
  <si>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</si>
  <si>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</si>
  <si>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</si>
  <si>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</si>
  <si>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</si>
  <si>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</si>
  <si>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</si>
  <si>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</si>
  <si>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</si>
  <si>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</si>
  <si>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</si>
  <si>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</si>
  <si>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</si>
  <si>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</si>
  <si>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</si>
  <si>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</si>
  <si>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</si>
  <si>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</si>
  <si>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</si>
  <si>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</si>
  <si>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</si>
  <si>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</si>
  <si>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</si>
  <si>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</si>
  <si>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</si>
  <si>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</si>
  <si>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</si>
  <si>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</si>
  <si>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</si>
  <si>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</si>
  <si>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</si>
  <si>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</si>
  <si>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</si>
  <si>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</si>
  <si>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</si>
  <si>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</si>
  <si>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</si>
  <si>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</si>
  <si>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</si>
  <si>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</si>
  <si>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</si>
  <si>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</si>
  <si>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</si>
  <si>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</si>
  <si>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</si>
  <si>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</si>
  <si>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</si>
  <si>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</si>
  <si>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</si>
  <si>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</si>
  <si>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</si>
  <si>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</si>
  <si>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</si>
  <si>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</si>
  <si>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</si>
  <si>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</si>
  <si>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</si>
  <si>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</si>
  <si>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</si>
  <si>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</si>
  <si>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</si>
  <si>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</si>
  <si>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</si>
  <si>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</si>
  <si>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</si>
  <si>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</si>
  <si>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</si>
  <si>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</si>
  <si>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</si>
  <si>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</si>
  <si>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</si>
  <si>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</si>
  <si>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</si>
  <si>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</si>
  <si>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</si>
  <si>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</si>
  <si>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</si>
  <si>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</si>
  <si>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</si>
  <si>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</si>
  <si>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</si>
  <si>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</si>
  <si>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</si>
  <si>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</si>
  <si>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</si>
  <si>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</si>
  <si>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</si>
  <si>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</si>
  <si>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</si>
  <si>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</si>
  <si>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</si>
  <si>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</si>
  <si>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</si>
  <si>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</si>
  <si>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</si>
  <si>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</si>
  <si>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</si>
  <si>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</si>
  <si>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</si>
  <si>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</si>
  <si>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</si>
  <si>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</si>
  <si>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</si>
  <si>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</si>
  <si>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</si>
  <si>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</si>
  <si>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</si>
  <si>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</si>
  <si>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</si>
  <si>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</si>
  <si>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</si>
  <si>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</si>
  <si>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</si>
  <si>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</si>
  <si>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</si>
  <si>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</si>
  <si>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</si>
  <si>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</si>
  <si>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</si>
  <si>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</si>
  <si>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</si>
  <si>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</si>
  <si>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</si>
  <si>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</si>
  <si>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</si>
  <si>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</si>
  <si>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</si>
  <si>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</si>
  <si>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</si>
  <si>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</si>
  <si>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</si>
  <si>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</si>
  <si>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</si>
  <si>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</si>
  <si>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</si>
  <si>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</si>
  <si>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</si>
  <si>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</si>
  <si>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</si>
  <si>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</si>
  <si>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</si>
  <si>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</si>
  <si>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</si>
  <si>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</si>
  <si>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</si>
  <si>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</si>
  <si>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</si>
  <si>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</si>
  <si>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</si>
  <si>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</si>
  <si>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</si>
  <si>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</si>
  <si>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</si>
  <si>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</si>
  <si>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</si>
  <si>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</si>
  <si>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</si>
  <si>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</si>
  <si>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</si>
  <si>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</si>
  <si>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</si>
  <si>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</si>
  <si>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</si>
  <si>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</si>
  <si>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</si>
  <si>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</si>
  <si>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</si>
  <si>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</si>
  <si>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</si>
  <si>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</si>
  <si>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</si>
  <si>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</si>
  <si>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</si>
  <si>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</si>
  <si>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</si>
  <si>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</si>
  <si>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</si>
  <si>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</si>
  <si>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</si>
  <si>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</si>
  <si>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</si>
  <si>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</si>
  <si>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</si>
  <si>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</si>
  <si>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</si>
  <si>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</si>
  <si>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</si>
  <si>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</si>
  <si>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</si>
  <si>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</si>
  <si>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</si>
  <si>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</si>
  <si>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</si>
  <si>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</si>
  <si>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</si>
  <si>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</si>
  <si>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</si>
  <si>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</si>
  <si>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</si>
  <si>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</si>
  <si>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</si>
  <si>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</si>
  <si>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</si>
  <si>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</si>
  <si>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</si>
  <si>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</si>
  <si>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</si>
  <si>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</si>
  <si>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</si>
  <si>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</si>
  <si>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</si>
  <si>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</si>
  <si>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</si>
  <si>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</si>
  <si>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</si>
  <si>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</si>
  <si>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</si>
  <si>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</si>
  <si>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</si>
  <si>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</si>
  <si>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</si>
  <si>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</si>
  <si>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</si>
  <si>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</si>
  <si>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</si>
  <si>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</si>
  <si>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</si>
  <si>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</si>
  <si>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</si>
  <si>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</si>
  <si>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</si>
  <si>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</si>
  <si>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</si>
  <si>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</si>
  <si>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</si>
  <si>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</si>
  <si>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</si>
  <si>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</si>
  <si>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</si>
  <si>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</si>
  <si>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</si>
  <si>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</si>
  <si>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</si>
  <si>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</si>
  <si>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</si>
  <si>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</si>
  <si>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</si>
  <si>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</si>
  <si>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</si>
  <si>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</si>
  <si>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</si>
  <si>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</si>
  <si>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</si>
  <si>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</si>
  <si>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</si>
  <si>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</si>
  <si>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</si>
  <si>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</si>
  <si>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</si>
  <si>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</si>
  <si>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</si>
  <si>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</si>
  <si>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</si>
  <si>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</si>
  <si>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</si>
  <si>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</si>
  <si>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</si>
  <si>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</si>
  <si>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</si>
  <si>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</si>
  <si>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</si>
  <si>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</si>
  <si>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</si>
  <si>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</si>
  <si>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</si>
  <si>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</si>
  <si>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</si>
  <si>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</si>
  <si>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</si>
  <si>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</si>
  <si>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</si>
  <si>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</si>
  <si>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</si>
  <si>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</si>
  <si>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</si>
  <si>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</si>
  <si>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</si>
  <si>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</si>
  <si>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</si>
  <si>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</si>
  <si>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</si>
  <si>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</si>
  <si>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</si>
  <si>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</si>
  <si>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</si>
  <si>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</si>
  <si>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</si>
  <si>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</si>
  <si>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</si>
  <si>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</si>
  <si>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</si>
  <si>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</si>
  <si>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</si>
  <si>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</si>
  <si>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</si>
  <si>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</si>
  <si>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</si>
  <si>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</si>
  <si>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</si>
  <si>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</si>
  <si>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</si>
  <si>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</si>
  <si>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</si>
  <si>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</si>
  <si>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</si>
  <si>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</si>
  <si>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</si>
  <si>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</si>
  <si>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</si>
  <si>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</si>
  <si>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</si>
  <si>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</si>
  <si>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</si>
  <si>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</si>
  <si>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</si>
  <si>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</si>
  <si>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</si>
  <si>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</si>
  <si>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</si>
  <si>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</si>
  <si>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</si>
  <si>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</si>
  <si>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</si>
  <si>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</si>
  <si>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</si>
  <si>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</si>
  <si>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</si>
  <si>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</si>
  <si>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</si>
  <si>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</si>
  <si>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</si>
  <si>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</si>
  <si>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</si>
  <si>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</si>
  <si>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</si>
  <si>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</si>
  <si>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</si>
  <si>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</si>
  <si>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</si>
  <si>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</si>
  <si>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</si>
  <si>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</si>
  <si>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</si>
  <si>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</si>
  <si>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</si>
  <si>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</si>
  <si>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</si>
  <si>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</si>
  <si>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</si>
  <si>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</si>
  <si>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</si>
  <si>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</si>
  <si>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</si>
  <si>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</si>
  <si>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</si>
  <si>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</si>
  <si>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</si>
  <si>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</si>
  <si>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</si>
  <si>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</si>
  <si>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</si>
  <si>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</si>
  <si>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</si>
  <si>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</si>
  <si>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</si>
  <si>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</si>
  <si>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</si>
  <si>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</si>
  <si>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</si>
  <si>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</si>
  <si>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</si>
  <si>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</si>
  <si>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</si>
  <si>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</si>
  <si>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</si>
  <si>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</si>
  <si>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</si>
  <si>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</si>
  <si>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</si>
  <si>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</si>
  <si>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</si>
  <si>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</si>
  <si>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</si>
  <si>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</si>
  <si>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</si>
  <si>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</si>
  <si>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</si>
  <si>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</si>
  <si>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</si>
  <si>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</si>
  <si>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</si>
  <si>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</si>
  <si>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</si>
  <si>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</si>
  <si>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</si>
  <si>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</si>
  <si>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</si>
  <si>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</si>
  <si>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</si>
  <si>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</si>
  <si>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</si>
  <si>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</si>
  <si>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</si>
  <si>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</si>
  <si>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</si>
  <si>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</si>
  <si>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</si>
  <si>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</si>
  <si>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</si>
  <si>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</si>
  <si>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</si>
  <si>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</si>
  <si>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</si>
  <si>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</si>
  <si>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</si>
  <si>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</si>
  <si>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</si>
  <si>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</si>
  <si>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</si>
  <si>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</si>
  <si>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</si>
  <si>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</si>
  <si>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</si>
  <si>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</si>
  <si>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</si>
  <si>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</si>
  <si>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</si>
  <si>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</si>
  <si>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</si>
  <si>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</si>
  <si>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</si>
  <si>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</si>
  <si>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</si>
  <si>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</si>
  <si>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</si>
  <si>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</si>
  <si>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</si>
  <si>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</si>
  <si>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</si>
  <si>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</si>
  <si>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</si>
  <si>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</si>
  <si>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</si>
  <si>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</si>
  <si>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</si>
  <si>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</si>
  <si>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</si>
  <si>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</si>
  <si>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</si>
  <si>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</si>
  <si>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</si>
  <si>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</si>
  <si>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</si>
  <si>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</si>
  <si>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</si>
  <si>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</si>
  <si>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</si>
  <si>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</si>
  <si>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</si>
  <si>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</si>
  <si>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</si>
  <si>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</si>
  <si>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</si>
  <si>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</si>
  <si>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</si>
  <si>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</si>
  <si>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</si>
  <si>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</si>
  <si>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</si>
  <si>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</si>
  <si>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</si>
  <si>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</si>
  <si>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</si>
  <si>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</si>
  <si>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</si>
  <si>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</si>
  <si>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</si>
  <si>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</si>
  <si>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</si>
  <si>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</si>
  <si>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</si>
  <si>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</si>
  <si>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</si>
  <si>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</si>
  <si>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</si>
  <si>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</si>
  <si>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</si>
  <si>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</si>
  <si>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</si>
  <si>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</si>
  <si>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</si>
  <si>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</si>
  <si>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</si>
  <si>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</si>
  <si>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</si>
  <si>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</si>
  <si>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</si>
  <si>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</si>
  <si>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</si>
  <si>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</si>
  <si>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</si>
  <si>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</si>
  <si>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</si>
  <si>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</si>
  <si>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</si>
  <si>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</si>
  <si>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</si>
  <si>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</si>
  <si>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</si>
  <si>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</si>
  <si>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</si>
  <si>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</si>
  <si>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</si>
  <si>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</si>
  <si>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</si>
  <si>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</si>
  <si>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</si>
  <si>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</si>
  <si>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</si>
  <si>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</si>
  <si>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</si>
  <si>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</si>
  <si>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</si>
  <si>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</si>
  <si>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</si>
  <si>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</si>
  <si>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</si>
  <si>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</si>
  <si>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</si>
  <si>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</si>
  <si>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</si>
  <si>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</si>
  <si>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</si>
  <si>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</si>
  <si>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</si>
  <si>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</si>
  <si>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</si>
  <si>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</si>
  <si>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</si>
  <si>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</si>
  <si>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</si>
  <si>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</si>
  <si>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</si>
  <si>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</si>
  <si>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</si>
  <si>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</si>
  <si>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</si>
  <si>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</si>
  <si>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</si>
  <si>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</si>
  <si>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</si>
  <si>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</si>
  <si>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</si>
  <si>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</si>
  <si>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</si>
  <si>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</si>
  <si>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</si>
  <si>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</si>
  <si>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</si>
  <si>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</si>
  <si>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</si>
  <si>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</si>
  <si>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</si>
  <si>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</si>
  <si>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</si>
  <si>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</si>
  <si>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</si>
  <si>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</si>
  <si>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</si>
  <si>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</si>
  <si>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</si>
  <si>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</si>
  <si>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</si>
  <si>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</si>
  <si>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</si>
  <si>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</si>
  <si>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</si>
  <si>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</si>
  <si>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</si>
  <si>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</si>
  <si>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</si>
  <si>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</si>
  <si>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</si>
  <si>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</si>
  <si>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</si>
  <si>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</si>
  <si>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</si>
  <si>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</si>
  <si>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</si>
  <si>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</si>
  <si>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</si>
  <si>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</si>
  <si>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</si>
  <si>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</si>
  <si>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</si>
  <si>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</si>
  <si>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</si>
  <si>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</si>
  <si>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</si>
  <si>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</si>
  <si>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</si>
  <si>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</si>
  <si>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</si>
  <si>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</si>
  <si>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</si>
  <si>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</si>
  <si>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</si>
  <si>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</si>
  <si>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</si>
  <si>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</si>
  <si>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</si>
  <si>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</si>
  <si>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</si>
  <si>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</si>
  <si>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</si>
  <si>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</si>
  <si>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</si>
  <si>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</si>
  <si>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</si>
  <si>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</si>
  <si>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</si>
  <si>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</si>
  <si>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</si>
  <si>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</si>
  <si>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</si>
  <si>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</si>
  <si>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</si>
  <si>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</si>
  <si>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</si>
  <si>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</si>
  <si>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</si>
  <si>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</si>
  <si>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</si>
  <si>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</si>
  <si>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</si>
  <si>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</si>
  <si>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</si>
  <si>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</si>
  <si>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</si>
  <si>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</si>
  <si>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</si>
  <si>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</si>
  <si>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</si>
  <si>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</si>
  <si>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</si>
  <si>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</si>
  <si>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</si>
  <si>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</si>
  <si>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</si>
  <si>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</si>
  <si>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</si>
  <si>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</si>
  <si>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</si>
  <si>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</si>
  <si>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</si>
  <si>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</si>
  <si>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</si>
  <si>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</si>
  <si>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</si>
  <si>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</si>
  <si>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</si>
  <si>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</si>
  <si>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</si>
  <si>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</si>
  <si>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</si>
  <si>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</si>
  <si>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</si>
  <si>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</si>
  <si>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</si>
  <si>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</si>
  <si>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</si>
  <si>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</si>
  <si>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</si>
  <si>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</si>
  <si>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</si>
  <si>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</si>
  <si>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</si>
  <si>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</si>
  <si>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</si>
  <si>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</si>
  <si>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</si>
  <si>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</si>
  <si>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</si>
  <si>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</si>
  <si>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</si>
  <si>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</si>
  <si>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</si>
  <si>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</si>
  <si>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</si>
  <si>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</si>
  <si>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</si>
  <si>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</si>
  <si>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</si>
  <si>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</si>
  <si>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</si>
  <si>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</si>
  <si>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</si>
  <si>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</si>
  <si>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</si>
  <si>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</si>
  <si>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</si>
  <si>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</si>
  <si>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</si>
  <si>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</si>
  <si>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</si>
  <si>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</si>
  <si>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</si>
  <si>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</si>
  <si>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</si>
  <si>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</si>
  <si>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</si>
  <si>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</si>
  <si>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</si>
  <si>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</si>
  <si>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</si>
  <si>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</si>
  <si>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</si>
  <si>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</si>
  <si>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</si>
  <si>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</si>
  <si>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</si>
  <si>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</si>
  <si>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</si>
  <si>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</si>
  <si>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</si>
  <si>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</si>
  <si>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</si>
  <si>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</si>
  <si>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</si>
  <si>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</si>
  <si>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</si>
  <si>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</si>
  <si>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</si>
  <si>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</si>
  <si>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</si>
  <si>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</si>
  <si>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</si>
  <si>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</si>
  <si>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</si>
  <si>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</si>
  <si>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</si>
  <si>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</si>
  <si>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</si>
  <si>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</si>
  <si>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</si>
  <si>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</si>
  <si>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</si>
  <si>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</si>
  <si>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</si>
  <si>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</si>
  <si>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</si>
  <si>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</si>
  <si>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</si>
  <si>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</si>
  <si>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</si>
  <si>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</si>
  <si>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</si>
  <si>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</si>
  <si>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</si>
  <si>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</si>
  <si>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</si>
  <si>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</si>
  <si>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</si>
  <si>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</si>
  <si>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</si>
  <si>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</si>
  <si>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</si>
  <si>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</si>
  <si>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</si>
  <si>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</si>
  <si>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</si>
  <si>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</si>
  <si>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</si>
  <si>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</si>
  <si>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</si>
  <si>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</si>
  <si>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</si>
  <si>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</si>
  <si>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</si>
  <si>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</si>
  <si>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</si>
  <si>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</si>
  <si>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</si>
  <si>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</si>
  <si>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</si>
  <si>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</si>
  <si>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</si>
  <si>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</si>
  <si>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</si>
  <si>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</si>
  <si>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</si>
  <si>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</si>
  <si>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</si>
  <si>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</si>
  <si>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</si>
  <si>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</si>
  <si>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</si>
  <si>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</si>
  <si>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</si>
  <si>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</si>
  <si>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</si>
  <si>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</si>
  <si>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</si>
  <si>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</si>
  <si>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</si>
  <si>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</si>
  <si>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</si>
  <si>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</si>
  <si>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</si>
  <si>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</si>
  <si>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</si>
  <si>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</si>
  <si>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</si>
  <si>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</si>
  <si>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</si>
  <si>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</si>
  <si>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</si>
  <si>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</si>
  <si>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</si>
  <si>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</si>
  <si>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</si>
  <si>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</si>
  <si>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</si>
  <si>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</si>
  <si>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</si>
  <si>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</si>
  <si>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</si>
  <si>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</si>
  <si>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</si>
  <si>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</si>
  <si>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</si>
  <si>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</si>
  <si>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</si>
  <si>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</si>
  <si>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</si>
  <si>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</si>
  <si>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</si>
  <si>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</si>
  <si>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</si>
  <si>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</si>
  <si>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</si>
  <si>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</si>
  <si>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</si>
  <si>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</si>
  <si>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</si>
  <si>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</si>
  <si>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</si>
  <si>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</si>
  <si>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</si>
  <si>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</si>
  <si>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</si>
  <si>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</si>
  <si>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</si>
  <si>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</si>
  <si>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</si>
  <si>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</si>
  <si>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</si>
  <si>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</si>
  <si>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</si>
  <si>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</si>
  <si>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</si>
  <si>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</si>
  <si>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</si>
  <si>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</si>
  <si>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</si>
  <si>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</si>
  <si>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</si>
  <si>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</si>
  <si>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</si>
  <si>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</si>
  <si>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</si>
  <si>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</si>
  <si>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</si>
  <si>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</si>
  <si>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</si>
  <si>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</si>
  <si>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</si>
  <si>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</si>
  <si>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</si>
  <si>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</si>
  <si>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</si>
  <si>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</si>
  <si>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</si>
  <si>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</si>
  <si>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</si>
  <si>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</si>
  <si>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</si>
  <si>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</si>
  <si>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</si>
  <si>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</si>
  <si>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</si>
  <si>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</si>
  <si>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</si>
  <si>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</si>
  <si>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</si>
  <si>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</si>
  <si>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</si>
  <si>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</si>
  <si>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</si>
  <si>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</si>
  <si>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</si>
  <si>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</si>
  <si>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</si>
  <si>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</si>
  <si>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</si>
  <si>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</si>
  <si>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</si>
  <si>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</si>
  <si>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</si>
  <si>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</si>
  <si>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</si>
  <si>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</si>
  <si>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</si>
  <si>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</si>
  <si>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</si>
  <si>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</si>
  <si>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</si>
  <si>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</si>
  <si>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</si>
  <si>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</si>
  <si>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</si>
  <si>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</si>
  <si>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</si>
  <si>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</si>
  <si>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</si>
  <si>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</si>
  <si>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</si>
  <si>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</si>
  <si>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</si>
  <si>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</si>
  <si>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</si>
  <si>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</si>
  <si>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</si>
  <si>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</si>
  <si>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</si>
  <si>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</si>
  <si>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</si>
  <si>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</si>
  <si>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</si>
  <si>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</si>
  <si>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</si>
  <si>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</si>
  <si>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</si>
  <si>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</si>
  <si>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</si>
  <si>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</si>
  <si>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</si>
  <si>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</si>
  <si>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</si>
  <si>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</si>
  <si>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</si>
  <si>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</si>
  <si>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</si>
  <si>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</si>
  <si>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</si>
  <si>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</si>
  <si>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</si>
  <si>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</si>
  <si>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</si>
  <si>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</si>
  <si>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</si>
  <si>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</si>
  <si>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</si>
  <si>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</si>
  <si>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</si>
  <si>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</si>
  <si>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</si>
  <si>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</si>
  <si>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</si>
  <si>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</si>
  <si>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</si>
  <si>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</si>
  <si>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</si>
  <si>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</si>
  <si>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</si>
  <si>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</si>
  <si>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</si>
  <si>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</si>
  <si>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</si>
  <si>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</si>
  <si>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</si>
  <si>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</si>
  <si>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</si>
  <si>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</si>
  <si>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</si>
  <si>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</si>
  <si>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</si>
  <si>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</si>
  <si>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</si>
  <si>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</si>
  <si>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</si>
  <si>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</si>
  <si>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</si>
  <si>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</si>
  <si>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</si>
  <si>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</si>
  <si>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</si>
  <si>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</si>
  <si>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</si>
  <si>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</si>
  <si>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</si>
  <si>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</si>
  <si>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</si>
  <si>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</si>
  <si>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</si>
  <si>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</si>
  <si>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</si>
  <si>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</si>
  <si>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</si>
  <si>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</si>
  <si>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</si>
  <si>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</si>
  <si>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</si>
  <si>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</si>
  <si>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</si>
  <si>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</si>
  <si>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</si>
  <si>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</si>
  <si>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</si>
  <si>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</si>
  <si>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</si>
  <si>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</si>
  <si>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</si>
  <si>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</si>
  <si>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</si>
  <si>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</si>
  <si>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</si>
  <si>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</si>
  <si>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</si>
  <si>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</si>
  <si>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</si>
  <si>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</si>
  <si>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</si>
  <si>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</si>
  <si>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</si>
  <si>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</si>
  <si>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</si>
  <si>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</si>
  <si>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</si>
  <si>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</si>
  <si>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</si>
  <si>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</si>
  <si>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</si>
  <si>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</si>
  <si>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</si>
  <si>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</si>
  <si>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</si>
  <si>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</si>
  <si>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</si>
  <si>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</si>
  <si>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</si>
  <si>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</si>
  <si>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</si>
  <si>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</si>
  <si>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</si>
  <si>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</si>
  <si>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</si>
  <si>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</si>
  <si>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</si>
  <si>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</si>
  <si>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</si>
  <si>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</si>
  <si>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</si>
  <si>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</si>
  <si>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</si>
  <si>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</si>
  <si>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</si>
  <si>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</si>
  <si>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</si>
  <si>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</si>
  <si>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</si>
  <si>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</si>
  <si>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</si>
  <si>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</si>
  <si>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</si>
  <si>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</si>
  <si>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</si>
  <si>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</si>
  <si>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</si>
  <si>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</si>
  <si>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</si>
  <si>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</si>
  <si>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</si>
  <si>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</si>
  <si>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</si>
  <si>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</si>
  <si>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</si>
  <si>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</si>
  <si>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</si>
  <si>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</si>
  <si>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</si>
  <si>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</si>
  <si>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</si>
  <si>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</si>
  <si>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</si>
  <si>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</si>
  <si>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</si>
  <si>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</si>
  <si>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</si>
  <si>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</si>
  <si>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</si>
  <si>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</si>
  <si>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</si>
  <si>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</si>
  <si>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</si>
  <si>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</si>
  <si>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</si>
  <si>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</si>
  <si>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</si>
  <si>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</si>
  <si>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</si>
  <si>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</si>
  <si>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</si>
  <si>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</si>
  <si>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</si>
  <si>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</si>
  <si>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</si>
  <si>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</si>
  <si>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</si>
  <si>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</si>
  <si>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</si>
  <si>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</si>
  <si>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</si>
  <si>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</si>
  <si>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</si>
  <si>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</si>
  <si>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</si>
  <si>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</si>
  <si>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</si>
  <si>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</si>
  <si>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</si>
  <si>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</si>
  <si>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</si>
  <si>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</si>
  <si>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</si>
  <si>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</si>
  <si>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</si>
  <si>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</si>
  <si>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</si>
  <si>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</si>
  <si>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</si>
  <si>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</si>
  <si>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</si>
  <si>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</si>
  <si>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</si>
  <si>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</si>
  <si>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</si>
  <si>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</si>
  <si>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</si>
  <si>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</si>
  <si>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</si>
  <si>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</si>
  <si>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</si>
  <si>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</si>
  <si>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</si>
  <si>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</si>
  <si>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</si>
  <si>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</si>
  <si>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</si>
  <si>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</si>
  <si>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</si>
  <si>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</si>
  <si>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</si>
  <si>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</si>
  <si>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</si>
  <si>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</si>
  <si>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</si>
  <si>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</si>
  <si>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</si>
  <si>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</si>
  <si>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</si>
  <si>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</si>
  <si>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</si>
  <si>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</si>
  <si>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</si>
  <si>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</si>
  <si>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</si>
  <si>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</si>
  <si>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</si>
  <si>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</si>
  <si>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</si>
  <si>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</si>
  <si>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</si>
  <si>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</si>
  <si>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</si>
  <si>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</si>
  <si>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</si>
  <si>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</si>
  <si>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</si>
  <si>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</si>
  <si>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</si>
  <si>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</si>
  <si>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</si>
  <si>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</si>
  <si>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</si>
  <si>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</si>
  <si>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</si>
  <si>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</si>
  <si>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</si>
  <si>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</si>
  <si>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</si>
  <si>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</si>
  <si>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</si>
  <si>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</si>
  <si>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</si>
  <si>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</si>
  <si>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</si>
  <si>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</si>
  <si>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</si>
  <si>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</si>
  <si>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</si>
  <si>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</si>
  <si>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</si>
  <si>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</si>
  <si>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</si>
  <si>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</si>
  <si>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</si>
  <si>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</si>
  <si>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</si>
  <si>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</si>
  <si>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</si>
  <si>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</si>
  <si>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</si>
  <si>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</si>
  <si>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</si>
  <si>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</si>
  <si>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</si>
  <si>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</si>
  <si>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</si>
  <si>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</si>
  <si>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</si>
  <si>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</si>
  <si>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</si>
  <si>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</si>
  <si>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</si>
  <si>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</si>
  <si>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</si>
  <si>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</si>
  <si>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</si>
  <si>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</si>
  <si>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</si>
  <si>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</si>
  <si>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</si>
  <si>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</si>
  <si>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</si>
  <si>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</si>
  <si>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</si>
  <si>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</si>
  <si>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</si>
  <si>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</si>
  <si>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</si>
  <si>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</si>
  <si>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</si>
  <si>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</si>
  <si>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</si>
  <si>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</si>
  <si>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</si>
  <si>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</si>
  <si>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</si>
  <si>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</si>
  <si>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</si>
  <si>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</si>
  <si>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</si>
  <si>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</si>
  <si>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</si>
  <si>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</si>
  <si>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</si>
  <si>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</si>
  <si>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</si>
  <si>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</si>
  <si>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</si>
  <si>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</si>
  <si>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</si>
  <si>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</si>
  <si>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</si>
  <si>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</si>
  <si>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</si>
  <si>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</si>
  <si>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</si>
  <si>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</si>
  <si>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</si>
  <si>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</si>
  <si>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</si>
  <si>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</si>
  <si>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</si>
  <si>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</si>
  <si>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</si>
  <si>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</si>
  <si>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</si>
  <si>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</si>
  <si>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</si>
  <si>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</si>
  <si>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</si>
  <si>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</si>
  <si>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</si>
  <si>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</si>
  <si>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</si>
  <si>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</si>
  <si>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</si>
  <si>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</si>
  <si>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</si>
  <si>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</si>
  <si>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</si>
  <si>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</si>
  <si>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</si>
  <si>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</si>
  <si>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</si>
  <si>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</si>
  <si>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</si>
  <si>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</si>
  <si>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</si>
  <si>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</si>
  <si>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</si>
  <si>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</si>
  <si>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</si>
  <si>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</si>
  <si>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</si>
  <si>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</si>
  <si>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</si>
  <si>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</si>
  <si>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</si>
  <si>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</si>
  <si>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</si>
  <si>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</si>
  <si>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</si>
  <si>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</si>
  <si>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</si>
  <si>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</si>
  <si>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</si>
  <si>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</si>
  <si>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</si>
  <si>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</si>
  <si>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</si>
  <si>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</si>
  <si>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</si>
  <si>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</si>
  <si>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</si>
  <si>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</si>
  <si>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</si>
  <si>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</si>
  <si>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</si>
  <si>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</si>
  <si>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</si>
  <si>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</si>
  <si>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</si>
  <si>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</si>
  <si>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</si>
  <si>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</si>
  <si>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</si>
  <si>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</si>
  <si>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</si>
  <si>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</si>
  <si>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</si>
  <si>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</si>
  <si>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</si>
  <si>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</si>
  <si>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</si>
  <si>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</si>
  <si>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</si>
  <si>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</si>
  <si>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</si>
  <si>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</si>
  <si>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</si>
  <si>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</si>
  <si>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</si>
  <si>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</si>
  <si>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</si>
  <si>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</si>
  <si>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</si>
  <si>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</si>
  <si>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</si>
  <si>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</si>
  <si>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</si>
  <si>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</si>
  <si>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</si>
  <si>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</si>
  <si>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</si>
  <si>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</si>
  <si>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</si>
  <si>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</si>
  <si>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</si>
  <si>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</si>
  <si>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</si>
  <si>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</si>
  <si>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</si>
  <si>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</si>
  <si>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</si>
  <si>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</si>
  <si>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</si>
  <si>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</si>
  <si>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</si>
  <si>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</si>
  <si>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</si>
  <si>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</si>
  <si>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</si>
  <si>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</si>
  <si>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</si>
  <si>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</si>
  <si>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</si>
  <si>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</si>
  <si>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</si>
  <si>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</si>
  <si>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</si>
  <si>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</si>
  <si>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</si>
  <si>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</si>
  <si>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</si>
  <si>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</si>
  <si>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</si>
  <si>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</si>
  <si>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</si>
  <si>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</si>
  <si>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</si>
  <si>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</si>
  <si>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</si>
  <si>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</si>
  <si>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</si>
  <si>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</si>
  <si>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</si>
  <si>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</si>
  <si>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</si>
  <si>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</si>
  <si>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</si>
  <si>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</si>
  <si>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</si>
  <si>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</si>
  <si>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</si>
  <si>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</si>
  <si>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</si>
  <si>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</si>
  <si>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</si>
  <si>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</si>
  <si>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</si>
  <si>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</si>
  <si>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</si>
  <si>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</si>
  <si>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</si>
  <si>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</si>
  <si>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</si>
  <si>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</si>
  <si>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</si>
  <si>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</si>
  <si>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</si>
  <si>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</si>
  <si>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</si>
  <si>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</si>
  <si>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</si>
  <si>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</si>
  <si>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</si>
  <si>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</si>
  <si>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</si>
  <si>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</si>
  <si>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</si>
  <si>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</si>
  <si>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</si>
  <si>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</si>
  <si>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</si>
  <si>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</si>
  <si>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</si>
  <si>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</si>
  <si>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</si>
  <si>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</si>
  <si>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</si>
  <si>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</si>
  <si>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</si>
  <si>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</si>
  <si>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</si>
  <si>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</si>
  <si>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</si>
  <si>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</si>
  <si>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</si>
  <si>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</si>
  <si>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</si>
  <si>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</si>
  <si>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</si>
  <si>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</si>
  <si>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</si>
  <si>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</si>
  <si>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</si>
  <si>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</si>
  <si>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</si>
  <si>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</si>
  <si>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</si>
  <si>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</si>
  <si>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</si>
  <si>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</si>
  <si>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</si>
  <si>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</si>
  <si>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</si>
  <si>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</si>
  <si>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</si>
  <si>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</si>
  <si>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</si>
  <si>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</si>
  <si>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</si>
  <si>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</si>
  <si>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</si>
  <si>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</si>
  <si>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</si>
  <si>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</si>
  <si>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</si>
  <si>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</si>
  <si>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</si>
  <si>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</si>
  <si>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</si>
  <si>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</si>
  <si>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</si>
  <si>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</si>
  <si>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</si>
  <si>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</si>
  <si>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</si>
  <si>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</si>
  <si>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</si>
  <si>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</si>
  <si>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</si>
  <si>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</si>
  <si>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</si>
  <si>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</si>
  <si>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</si>
  <si>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</si>
  <si>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</si>
  <si>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</si>
  <si>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</si>
  <si>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</si>
  <si>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</si>
  <si>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</si>
  <si>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</si>
  <si>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</si>
  <si>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</si>
  <si>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</si>
  <si>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</si>
  <si>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</si>
  <si>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</si>
  <si>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</si>
  <si>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</si>
  <si>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</si>
  <si>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</si>
  <si>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</si>
  <si>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</si>
  <si>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</si>
  <si>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</si>
  <si>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</si>
  <si>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</si>
  <si>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</si>
  <si>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</si>
  <si>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</si>
  <si>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</si>
  <si>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</si>
  <si>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</si>
  <si>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</si>
  <si>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</si>
  <si>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</si>
  <si>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</si>
  <si>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</si>
  <si>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</si>
  <si>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</si>
  <si>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</si>
  <si>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</si>
  <si>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</si>
  <si>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</si>
  <si>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</si>
  <si>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</si>
  <si>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</si>
  <si>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</si>
  <si>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</si>
  <si>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</si>
  <si>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</si>
  <si>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</si>
  <si>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</si>
  <si>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</si>
  <si>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</si>
  <si>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</si>
  <si>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</si>
  <si>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</si>
  <si>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</si>
  <si>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</si>
  <si>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</si>
  <si>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</si>
  <si>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</si>
  <si>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</si>
  <si>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</si>
  <si>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</si>
  <si>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</si>
  <si>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</si>
  <si>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</si>
  <si>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</si>
  <si>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</si>
  <si>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</si>
  <si>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</si>
  <si>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</si>
  <si>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</si>
  <si>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</si>
  <si>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</si>
  <si>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</si>
  <si>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</si>
  <si>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</si>
  <si>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</si>
  <si>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</si>
  <si>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</si>
  <si>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</si>
  <si>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</si>
  <si>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</si>
  <si>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</si>
  <si>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</si>
  <si>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</si>
  <si>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</si>
  <si>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</si>
  <si>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</si>
  <si>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</si>
  <si>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</si>
  <si>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</si>
  <si>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</si>
  <si>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</si>
  <si>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</si>
  <si>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</si>
  <si>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</si>
  <si>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</si>
  <si>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</si>
  <si>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</si>
  <si>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</si>
  <si>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</si>
  <si>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</si>
  <si>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</si>
  <si>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</si>
  <si>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</si>
  <si>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</si>
  <si>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</si>
  <si>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</si>
  <si>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</si>
  <si>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</si>
  <si>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</si>
  <si>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</si>
  <si>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</si>
  <si>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</si>
  <si>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</si>
  <si>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</si>
  <si>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</si>
  <si>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</si>
  <si>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</si>
  <si>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</si>
  <si>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</si>
  <si>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</si>
  <si>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</si>
  <si>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</si>
  <si>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</si>
  <si>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</si>
  <si>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</si>
  <si>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</si>
  <si>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</si>
  <si>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</si>
  <si>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</si>
  <si>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</si>
  <si>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</si>
  <si>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</si>
  <si>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</si>
  <si>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</si>
  <si>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</si>
  <si>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</si>
  <si>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</si>
  <si>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</si>
  <si>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</si>
  <si>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</si>
  <si>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</si>
  <si>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</si>
  <si>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</si>
  <si>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</si>
  <si>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</si>
  <si>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</si>
  <si>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</si>
  <si>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</si>
  <si>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</si>
  <si>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</si>
  <si>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</si>
  <si>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</si>
  <si>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</si>
  <si>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</si>
  <si>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</si>
  <si>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</si>
  <si>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</si>
  <si>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</si>
  <si>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</si>
  <si>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</si>
  <si>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</si>
  <si>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</si>
  <si>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</si>
  <si>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</si>
  <si>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</si>
  <si>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</si>
  <si>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</si>
  <si>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</si>
  <si>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</si>
  <si>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</si>
  <si>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</si>
  <si>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</si>
  <si>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</si>
  <si>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</si>
  <si>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</si>
  <si>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</si>
  <si>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</si>
  <si>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</si>
  <si>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</si>
  <si>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</si>
  <si>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</si>
  <si>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</si>
  <si>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</si>
  <si>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</si>
  <si>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</si>
  <si>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</si>
  <si>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</si>
  <si>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</si>
  <si>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</si>
  <si>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</si>
  <si>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</si>
  <si>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</si>
  <si>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</si>
  <si>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</si>
  <si>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</si>
  <si>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</si>
  <si>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</si>
  <si>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</si>
  <si>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</si>
  <si>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</si>
  <si>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</si>
  <si>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</si>
  <si>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</si>
  <si>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</si>
  <si>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</si>
  <si>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</si>
  <si>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</si>
  <si>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</si>
  <si>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</si>
  <si>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</si>
  <si>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</si>
  <si>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</si>
  <si>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</si>
  <si>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</si>
  <si>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</si>
  <si>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</si>
  <si>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</si>
  <si>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</si>
  <si>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</si>
  <si>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</si>
  <si>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</si>
  <si>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</si>
  <si>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</si>
  <si>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</si>
  <si>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</si>
  <si>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</si>
  <si>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</si>
  <si>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</si>
  <si>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</si>
  <si>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</si>
  <si>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</si>
  <si>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</si>
  <si>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</si>
  <si>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</si>
  <si>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</si>
  <si>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</si>
  <si>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</si>
  <si>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</si>
  <si>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</si>
  <si>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</si>
  <si>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</si>
  <si>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</si>
  <si>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</si>
  <si>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</si>
  <si>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</si>
  <si>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</si>
  <si>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</si>
  <si>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</si>
  <si>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</si>
  <si>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</si>
  <si>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</si>
  <si>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</si>
  <si>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</si>
  <si>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</si>
  <si>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</si>
  <si>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</si>
  <si>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</si>
  <si>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</si>
  <si>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</si>
  <si>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</si>
  <si>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</si>
  <si>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</si>
  <si>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</si>
  <si>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</si>
  <si>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</si>
  <si>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</si>
  <si>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</si>
  <si>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</si>
  <si>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</si>
  <si>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</si>
  <si>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</si>
  <si>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</si>
  <si>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</si>
  <si>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</si>
  <si>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</si>
  <si>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</si>
  <si>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</si>
  <si>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</si>
  <si>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</si>
  <si>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</si>
  <si>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</si>
  <si>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</si>
  <si>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</si>
  <si>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</si>
  <si>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</si>
  <si>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</si>
  <si>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</si>
  <si>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</si>
  <si>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</si>
  <si>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</si>
  <si>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</si>
  <si>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</si>
  <si>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</si>
  <si>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</si>
  <si>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</si>
  <si>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</si>
  <si>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</si>
  <si>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</si>
  <si>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</si>
  <si>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</si>
  <si>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</si>
  <si>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</si>
  <si>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</si>
  <si>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</si>
  <si>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</si>
  <si>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</si>
  <si>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</si>
  <si>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</si>
  <si>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</si>
  <si>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</si>
  <si>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</si>
  <si>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</si>
  <si>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</si>
  <si>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</si>
  <si>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</si>
  <si>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</si>
  <si>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</si>
  <si>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</si>
  <si>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</si>
  <si>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</si>
  <si>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</si>
  <si>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</si>
  <si>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</si>
  <si>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</si>
  <si>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</si>
  <si>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</si>
  <si>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</si>
  <si>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</si>
  <si>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</si>
  <si>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</si>
  <si>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</si>
  <si>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</si>
  <si>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</si>
  <si>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</si>
  <si>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</si>
  <si>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</si>
  <si>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</si>
  <si>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</si>
  <si>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</si>
  <si>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</si>
  <si>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</si>
  <si>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</si>
  <si>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</si>
  <si>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</si>
  <si>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</si>
  <si>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</si>
  <si>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</si>
  <si>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</si>
  <si>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</si>
  <si>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</si>
  <si>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</si>
  <si>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</si>
  <si>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</si>
  <si>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</si>
  <si>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</si>
  <si>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</si>
  <si>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</si>
  <si>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</si>
  <si>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</si>
  <si>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</si>
  <si>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</si>
  <si>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</si>
  <si>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</si>
  <si>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</si>
  <si>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</si>
  <si>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</si>
  <si>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</si>
  <si>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</si>
  <si>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</si>
  <si>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</si>
  <si>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</si>
  <si>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</si>
  <si>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</si>
  <si>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</si>
  <si>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</si>
  <si>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</si>
  <si>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</si>
  <si>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</si>
  <si>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</si>
  <si>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</si>
  <si>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</si>
  <si>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</si>
  <si>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</si>
  <si>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</si>
  <si>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</si>
  <si>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</si>
  <si>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</si>
  <si>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</si>
  <si>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</si>
  <si>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</si>
  <si>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</si>
  <si>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</si>
  <si>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</si>
  <si>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</si>
  <si>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</si>
  <si>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</si>
  <si>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</si>
  <si>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</si>
  <si>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</si>
  <si>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</si>
  <si>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</si>
  <si>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</si>
  <si>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</si>
  <si>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</si>
  <si>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</si>
  <si>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</si>
  <si>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</si>
  <si>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</si>
  <si>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</si>
  <si>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</si>
  <si>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</si>
  <si>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</si>
  <si>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</si>
  <si>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</si>
  <si>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</si>
  <si>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</si>
  <si>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</si>
  <si>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</si>
  <si>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</si>
  <si>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</si>
  <si>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</si>
  <si>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</si>
  <si>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</si>
  <si>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</si>
  <si>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</si>
  <si>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</si>
  <si>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</si>
  <si>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</si>
  <si>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</si>
  <si>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</si>
  <si>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</si>
  <si>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</si>
  <si>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</si>
  <si>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</si>
  <si>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</si>
  <si>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</si>
  <si>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</si>
  <si>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</si>
  <si>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</si>
  <si>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</si>
  <si>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</si>
  <si>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</si>
  <si>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</si>
  <si>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</si>
  <si>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</si>
  <si>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</si>
  <si>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</si>
  <si>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</si>
  <si>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</si>
  <si>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</si>
  <si>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</si>
  <si>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</si>
  <si>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</si>
  <si>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</si>
  <si>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</si>
  <si>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</si>
  <si>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</si>
  <si>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</si>
  <si>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</si>
  <si>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</si>
  <si>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</si>
  <si>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</si>
  <si>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</si>
  <si>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</si>
  <si>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</si>
  <si>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</si>
  <si>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</si>
  <si>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</si>
  <si>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</si>
  <si>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</si>
  <si>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</si>
  <si>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</si>
  <si>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</si>
  <si>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</si>
  <si>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</si>
  <si>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</si>
  <si>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</si>
  <si>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</si>
  <si>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</si>
  <si>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</si>
  <si>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</si>
  <si>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</si>
  <si>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</si>
  <si>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</si>
  <si>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</si>
  <si>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</si>
  <si>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</si>
  <si>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</si>
  <si>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</si>
  <si>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</si>
  <si>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</si>
  <si>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</si>
  <si>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</si>
  <si>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</si>
  <si>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</si>
  <si>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</si>
  <si>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</si>
  <si>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</si>
  <si>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</si>
  <si>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</si>
  <si>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</si>
  <si>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</si>
  <si>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</si>
  <si>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</si>
  <si>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</si>
  <si>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</si>
  <si>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</si>
  <si>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</si>
  <si>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</si>
  <si>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</si>
  <si>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</si>
  <si>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</si>
  <si>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</si>
  <si>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</si>
  <si>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</si>
  <si>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</si>
  <si>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</si>
  <si>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</si>
  <si>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</si>
  <si>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</si>
  <si>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</si>
  <si>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</si>
  <si>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</si>
  <si>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</si>
  <si>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</si>
  <si>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</si>
  <si>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</si>
  <si>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</si>
  <si>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</si>
  <si>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</si>
  <si>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</si>
  <si>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</si>
  <si>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</si>
  <si>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</si>
  <si>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</si>
  <si>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</si>
  <si>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</si>
  <si>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</si>
  <si>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</si>
  <si>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</si>
  <si>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</si>
  <si>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</si>
  <si>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</si>
  <si>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</si>
  <si>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</si>
  <si>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</si>
  <si>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</si>
  <si>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</si>
  <si>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</si>
  <si>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</si>
  <si>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</si>
  <si>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</si>
  <si>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</si>
  <si>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</si>
  <si>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</si>
  <si>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</si>
  <si>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</si>
  <si>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</si>
  <si>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</si>
  <si>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</si>
  <si>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</si>
  <si>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</si>
  <si>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</si>
  <si>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</si>
  <si>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</si>
  <si>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</si>
  <si>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</si>
  <si>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</si>
  <si>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</si>
  <si>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</si>
  <si>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</si>
  <si>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</si>
  <si>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</si>
  <si>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</si>
  <si>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</si>
  <si>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</si>
  <si>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</si>
  <si>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</si>
  <si>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</si>
  <si>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</si>
  <si>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</si>
  <si>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</si>
  <si>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</si>
  <si>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</si>
  <si>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</si>
  <si>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</si>
  <si>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</si>
  <si>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</si>
  <si>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</si>
  <si>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</si>
  <si>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</si>
  <si>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</si>
  <si>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</si>
  <si>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</si>
  <si>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</si>
  <si>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</si>
  <si>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</si>
  <si>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</si>
  <si>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</si>
  <si>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</si>
  <si>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</si>
  <si>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</si>
  <si>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</si>
  <si>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</si>
  <si>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</si>
  <si>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</si>
  <si>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</si>
  <si>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</si>
  <si>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</si>
  <si>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</si>
  <si>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</si>
  <si>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</si>
  <si>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</si>
  <si>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</si>
  <si>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</si>
  <si>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</si>
  <si>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</si>
  <si>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</si>
  <si>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</si>
  <si>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</si>
  <si>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</si>
  <si>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</si>
  <si>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</si>
  <si>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</si>
  <si>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</si>
  <si>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</si>
  <si>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</si>
  <si>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</si>
  <si>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</si>
  <si>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</si>
  <si>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</si>
  <si>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</si>
  <si>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</si>
  <si>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</si>
  <si>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</si>
  <si>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</si>
  <si>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</si>
  <si>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</si>
  <si>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</si>
  <si>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</si>
  <si>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</si>
  <si>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</si>
  <si>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</si>
  <si>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</si>
  <si>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</si>
  <si>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</si>
  <si>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</si>
  <si>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</si>
  <si>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</si>
  <si>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</si>
  <si>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</si>
  <si>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</si>
  <si>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</si>
  <si>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</si>
  <si>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</si>
  <si>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</si>
  <si>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</si>
  <si>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</si>
  <si>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</si>
  <si>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</si>
  <si>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</si>
  <si>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</si>
  <si>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</si>
  <si>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</si>
  <si>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</si>
  <si>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</si>
  <si>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</si>
  <si>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</si>
  <si>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</si>
  <si>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</si>
  <si>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</si>
  <si>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</si>
  <si>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</si>
  <si>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</si>
  <si>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</si>
  <si>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</si>
  <si>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</si>
  <si>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</si>
  <si>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</si>
  <si>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</si>
  <si>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</si>
  <si>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</si>
  <si>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</si>
  <si>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</si>
  <si>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</si>
  <si>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</si>
  <si>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</si>
  <si>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</si>
  <si>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</si>
  <si>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</si>
  <si>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</si>
  <si>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</si>
  <si>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</si>
  <si>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</si>
  <si>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</si>
  <si>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</si>
  <si>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</si>
  <si>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</si>
  <si>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</si>
  <si>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</si>
  <si>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</si>
  <si>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</si>
  <si>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</si>
  <si>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</si>
  <si>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</si>
  <si>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</si>
  <si>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</si>
  <si>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</si>
  <si>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</si>
  <si>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</si>
  <si>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</si>
  <si>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</si>
  <si>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</si>
  <si>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</si>
  <si>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</si>
  <si>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</si>
  <si>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</si>
  <si>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</si>
  <si>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</si>
  <si>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</si>
  <si>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</si>
  <si>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</si>
  <si>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</si>
  <si>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</si>
  <si>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</si>
  <si>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</si>
  <si>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</si>
  <si>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</si>
  <si>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</si>
  <si>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</si>
  <si>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</si>
  <si>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</si>
  <si>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</si>
  <si>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</si>
  <si>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</si>
  <si>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</si>
  <si>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</si>
  <si>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</si>
  <si>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</si>
  <si>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</si>
  <si>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</si>
  <si>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</si>
  <si>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</si>
  <si>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</si>
  <si>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</si>
  <si>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</si>
  <si>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</si>
  <si>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</si>
  <si>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</si>
  <si>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</si>
  <si>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</si>
  <si>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</si>
  <si>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</si>
  <si>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</si>
  <si>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</si>
  <si>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</si>
  <si>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</si>
  <si>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</si>
  <si>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</si>
  <si>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</si>
  <si>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</si>
  <si>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</si>
  <si>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</si>
  <si>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</si>
  <si>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</si>
  <si>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</si>
  <si>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</si>
  <si>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</si>
  <si>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</si>
  <si>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</si>
  <si>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</si>
  <si>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</si>
  <si>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</si>
  <si>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</si>
  <si>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</si>
  <si>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</si>
  <si>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</si>
  <si>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</si>
  <si>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</si>
  <si>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</si>
  <si>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</si>
  <si>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</si>
  <si>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</si>
  <si>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</si>
  <si>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</si>
  <si>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</si>
  <si>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</si>
  <si>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</si>
  <si>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</si>
  <si>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</si>
  <si>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</si>
  <si>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</si>
  <si>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</si>
  <si>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</si>
  <si>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</si>
  <si>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</si>
  <si>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</si>
  <si>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</si>
  <si>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</si>
  <si>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</si>
  <si>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</si>
  <si>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</si>
  <si>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</si>
  <si>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</si>
  <si>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</si>
  <si>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</si>
  <si>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</si>
  <si>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</si>
  <si>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</si>
  <si>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</si>
  <si>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</si>
  <si>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</si>
  <si>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</si>
  <si>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</si>
  <si>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</si>
  <si>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</si>
  <si>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</si>
  <si>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</si>
  <si>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</si>
  <si>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</si>
  <si>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</si>
  <si>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</si>
  <si>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</si>
  <si>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</si>
  <si>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</si>
  <si>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</si>
  <si>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</si>
  <si>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</si>
  <si>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</si>
  <si>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</si>
  <si>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</si>
  <si>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</si>
  <si>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</si>
  <si>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</si>
  <si>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</si>
  <si>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</si>
  <si>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</si>
  <si>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</si>
  <si>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</si>
  <si>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</si>
  <si>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</si>
  <si>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</si>
  <si>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</si>
  <si>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</si>
  <si>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</si>
  <si>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</si>
  <si>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</si>
  <si>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</si>
  <si>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</si>
  <si>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</si>
  <si>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</si>
  <si>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</si>
  <si>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</si>
  <si>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</si>
  <si>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</si>
  <si>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</si>
  <si>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</si>
  <si>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</si>
  <si>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</si>
  <si>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</si>
  <si>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</si>
  <si>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</si>
  <si>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</si>
  <si>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</si>
  <si>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</si>
  <si>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</si>
  <si>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</si>
  <si>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</si>
  <si>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</si>
  <si>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</si>
  <si>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</si>
  <si>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</si>
  <si>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</si>
  <si>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</si>
  <si>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</si>
  <si>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</si>
  <si>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</si>
  <si>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</si>
  <si>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</si>
  <si>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</si>
  <si>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</si>
  <si>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</si>
  <si>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</si>
  <si>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</si>
  <si>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</si>
  <si>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</si>
  <si>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</si>
  <si>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</si>
  <si>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</si>
  <si>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</si>
  <si>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</si>
  <si>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</si>
  <si>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</si>
  <si>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</si>
  <si>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</si>
  <si>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</si>
  <si>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</si>
  <si>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</si>
  <si>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</si>
  <si>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</si>
  <si>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</si>
  <si>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</si>
  <si>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</si>
  <si>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</si>
  <si>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</si>
  <si>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</si>
  <si>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</si>
  <si>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</si>
  <si>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</si>
  <si>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</si>
  <si>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</si>
  <si>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</si>
  <si>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</si>
  <si>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</si>
  <si>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</si>
  <si>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</si>
  <si>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</si>
  <si>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</si>
  <si>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</si>
  <si>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</si>
  <si>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</si>
  <si>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</si>
  <si>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</si>
  <si>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</si>
  <si>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</si>
  <si>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</si>
  <si>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</si>
  <si>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</si>
  <si>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</si>
  <si>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</si>
  <si>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</si>
  <si>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</si>
  <si>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</si>
  <si>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</si>
  <si>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</si>
  <si>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</si>
  <si>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</si>
  <si>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</si>
  <si>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</si>
  <si>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</si>
  <si>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</si>
  <si>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</si>
  <si>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</si>
  <si>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</si>
  <si>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</si>
  <si>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</si>
  <si>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</si>
  <si>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</si>
  <si>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</si>
  <si>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</si>
  <si>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</si>
  <si>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</si>
  <si>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</si>
  <si>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</si>
  <si>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</si>
  <si>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</si>
  <si>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</si>
  <si>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</si>
  <si>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</si>
  <si>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</si>
  <si>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</si>
  <si>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</si>
  <si>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</si>
  <si>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</si>
  <si>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</si>
  <si>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</si>
  <si>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</si>
  <si>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</si>
  <si>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</si>
  <si>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</si>
  <si>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</si>
  <si>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</si>
  <si>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</si>
  <si>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</si>
  <si>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</si>
  <si>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</si>
  <si>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</si>
  <si>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</si>
  <si>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</si>
  <si>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</si>
  <si>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</si>
  <si>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</si>
  <si>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</si>
  <si>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</si>
  <si>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</si>
  <si>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</si>
  <si>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</si>
  <si>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</si>
  <si>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</si>
  <si>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</si>
  <si>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</si>
  <si>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</si>
  <si>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</si>
  <si>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</si>
  <si>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</si>
  <si>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</si>
  <si>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</si>
  <si>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</si>
  <si>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</si>
  <si>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</si>
  <si>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</si>
  <si>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</si>
  <si>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</si>
  <si>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</si>
  <si>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</si>
  <si>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</si>
  <si>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</si>
  <si>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</si>
  <si>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</si>
  <si>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</si>
  <si>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</si>
  <si>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</si>
  <si>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</si>
  <si>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</si>
  <si>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</si>
  <si>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</si>
  <si>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</si>
  <si>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</si>
  <si>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</si>
  <si>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</si>
  <si>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</si>
  <si>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</si>
  <si>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</si>
  <si>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</si>
  <si>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</si>
  <si>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</si>
  <si>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</si>
  <si>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</si>
  <si>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</si>
  <si>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</si>
  <si>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</si>
  <si>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</si>
  <si>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</si>
  <si>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</si>
  <si>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</si>
  <si>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</si>
  <si>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</si>
  <si>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</si>
  <si>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</si>
  <si>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</si>
  <si>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</si>
  <si>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</si>
  <si>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</si>
  <si>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</si>
  <si>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</si>
  <si>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</si>
  <si>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</si>
  <si>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</si>
  <si>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</si>
  <si>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</si>
  <si>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</si>
  <si>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</si>
  <si>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</si>
  <si>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</si>
  <si>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</si>
  <si>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</si>
  <si>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</si>
  <si>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</si>
  <si>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</si>
  <si>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</si>
  <si>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</si>
  <si>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</si>
  <si>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</si>
  <si>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</si>
  <si>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</si>
  <si>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</si>
  <si>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</si>
  <si>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</si>
  <si>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</si>
  <si>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</si>
  <si>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</si>
  <si>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</si>
  <si>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</si>
  <si>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</si>
  <si>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</si>
  <si>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</si>
  <si>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</si>
  <si>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</si>
  <si>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</si>
  <si>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</si>
  <si>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</si>
  <si>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</si>
  <si>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</si>
  <si>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</si>
  <si>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</si>
  <si>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</si>
  <si>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</si>
  <si>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</si>
  <si>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</si>
  <si>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</si>
  <si>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</si>
  <si>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</si>
  <si>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</si>
  <si>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</si>
  <si>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</si>
  <si>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</si>
  <si>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</si>
  <si>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</si>
  <si>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</si>
  <si>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</si>
  <si>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</si>
  <si>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</si>
  <si>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</si>
  <si>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</si>
  <si>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</si>
  <si>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</si>
  <si>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</si>
  <si>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</si>
  <si>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</si>
  <si>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</si>
  <si>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</si>
  <si>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</si>
  <si>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</si>
  <si>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</si>
  <si>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</si>
  <si>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</si>
  <si>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</si>
  <si>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</si>
  <si>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</si>
  <si>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</si>
  <si>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</si>
  <si>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</si>
  <si>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</si>
  <si>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</si>
  <si>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</si>
  <si>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</si>
  <si>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</si>
  <si>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</si>
  <si>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</si>
  <si>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</si>
  <si>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</si>
  <si>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</si>
  <si>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</si>
  <si>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</si>
  <si>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</si>
  <si>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</si>
  <si>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</si>
  <si>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</si>
  <si>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</si>
  <si>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</si>
  <si>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</si>
  <si>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</si>
  <si>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</si>
  <si>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</si>
  <si>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</si>
  <si>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</si>
  <si>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</si>
  <si>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</si>
  <si>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</si>
  <si>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</si>
  <si>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</si>
  <si>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</si>
  <si>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</si>
  <si>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</si>
  <si>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</si>
  <si>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</si>
  <si>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</si>
  <si>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</si>
  <si>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</si>
  <si>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</si>
  <si>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</si>
  <si>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</si>
  <si>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</si>
  <si>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</si>
  <si>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</si>
  <si>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</si>
  <si>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</si>
  <si>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</si>
  <si>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</si>
  <si>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</si>
  <si>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</si>
  <si>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</si>
  <si>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</si>
  <si>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</si>
  <si>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</si>
  <si>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</si>
  <si>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</si>
  <si>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</si>
  <si>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</si>
  <si>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</si>
  <si>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</si>
  <si>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</si>
  <si>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</si>
  <si>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</si>
  <si>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</si>
  <si>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</si>
  <si>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</si>
  <si>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</si>
  <si>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</si>
  <si>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</si>
  <si>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</si>
  <si>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</si>
  <si>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</si>
  <si>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</si>
  <si>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</si>
  <si>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</si>
  <si>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</si>
  <si>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</si>
  <si>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</si>
  <si>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</si>
  <si>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</si>
  <si>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</si>
  <si>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</si>
  <si>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</si>
  <si>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</si>
  <si>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</si>
  <si>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</si>
  <si>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</si>
  <si>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</si>
  <si>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</si>
  <si>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</si>
  <si>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</si>
  <si>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</si>
  <si>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</si>
  <si>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</si>
  <si>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</si>
  <si>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</si>
  <si>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</si>
  <si>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</si>
  <si>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</si>
  <si>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</si>
  <si>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</si>
  <si>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</si>
  <si>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</si>
  <si>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</si>
  <si>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</si>
  <si>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</si>
  <si>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</si>
  <si>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</si>
  <si>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</si>
  <si>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</si>
  <si>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</si>
  <si>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</si>
  <si>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</si>
  <si>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</si>
  <si>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</si>
  <si>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</si>
  <si>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</si>
  <si>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</si>
  <si>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</si>
  <si>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</si>
  <si>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</si>
  <si>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</si>
  <si>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</si>
  <si>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</si>
  <si>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</si>
  <si>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</si>
  <si>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</si>
  <si>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</si>
  <si>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</si>
  <si>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</si>
  <si>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</si>
  <si>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</si>
  <si>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</si>
  <si>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</si>
  <si>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</si>
  <si>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</si>
  <si>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</si>
  <si>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</si>
  <si>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</si>
  <si>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</si>
  <si>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</si>
  <si>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</si>
  <si>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</si>
  <si>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</si>
  <si>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</si>
  <si>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</si>
  <si>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</si>
  <si>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</si>
  <si>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</si>
  <si>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</si>
  <si>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</si>
  <si>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</si>
  <si>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</si>
  <si>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</si>
  <si>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</si>
  <si>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</si>
  <si>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</si>
  <si>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</si>
  <si>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</si>
  <si>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</si>
  <si>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</si>
  <si>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</si>
  <si>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</si>
  <si>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</si>
  <si>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</si>
  <si>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</si>
  <si>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</si>
  <si>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</si>
  <si>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</si>
  <si>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</si>
  <si>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</si>
  <si>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</si>
  <si>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</si>
  <si>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</si>
  <si>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</si>
  <si>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</si>
  <si>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</si>
  <si>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</si>
  <si>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</si>
  <si>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</si>
  <si>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</si>
  <si>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</si>
  <si>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</si>
  <si>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</si>
  <si>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</si>
  <si>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</si>
  <si>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</si>
  <si>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</si>
  <si>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</si>
  <si>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</si>
  <si>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</si>
  <si>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</si>
  <si>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</si>
  <si>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</si>
  <si>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</si>
  <si>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</si>
  <si>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</si>
  <si>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</si>
  <si>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</si>
  <si>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</si>
  <si>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</si>
  <si>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</si>
  <si>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</si>
  <si>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</si>
  <si>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</si>
  <si>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</si>
  <si>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</si>
  <si>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</si>
  <si>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</si>
  <si>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</si>
  <si>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</si>
  <si>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</si>
  <si>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</si>
  <si>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</si>
  <si>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</si>
  <si>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</si>
  <si>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</si>
  <si>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</si>
  <si>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</si>
  <si>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</si>
  <si>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</si>
  <si>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</si>
  <si>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</si>
  <si>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</si>
  <si>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</si>
  <si>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</si>
  <si>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</si>
  <si>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</si>
  <si>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</si>
  <si>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</si>
  <si>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</si>
  <si>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</si>
  <si>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</si>
  <si>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</si>
  <si>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</si>
  <si>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</si>
  <si>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</si>
  <si>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</si>
  <si>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</si>
  <si>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</si>
  <si>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</si>
  <si>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</si>
  <si>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</si>
  <si>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</si>
  <si>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</si>
  <si>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</si>
  <si>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</si>
  <si>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</si>
  <si>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</si>
  <si>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</si>
  <si>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</si>
  <si>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</si>
  <si>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</si>
  <si>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</si>
  <si>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</si>
  <si>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</si>
  <si>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</si>
  <si>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</si>
  <si>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</si>
  <si>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</si>
  <si>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</si>
  <si>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</si>
  <si>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</si>
  <si>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</si>
  <si>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</si>
  <si>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</si>
  <si>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</si>
  <si>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</si>
  <si>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</si>
  <si>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</si>
  <si>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</si>
  <si>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</si>
  <si>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</si>
  <si>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</si>
  <si>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</si>
  <si>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</si>
  <si>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</si>
  <si>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</si>
  <si>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</si>
  <si>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</si>
  <si>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</si>
  <si>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</si>
  <si>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</si>
  <si>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</si>
  <si>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</si>
  <si>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</si>
  <si>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</si>
  <si>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</si>
  <si>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</si>
  <si>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</si>
  <si>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</si>
  <si>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</si>
  <si>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</si>
  <si>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</si>
  <si>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</si>
  <si>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</si>
  <si>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</si>
  <si>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</si>
  <si>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</si>
  <si>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</si>
  <si>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</si>
  <si>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</si>
  <si>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</si>
  <si>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</si>
  <si>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</si>
  <si>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</si>
  <si>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</si>
  <si>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</si>
  <si>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</si>
  <si>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</si>
  <si>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</si>
  <si>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</si>
  <si>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</si>
  <si>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</si>
  <si>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</si>
  <si>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</si>
  <si>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</si>
  <si>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</si>
  <si>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</si>
  <si>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</si>
  <si>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</si>
  <si>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</si>
  <si>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</si>
  <si>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</si>
  <si>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</si>
  <si>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</si>
  <si>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</si>
  <si>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</si>
  <si>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</si>
  <si>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</si>
  <si>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</si>
  <si>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</si>
  <si>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</si>
  <si>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</si>
  <si>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</si>
  <si>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</si>
  <si>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</si>
  <si>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</si>
  <si>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</si>
  <si>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</si>
  <si>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</si>
  <si>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</si>
  <si>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</si>
  <si>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</si>
  <si>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</si>
  <si>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</si>
  <si>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</si>
  <si>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</si>
  <si>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</si>
  <si>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</si>
  <si>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</si>
  <si>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</si>
  <si>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</si>
  <si>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</si>
  <si>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</si>
  <si>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</si>
  <si>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</si>
  <si>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</si>
  <si>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</si>
  <si>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</si>
  <si>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</si>
  <si>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</si>
  <si>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</si>
  <si>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</si>
  <si>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</si>
  <si>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</si>
  <si>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</si>
  <si>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</si>
  <si>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</si>
  <si>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</si>
  <si>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</si>
  <si>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</si>
  <si>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</si>
  <si>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</si>
  <si>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</si>
  <si>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</si>
  <si>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</si>
  <si>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</si>
  <si>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</si>
  <si>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</si>
  <si>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</si>
  <si>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</si>
  <si>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</si>
  <si>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</si>
  <si>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</si>
  <si>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</si>
  <si>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</si>
  <si>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</si>
  <si>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</si>
  <si>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</si>
  <si>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</si>
  <si>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</si>
  <si>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</si>
  <si>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</si>
  <si>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</si>
  <si>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</si>
  <si>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</si>
  <si>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</si>
  <si>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</si>
  <si>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</si>
  <si>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</si>
  <si>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</si>
  <si>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</si>
  <si>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</si>
  <si>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</si>
  <si>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</si>
  <si>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</si>
  <si>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</si>
  <si>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</si>
  <si>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</si>
  <si>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</si>
  <si>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</si>
  <si>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</si>
  <si>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</si>
  <si>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</si>
  <si>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</si>
  <si>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</si>
  <si>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</si>
  <si>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</si>
  <si>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</si>
  <si>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</si>
  <si>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</si>
  <si>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</si>
  <si>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</si>
  <si>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</si>
  <si>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</si>
  <si>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</si>
  <si>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</si>
  <si>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</si>
  <si>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</si>
  <si>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</si>
  <si>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</si>
  <si>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</si>
  <si>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</si>
  <si>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</si>
  <si>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</si>
  <si>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</si>
  <si>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</si>
  <si>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</si>
  <si>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</si>
  <si>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</si>
  <si>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</si>
  <si>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</si>
  <si>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</si>
  <si>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</si>
  <si>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</si>
  <si>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</si>
  <si>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</si>
  <si>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</si>
  <si>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</si>
  <si>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</si>
  <si>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</si>
  <si>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</si>
  <si>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</si>
  <si>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</si>
  <si>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</si>
  <si>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</si>
  <si>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</si>
  <si>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</si>
  <si>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</si>
  <si>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</si>
  <si>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</si>
  <si>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</si>
  <si>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</si>
  <si>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</si>
  <si>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</si>
  <si>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</si>
  <si>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</si>
  <si>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</si>
  <si>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</si>
  <si>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</si>
  <si>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</si>
  <si>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</si>
  <si>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</si>
  <si>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</si>
  <si>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</si>
  <si>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</si>
  <si>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</si>
  <si>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</si>
  <si>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</si>
  <si>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</si>
  <si>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</si>
  <si>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</si>
  <si>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</si>
  <si>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</si>
  <si>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</si>
  <si>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</si>
  <si>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</si>
  <si>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</si>
  <si>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</si>
  <si>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</si>
  <si>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</si>
  <si>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</si>
  <si>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</si>
  <si>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</si>
  <si>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</si>
  <si>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</si>
  <si>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</si>
  <si>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</si>
  <si>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</si>
  <si>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</si>
  <si>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</si>
  <si>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</si>
  <si>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</si>
  <si>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</si>
  <si>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</si>
  <si>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</si>
  <si>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</si>
  <si>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</si>
  <si>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</si>
  <si>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</si>
  <si>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</si>
  <si>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</si>
  <si>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</si>
  <si>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</si>
  <si>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</si>
  <si>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</si>
  <si>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</si>
  <si>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</si>
  <si>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</si>
  <si>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</si>
  <si>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</si>
  <si>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</si>
  <si>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</si>
  <si>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</si>
  <si>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</si>
  <si>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</si>
  <si>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</si>
  <si>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</si>
  <si>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</si>
  <si>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</si>
  <si>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</si>
  <si>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</si>
  <si>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</si>
  <si>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</si>
  <si>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</si>
  <si>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</si>
  <si>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</si>
  <si>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</si>
  <si>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</si>
  <si>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</si>
  <si>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</si>
  <si>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</si>
  <si>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</si>
  <si>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</si>
  <si>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</si>
  <si>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</si>
  <si>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</si>
  <si>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</si>
  <si>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</si>
  <si>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</si>
  <si>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</si>
  <si>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</si>
  <si>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</si>
  <si>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</si>
  <si>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</si>
  <si>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</si>
  <si>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</si>
  <si>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</si>
  <si>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</si>
  <si>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</si>
  <si>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</si>
  <si>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</si>
  <si>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</si>
  <si>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</si>
  <si>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</si>
  <si>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</si>
  <si>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</si>
  <si>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</si>
  <si>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</si>
  <si>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</si>
  <si>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</si>
  <si>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</si>
  <si>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</si>
  <si>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</si>
  <si>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</si>
  <si>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</si>
  <si>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</si>
  <si>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</si>
  <si>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</si>
  <si>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</si>
  <si>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</si>
  <si>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</si>
  <si>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</si>
  <si>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</si>
  <si>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</si>
  <si>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</si>
  <si>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</si>
  <si>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</si>
  <si>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</si>
  <si>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</si>
  <si>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</si>
  <si>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</si>
  <si>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</si>
  <si>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</si>
  <si>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</si>
  <si>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</si>
  <si>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</si>
  <si>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</si>
  <si>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</si>
  <si>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</si>
  <si>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</si>
  <si>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</si>
  <si>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</si>
  <si>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</si>
  <si>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</si>
  <si>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</si>
  <si>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</si>
  <si>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</si>
  <si>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</si>
  <si>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</si>
  <si>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</si>
  <si>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</si>
  <si>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</si>
  <si>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</si>
  <si>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</si>
  <si>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</si>
  <si>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</si>
  <si>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</si>
  <si>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</si>
  <si>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</si>
  <si>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</si>
  <si>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</si>
  <si>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</si>
  <si>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</si>
  <si>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</si>
  <si>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</si>
  <si>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</si>
  <si>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</si>
  <si>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</si>
  <si>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</si>
  <si>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</si>
  <si>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</si>
  <si>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</si>
  <si>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</si>
  <si>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</si>
  <si>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</si>
  <si>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</si>
  <si>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</si>
  <si>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</si>
  <si>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</si>
  <si>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</si>
  <si>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</si>
  <si>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</si>
  <si>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</si>
  <si>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</si>
  <si>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</si>
  <si>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</si>
  <si>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</si>
  <si>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</si>
  <si>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</si>
  <si>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</si>
  <si>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</si>
  <si>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</si>
  <si>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</si>
  <si>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</si>
  <si>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</si>
  <si>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</si>
  <si>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</si>
  <si>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</si>
  <si>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</si>
  <si>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</si>
  <si>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</si>
  <si>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</si>
  <si>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</si>
  <si>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</si>
  <si>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</si>
  <si>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</si>
  <si>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</si>
  <si>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</si>
  <si>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</si>
  <si>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</si>
  <si>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</si>
  <si>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</si>
  <si>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</si>
  <si>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</si>
  <si>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</si>
  <si>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</si>
  <si>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</si>
  <si>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</si>
  <si>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</si>
  <si>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</si>
  <si>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</si>
  <si>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</si>
  <si>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</si>
  <si>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</si>
  <si>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</si>
  <si>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</si>
  <si>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</si>
  <si>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</si>
  <si>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</si>
  <si>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</si>
  <si>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</si>
  <si>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</si>
  <si>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</si>
  <si>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</si>
  <si>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</si>
  <si>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</si>
  <si>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</si>
  <si>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</si>
  <si>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</si>
  <si>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</si>
  <si>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</si>
  <si>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</si>
  <si>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</si>
  <si>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</si>
  <si>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</si>
  <si>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</si>
  <si>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</si>
  <si>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</si>
  <si>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</si>
  <si>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</si>
  <si>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</si>
  <si>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</si>
  <si>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</si>
  <si>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</si>
  <si>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</si>
  <si>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</si>
  <si>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</si>
  <si>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</si>
  <si>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</si>
  <si>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</si>
  <si>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</si>
  <si>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</si>
  <si>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</si>
  <si>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</si>
  <si>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</si>
  <si>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</si>
  <si>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</si>
  <si>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</si>
  <si>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</si>
  <si>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</si>
  <si>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</si>
  <si>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</si>
  <si>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</si>
  <si>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</si>
  <si>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</si>
  <si>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</si>
  <si>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</si>
  <si>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</si>
  <si>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</si>
  <si>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</si>
  <si>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</si>
  <si>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</si>
  <si>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</si>
  <si>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</si>
  <si>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</si>
  <si>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</si>
  <si>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</si>
  <si>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</si>
  <si>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</si>
  <si>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</si>
  <si>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</si>
  <si>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</si>
  <si>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</si>
  <si>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</si>
  <si>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</si>
  <si>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</si>
  <si>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</si>
  <si>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</si>
  <si>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</si>
  <si>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</si>
  <si>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</si>
  <si>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</si>
  <si>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</si>
  <si>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</si>
  <si>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</si>
  <si>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</si>
  <si>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</si>
  <si>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</si>
  <si>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</si>
  <si>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</si>
  <si>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</si>
  <si>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</si>
  <si>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</si>
  <si>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</si>
  <si>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</si>
  <si>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</si>
  <si>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</si>
  <si>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</si>
  <si>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</si>
  <si>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</si>
  <si>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</si>
  <si>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</si>
  <si>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</si>
  <si>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</si>
  <si>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</si>
  <si>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</si>
  <si>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</si>
  <si>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</si>
  <si>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</si>
  <si>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</si>
  <si>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</si>
  <si>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</si>
  <si>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</si>
  <si>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</si>
  <si>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</si>
  <si>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</si>
  <si>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</si>
  <si>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</si>
  <si>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</si>
  <si>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</si>
  <si>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</si>
  <si>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</si>
  <si>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</si>
  <si>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</si>
  <si>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</si>
  <si>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</si>
  <si>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</si>
  <si>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</si>
  <si>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</si>
  <si>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</si>
  <si>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</si>
  <si>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</si>
  <si>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</si>
  <si>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</si>
  <si>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</si>
  <si>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</si>
  <si>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</si>
  <si>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</si>
  <si>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</si>
  <si>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</si>
  <si>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</si>
  <si>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</si>
  <si>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</si>
  <si>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</si>
  <si>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</si>
  <si>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</si>
  <si>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</si>
  <si>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</si>
  <si>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</si>
  <si>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</si>
  <si>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</si>
  <si>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</si>
  <si>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</si>
  <si>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</si>
  <si>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</si>
  <si>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</si>
  <si>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</si>
  <si>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</si>
  <si>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</si>
  <si>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</si>
  <si>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</si>
  <si>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</si>
  <si>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</si>
  <si>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</si>
  <si>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</si>
  <si>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</si>
  <si>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</si>
  <si>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</si>
  <si>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</si>
  <si>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</si>
  <si>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</si>
  <si>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</si>
  <si>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</si>
  <si>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</si>
  <si>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</si>
  <si>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</si>
  <si>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</si>
  <si>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</si>
  <si>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</si>
  <si>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</si>
  <si>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</si>
  <si>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</si>
  <si>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</si>
  <si>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</si>
  <si>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</si>
  <si>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</si>
  <si>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</si>
  <si>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</si>
  <si>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</si>
  <si>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</si>
  <si>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</si>
  <si>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</si>
  <si>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</si>
  <si>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</si>
  <si>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</si>
  <si>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</si>
  <si>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</si>
  <si>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</si>
  <si>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</si>
  <si>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</si>
  <si>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</si>
  <si>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</si>
  <si>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</si>
  <si>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</si>
  <si>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</si>
  <si>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</si>
  <si>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</si>
  <si>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</si>
  <si>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</si>
  <si>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</si>
  <si>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</si>
  <si>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</si>
  <si>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</si>
  <si>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</si>
  <si>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</si>
  <si>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</si>
  <si>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</si>
  <si>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</si>
  <si>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</si>
  <si>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</si>
  <si>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</si>
  <si>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</si>
  <si>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</si>
  <si>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</si>
  <si>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</si>
  <si>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</si>
  <si>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</si>
  <si>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</si>
  <si>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</si>
  <si>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</si>
  <si>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</si>
  <si>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</si>
  <si>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</si>
  <si>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</si>
  <si>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</si>
  <si>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</si>
  <si>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</si>
  <si>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</si>
  <si>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</si>
  <si>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</si>
  <si>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</si>
  <si>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</si>
  <si>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</si>
  <si>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</si>
  <si>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</si>
  <si>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</si>
  <si>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</si>
  <si>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</si>
  <si>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</si>
  <si>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</si>
  <si>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</si>
  <si>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</si>
  <si>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</si>
  <si>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</si>
  <si>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</si>
  <si>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</si>
  <si>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</si>
  <si>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</si>
  <si>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</si>
  <si>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</si>
  <si>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</si>
  <si>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</si>
  <si>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</si>
  <si>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</si>
  <si>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</si>
  <si>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</si>
  <si>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</si>
  <si>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</si>
  <si>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</si>
  <si>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</si>
  <si>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</si>
  <si>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</si>
  <si>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</si>
  <si>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</si>
  <si>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</si>
  <si>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</si>
  <si>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</si>
  <si>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</si>
  <si>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</si>
  <si>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</si>
  <si>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</si>
  <si>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</si>
  <si>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</si>
  <si>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</si>
  <si>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</si>
  <si>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</si>
  <si>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</si>
  <si>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</si>
  <si>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</si>
  <si>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</si>
  <si>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</si>
  <si>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</si>
  <si>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</si>
  <si>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</si>
  <si>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</si>
  <si>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</si>
  <si>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</si>
  <si>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</si>
  <si>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</si>
  <si>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</si>
  <si>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</si>
  <si>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</si>
  <si>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</si>
  <si>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</si>
  <si>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</si>
  <si>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</si>
  <si>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</si>
  <si>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</si>
  <si>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</si>
  <si>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</si>
  <si>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</si>
  <si>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</si>
  <si>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</si>
  <si>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</si>
  <si>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</si>
  <si>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</si>
  <si>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</si>
  <si>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</si>
  <si>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</si>
  <si>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</si>
  <si>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</si>
  <si>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</si>
  <si>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</si>
  <si>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</si>
  <si>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</si>
  <si>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</si>
  <si>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</si>
  <si>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</si>
  <si>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</si>
  <si>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</si>
  <si>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</si>
  <si>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</si>
  <si>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</si>
  <si>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</si>
  <si>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</si>
  <si>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</si>
  <si>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</si>
  <si>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</si>
  <si>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</si>
  <si>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</si>
  <si>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</si>
  <si>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</si>
  <si>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</si>
  <si>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</si>
  <si>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</si>
  <si>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</si>
  <si>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</si>
  <si>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</si>
  <si>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</si>
  <si>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</si>
  <si>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</si>
  <si>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</si>
  <si>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</si>
  <si>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</si>
  <si>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</si>
  <si>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</si>
  <si>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</si>
  <si>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</si>
  <si>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</si>
  <si>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</si>
  <si>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</si>
  <si>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</si>
  <si>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</si>
  <si>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</si>
  <si>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</si>
  <si>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</si>
  <si>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</si>
  <si>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</si>
  <si>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</si>
  <si>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</si>
  <si>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</si>
  <si>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</si>
  <si>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</si>
  <si>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</si>
  <si>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</si>
  <si>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</si>
  <si>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</si>
  <si>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</si>
  <si>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</si>
  <si>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</si>
  <si>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</si>
  <si>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</si>
  <si>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</si>
  <si>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</si>
  <si>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</si>
  <si>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</si>
  <si>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</si>
  <si>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</si>
  <si>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</si>
  <si>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</si>
  <si>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</si>
  <si>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</si>
  <si>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</si>
  <si>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</si>
  <si>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</si>
  <si>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</si>
  <si>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</si>
  <si>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</si>
  <si>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</si>
  <si>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</si>
  <si>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</si>
  <si>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</si>
  <si>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</si>
  <si>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</si>
  <si>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</si>
  <si>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</si>
  <si>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</si>
  <si>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</si>
  <si>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</si>
  <si>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</si>
  <si>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</si>
  <si>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</si>
  <si>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</si>
  <si>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</si>
  <si>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</si>
  <si>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</si>
  <si>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</si>
  <si>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</si>
  <si>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</si>
  <si>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</si>
  <si>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</si>
  <si>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</si>
  <si>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</si>
  <si>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</si>
  <si>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</si>
  <si>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</si>
  <si>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</si>
  <si>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</si>
  <si>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</si>
  <si>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</si>
  <si>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</si>
  <si>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</si>
  <si>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</si>
  <si>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</si>
  <si>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</si>
  <si>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</si>
  <si>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</si>
  <si>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</si>
  <si>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</si>
  <si>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</si>
  <si>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</si>
  <si>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</si>
  <si>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</si>
  <si>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</si>
  <si>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</si>
  <si>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</si>
  <si>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</si>
  <si>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</si>
  <si>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</si>
  <si>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</si>
  <si>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</si>
  <si>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</si>
  <si>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</si>
  <si>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</si>
  <si>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</si>
  <si>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</si>
  <si>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</si>
  <si>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</si>
  <si>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</si>
  <si>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</si>
  <si>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</si>
  <si>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</si>
  <si>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</si>
  <si>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</si>
  <si>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</si>
  <si>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</si>
  <si>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</si>
  <si>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</si>
  <si>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</si>
  <si>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</si>
  <si>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</si>
  <si>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</si>
  <si>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</si>
  <si>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</si>
  <si>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</si>
  <si>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</si>
  <si>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</si>
  <si>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</si>
  <si>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</si>
  <si>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</si>
  <si>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</si>
  <si>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</si>
  <si>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</si>
  <si>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</si>
  <si>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</si>
  <si>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</si>
  <si>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</si>
  <si>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</si>
  <si>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</si>
  <si>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</si>
  <si>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</si>
  <si>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</si>
  <si>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</si>
  <si>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</si>
  <si>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</si>
  <si>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</si>
  <si>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</si>
  <si>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</si>
  <si>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</si>
  <si>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</si>
  <si>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</si>
  <si>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</si>
  <si>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</si>
  <si>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</si>
  <si>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</si>
  <si>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</si>
  <si>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</si>
  <si>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</si>
  <si>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</si>
  <si>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</si>
  <si>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</si>
  <si>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</si>
  <si>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</si>
  <si>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</si>
  <si>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</si>
  <si>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</si>
  <si>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</si>
  <si>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</si>
  <si>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</si>
  <si>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</si>
  <si>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</si>
  <si>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</si>
  <si>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</si>
  <si>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</si>
  <si>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</si>
  <si>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</si>
  <si>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</si>
  <si>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</si>
  <si>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</si>
  <si>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</si>
  <si>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</si>
  <si>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</si>
  <si>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</si>
  <si>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</si>
  <si>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</si>
  <si>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</si>
  <si>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</si>
  <si>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</si>
  <si>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</si>
  <si>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</si>
  <si>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</si>
  <si>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</si>
  <si>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</si>
  <si>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</si>
  <si>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</si>
  <si>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</si>
  <si>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</si>
  <si>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</si>
  <si>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</si>
  <si>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</si>
  <si>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</si>
  <si>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</si>
  <si>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</si>
  <si>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Adv Payment against new (Online by universal adeel )</t>
  </si>
  <si>
    <t>Rehan bhai cash withdrawl</t>
  </si>
  <si>
    <t>2166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</si>
</sst>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866">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23-Dec-23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3.633568865742" createdVersion="5" refreshedVersion="8" minRefreshableVersion="3" recordCount="17924" xr:uid="{00000000-000A-0000-FFFF-FFFF2E000000}">
  <cacheSource type="worksheet">
    <worksheetSource ref="A1:H18908" sheet="Posting"/>
  </cacheSource>
  <cacheFields count="8">
    <cacheField name="Date" numFmtId="0">
      <sharedItems containsDate="1" containsBlank="1" containsMixedTypes="1" minDate="2013-12-15T00:00:00" maxDate="2023-12-24T00:00:00" count="221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3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Zubair AC"/>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8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MCB chq 1968625841"/>
        <s v="MCB chq 1968625842"/>
        <s v="MCB 1973738845 = 83858"/>
        <s v="MCB chq 1968625844"/>
        <s v="MCB 1973738846"/>
        <s v="MCB 1973738847"/>
        <s v="MCB 1973738848 = 179,000"/>
        <s v="CHQ given Paid for 200 P3 sheet  i.e 10,400 SFT ducting_x000a_(CHQ Rec from Total in BAH Payment rec on 16 Dec 23)"/>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XXXXXXXXXXXXXXXX)"/>
        <s v="Received from Total (cash cross cheque given to  Habib Insulation against 200 P3 sheet  i.e 10,400 SFT ducting)"/>
        <s v="Received from Total (hard cash received)"/>
        <s v="Received from IK Associatse (Given to Al madina steel Traders) Final payment"/>
        <s v="Received from NEC (Chq given to ST brother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83.688722916668" createdVersion="5" refreshedVersion="8" minRefreshableVersion="3" recordCount="4595" xr:uid="{00000000-000A-0000-FFFF-FFFF2F000000}">
  <cacheSource type="worksheet">
    <worksheetSource ref="A1:H5980" sheet="Supplier"/>
  </cacheSource>
  <cacheFields count="8">
    <cacheField name="Date" numFmtId="0">
      <sharedItems containsNonDate="0" containsDate="1" containsString="0" containsBlank="1" minDate="2015-11-24T00:00:00" maxDate="2023-12-24T00:00:00" count="1282">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23-12-20T00:00:00"/>
        <d v="2023-12-23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3">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2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22"/>
    <x v="43"/>
    <x v="9215"/>
    <n v="136964.58333333334"/>
    <m/>
    <n v="-136964.58333333334"/>
    <x v="110"/>
  </r>
  <r>
    <x v="2111"/>
    <x v="97"/>
    <x v="43"/>
    <x v="5437"/>
    <n v="25050"/>
    <m/>
    <n v="-25050"/>
    <x v="110"/>
  </r>
  <r>
    <x v="2111"/>
    <x v="90"/>
    <x v="761"/>
    <x v="6729"/>
    <n v="9300"/>
    <m/>
    <n v="-9300"/>
    <x v="110"/>
  </r>
  <r>
    <x v="2111"/>
    <x v="90"/>
    <x v="655"/>
    <x v="9216"/>
    <n v="24000"/>
    <m/>
    <n v="-24000"/>
    <x v="110"/>
  </r>
  <r>
    <x v="2111"/>
    <x v="4"/>
    <x v="434"/>
    <x v="9217"/>
    <n v="2200"/>
    <m/>
    <n v="-2200"/>
    <x v="110"/>
  </r>
  <r>
    <x v="2111"/>
    <x v="97"/>
    <x v="43"/>
    <x v="9218"/>
    <n v="45750"/>
    <m/>
    <n v="-45750"/>
    <x v="110"/>
  </r>
  <r>
    <x v="2111"/>
    <x v="4"/>
    <x v="2"/>
    <x v="9219"/>
    <n v="880"/>
    <m/>
    <n v="-880"/>
    <x v="110"/>
  </r>
  <r>
    <x v="2111"/>
    <x v="4"/>
    <x v="4"/>
    <x v="9111"/>
    <n v="4000"/>
    <m/>
    <n v="-4000"/>
    <x v="110"/>
  </r>
  <r>
    <x v="2112"/>
    <x v="80"/>
    <x v="474"/>
    <x v="233"/>
    <n v="2000"/>
    <m/>
    <n v="-2000"/>
    <x v="110"/>
  </r>
  <r>
    <x v="2112"/>
    <x v="23"/>
    <x v="43"/>
    <x v="9220"/>
    <n v="39300"/>
    <m/>
    <n v="-39300"/>
    <x v="110"/>
  </r>
  <r>
    <x v="2112"/>
    <x v="76"/>
    <x v="286"/>
    <x v="9221"/>
    <n v="7000"/>
    <m/>
    <n v="-7000"/>
    <x v="110"/>
  </r>
  <r>
    <x v="2112"/>
    <x v="81"/>
    <x v="286"/>
    <x v="9221"/>
    <n v="52000"/>
    <m/>
    <n v="-52000"/>
    <x v="110"/>
  </r>
  <r>
    <x v="2112"/>
    <x v="73"/>
    <x v="773"/>
    <x v="8731"/>
    <n v="400000"/>
    <m/>
    <n v="-400000"/>
    <x v="110"/>
  </r>
  <r>
    <x v="2112"/>
    <x v="73"/>
    <x v="773"/>
    <x v="8731"/>
    <n v="600000"/>
    <m/>
    <n v="-600000"/>
    <x v="110"/>
  </r>
  <r>
    <x v="2113"/>
    <x v="98"/>
    <x v="774"/>
    <x v="9222"/>
    <n v="1500000"/>
    <m/>
    <n v="-1500000"/>
    <x v="110"/>
  </r>
  <r>
    <x v="2113"/>
    <x v="4"/>
    <x v="4"/>
    <x v="9223"/>
    <n v="15000"/>
    <m/>
    <n v="-15000"/>
    <x v="110"/>
  </r>
  <r>
    <x v="2113"/>
    <x v="98"/>
    <x v="465"/>
    <x v="9224"/>
    <n v="10000"/>
    <m/>
    <n v="-10000"/>
    <x v="110"/>
  </r>
  <r>
    <x v="2113"/>
    <x v="93"/>
    <x v="278"/>
    <x v="9225"/>
    <n v="3900"/>
    <m/>
    <n v="-3900"/>
    <x v="110"/>
  </r>
  <r>
    <x v="2114"/>
    <x v="79"/>
    <x v="474"/>
    <x v="898"/>
    <n v="1000"/>
    <m/>
    <n v="-1000"/>
    <x v="110"/>
  </r>
  <r>
    <x v="2114"/>
    <x v="84"/>
    <x v="737"/>
    <x v="9226"/>
    <n v="40000"/>
    <m/>
    <n v="-40000"/>
    <x v="110"/>
  </r>
  <r>
    <x v="2114"/>
    <x v="79"/>
    <x v="474"/>
    <x v="9227"/>
    <n v="2000"/>
    <m/>
    <n v="-2000"/>
    <x v="110"/>
  </r>
  <r>
    <x v="2114"/>
    <x v="93"/>
    <x v="474"/>
    <x v="8211"/>
    <n v="250"/>
    <m/>
    <n v="-250"/>
    <x v="110"/>
  </r>
  <r>
    <x v="2114"/>
    <x v="73"/>
    <x v="775"/>
    <x v="9228"/>
    <n v="155000"/>
    <m/>
    <n v="-155000"/>
    <x v="110"/>
  </r>
  <r>
    <x v="2114"/>
    <x v="93"/>
    <x v="58"/>
    <x v="9229"/>
    <n v="23750"/>
    <m/>
    <n v="-23750"/>
    <x v="110"/>
  </r>
  <r>
    <x v="2114"/>
    <x v="79"/>
    <x v="58"/>
    <x v="9229"/>
    <n v="23750"/>
    <m/>
    <n v="-23750"/>
    <x v="110"/>
  </r>
  <r>
    <x v="2114"/>
    <x v="84"/>
    <x v="58"/>
    <x v="9229"/>
    <n v="23750"/>
    <m/>
    <n v="-23750"/>
    <x v="110"/>
  </r>
  <r>
    <x v="2114"/>
    <x v="80"/>
    <x v="58"/>
    <x v="9229"/>
    <n v="23750"/>
    <m/>
    <n v="-23750"/>
    <x v="110"/>
  </r>
  <r>
    <x v="2115"/>
    <x v="93"/>
    <x v="278"/>
    <x v="9230"/>
    <n v="20000"/>
    <m/>
    <n v="-20000"/>
    <x v="110"/>
  </r>
  <r>
    <x v="2115"/>
    <x v="84"/>
    <x v="278"/>
    <x v="9230"/>
    <n v="9600"/>
    <m/>
    <n v="-9600"/>
    <x v="110"/>
  </r>
  <r>
    <x v="2115"/>
    <x v="93"/>
    <x v="755"/>
    <x v="9231"/>
    <n v="143500"/>
    <m/>
    <n v="-143500"/>
    <x v="110"/>
  </r>
  <r>
    <x v="2115"/>
    <x v="98"/>
    <x v="45"/>
    <x v="9232"/>
    <n v="1500000"/>
    <m/>
    <n v="-1500000"/>
    <x v="110"/>
  </r>
  <r>
    <x v="2115"/>
    <x v="84"/>
    <x v="208"/>
    <x v="9232"/>
    <n v="1000000"/>
    <m/>
    <n v="-1000000"/>
    <x v="110"/>
  </r>
  <r>
    <x v="2115"/>
    <x v="98"/>
    <x v="660"/>
    <x v="9232"/>
    <n v="1000000"/>
    <m/>
    <n v="-1000000"/>
    <x v="110"/>
  </r>
  <r>
    <x v="2115"/>
    <x v="80"/>
    <x v="644"/>
    <x v="9233"/>
    <n v="250000"/>
    <m/>
    <n v="-250000"/>
    <x v="110"/>
  </r>
  <r>
    <x v="2115"/>
    <x v="84"/>
    <x v="644"/>
    <x v="9233"/>
    <n v="250000"/>
    <m/>
    <n v="-250000"/>
    <x v="110"/>
  </r>
  <r>
    <x v="2115"/>
    <x v="79"/>
    <x v="644"/>
    <x v="9233"/>
    <n v="250000"/>
    <m/>
    <n v="-250000"/>
    <x v="110"/>
  </r>
  <r>
    <x v="2115"/>
    <x v="90"/>
    <x v="644"/>
    <x v="9233"/>
    <n v="250000"/>
    <m/>
    <n v="-250000"/>
    <x v="110"/>
  </r>
  <r>
    <x v="2115"/>
    <x v="80"/>
    <x v="592"/>
    <x v="9232"/>
    <n v="1000000"/>
    <m/>
    <n v="-1000000"/>
    <x v="110"/>
  </r>
  <r>
    <x v="2115"/>
    <x v="93"/>
    <x v="278"/>
    <x v="9234"/>
    <n v="4150"/>
    <m/>
    <n v="-4150"/>
    <x v="110"/>
  </r>
  <r>
    <x v="2115"/>
    <x v="93"/>
    <x v="474"/>
    <x v="233"/>
    <n v="800"/>
    <m/>
    <n v="-800"/>
    <x v="110"/>
  </r>
  <r>
    <x v="2115"/>
    <x v="93"/>
    <x v="2"/>
    <x v="9235"/>
    <n v="50"/>
    <m/>
    <n v="-50"/>
    <x v="110"/>
  </r>
  <r>
    <x v="2115"/>
    <x v="7"/>
    <x v="27"/>
    <x v="6236"/>
    <n v="2060"/>
    <m/>
    <n v="-2060"/>
    <x v="110"/>
  </r>
  <r>
    <x v="2115"/>
    <x v="4"/>
    <x v="27"/>
    <x v="6236"/>
    <n v="7550"/>
    <m/>
    <n v="-7550"/>
    <x v="110"/>
  </r>
  <r>
    <x v="2115"/>
    <x v="84"/>
    <x v="2"/>
    <x v="9236"/>
    <n v="3000"/>
    <m/>
    <n v="-3000"/>
    <x v="110"/>
  </r>
  <r>
    <x v="2115"/>
    <x v="98"/>
    <x v="390"/>
    <x v="8329"/>
    <n v="9000"/>
    <m/>
    <n v="-9000"/>
    <x v="110"/>
  </r>
  <r>
    <x v="2115"/>
    <x v="98"/>
    <x v="474"/>
    <x v="9237"/>
    <n v="7500"/>
    <m/>
    <n v="-7500"/>
    <x v="110"/>
  </r>
  <r>
    <x v="2115"/>
    <x v="93"/>
    <x v="278"/>
    <x v="9238"/>
    <n v="40500"/>
    <m/>
    <n v="-40500"/>
    <x v="110"/>
  </r>
  <r>
    <x v="2115"/>
    <x v="93"/>
    <x v="278"/>
    <x v="9239"/>
    <n v="28000"/>
    <m/>
    <n v="-28000"/>
    <x v="110"/>
  </r>
  <r>
    <x v="2115"/>
    <x v="73"/>
    <x v="278"/>
    <x v="9240"/>
    <n v="4000"/>
    <m/>
    <n v="-4000"/>
    <x v="110"/>
  </r>
  <r>
    <x v="2115"/>
    <x v="73"/>
    <x v="278"/>
    <x v="9241"/>
    <n v="1500"/>
    <m/>
    <n v="-1500"/>
    <x v="110"/>
  </r>
  <r>
    <x v="2115"/>
    <x v="79"/>
    <x v="278"/>
    <x v="8486"/>
    <n v="1800"/>
    <m/>
    <n v="-1800"/>
    <x v="110"/>
  </r>
  <r>
    <x v="2115"/>
    <x v="80"/>
    <x v="278"/>
    <x v="7645"/>
    <n v="3000"/>
    <m/>
    <n v="-3000"/>
    <x v="110"/>
  </r>
  <r>
    <x v="2115"/>
    <x v="98"/>
    <x v="2"/>
    <x v="9242"/>
    <n v="1500"/>
    <m/>
    <n v="-1500"/>
    <x v="110"/>
  </r>
  <r>
    <x v="2115"/>
    <x v="73"/>
    <x v="474"/>
    <x v="233"/>
    <n v="1500"/>
    <m/>
    <n v="-1500"/>
    <x v="110"/>
  </r>
  <r>
    <x v="2115"/>
    <x v="73"/>
    <x v="2"/>
    <x v="3651"/>
    <n v="10600"/>
    <m/>
    <n v="-10600"/>
    <x v="110"/>
  </r>
  <r>
    <x v="2115"/>
    <x v="89"/>
    <x v="2"/>
    <x v="3651"/>
    <n v="12000"/>
    <m/>
    <n v="-12000"/>
    <x v="110"/>
  </r>
  <r>
    <x v="2115"/>
    <x v="95"/>
    <x v="397"/>
    <x v="9243"/>
    <n v="6000"/>
    <m/>
    <n v="-6000"/>
    <x v="110"/>
  </r>
  <r>
    <x v="2115"/>
    <x v="52"/>
    <x v="397"/>
    <x v="9243"/>
    <n v="24000"/>
    <m/>
    <n v="-24000"/>
    <x v="110"/>
  </r>
  <r>
    <x v="2115"/>
    <x v="95"/>
    <x v="415"/>
    <x v="9244"/>
    <n v="4000"/>
    <m/>
    <n v="-4000"/>
    <x v="110"/>
  </r>
  <r>
    <x v="2115"/>
    <x v="93"/>
    <x v="285"/>
    <x v="7068"/>
    <n v="1600"/>
    <m/>
    <n v="-1600"/>
    <x v="110"/>
  </r>
  <r>
    <x v="2116"/>
    <x v="80"/>
    <x v="278"/>
    <x v="1241"/>
    <n v="700"/>
    <m/>
    <n v="-700"/>
    <x v="110"/>
  </r>
  <r>
    <x v="2116"/>
    <x v="90"/>
    <x v="278"/>
    <x v="9245"/>
    <n v="2000"/>
    <m/>
    <n v="-2000"/>
    <x v="110"/>
  </r>
  <r>
    <x v="2116"/>
    <x v="80"/>
    <x v="474"/>
    <x v="233"/>
    <n v="1500"/>
    <m/>
    <n v="-1500"/>
    <x v="110"/>
  </r>
  <r>
    <x v="2116"/>
    <x v="93"/>
    <x v="474"/>
    <x v="9246"/>
    <n v="1500"/>
    <m/>
    <n v="-1500"/>
    <x v="110"/>
  </r>
  <r>
    <x v="2116"/>
    <x v="84"/>
    <x v="278"/>
    <x v="9247"/>
    <n v="6000"/>
    <m/>
    <n v="-6000"/>
    <x v="110"/>
  </r>
  <r>
    <x v="2116"/>
    <x v="79"/>
    <x v="474"/>
    <x v="233"/>
    <n v="250"/>
    <m/>
    <n v="-250"/>
    <x v="110"/>
  </r>
  <r>
    <x v="2116"/>
    <x v="68"/>
    <x v="65"/>
    <x v="9248"/>
    <n v="14707"/>
    <m/>
    <n v="-14707"/>
    <x v="110"/>
  </r>
  <r>
    <x v="2116"/>
    <x v="76"/>
    <x v="65"/>
    <x v="9248"/>
    <n v="41074"/>
    <m/>
    <n v="-41074"/>
    <x v="110"/>
  </r>
  <r>
    <x v="2116"/>
    <x v="80"/>
    <x v="65"/>
    <x v="9248"/>
    <n v="32306"/>
    <m/>
    <n v="-32306"/>
    <x v="110"/>
  </r>
  <r>
    <x v="2116"/>
    <x v="84"/>
    <x v="65"/>
    <x v="9248"/>
    <n v="5887"/>
    <m/>
    <n v="-5887"/>
    <x v="110"/>
  </r>
  <r>
    <x v="2116"/>
    <x v="90"/>
    <x v="65"/>
    <x v="9248"/>
    <n v="52104"/>
    <m/>
    <n v="-52104"/>
    <x v="110"/>
  </r>
  <r>
    <x v="2116"/>
    <x v="88"/>
    <x v="65"/>
    <x v="9248"/>
    <n v="1420"/>
    <m/>
    <n v="-1420"/>
    <x v="110"/>
  </r>
  <r>
    <x v="2116"/>
    <x v="93"/>
    <x v="65"/>
    <x v="9248"/>
    <n v="12502"/>
    <m/>
    <n v="-12502"/>
    <x v="110"/>
  </r>
  <r>
    <x v="2116"/>
    <x v="84"/>
    <x v="278"/>
    <x v="9249"/>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0"/>
    <n v="3450"/>
    <m/>
    <n v="-3450"/>
    <x v="110"/>
  </r>
  <r>
    <x v="2118"/>
    <x v="84"/>
    <x v="474"/>
    <x v="233"/>
    <n v="1500"/>
    <m/>
    <n v="-1500"/>
    <x v="110"/>
  </r>
  <r>
    <x v="2118"/>
    <x v="84"/>
    <x v="474"/>
    <x v="233"/>
    <n v="1000"/>
    <m/>
    <n v="-1000"/>
    <x v="110"/>
  </r>
  <r>
    <x v="2118"/>
    <x v="84"/>
    <x v="278"/>
    <x v="9251"/>
    <n v="6700"/>
    <m/>
    <n v="-6700"/>
    <x v="110"/>
  </r>
  <r>
    <x v="2118"/>
    <x v="7"/>
    <x v="2"/>
    <x v="9252"/>
    <n v="2350"/>
    <m/>
    <n v="-2350"/>
    <x v="110"/>
  </r>
  <r>
    <x v="2118"/>
    <x v="94"/>
    <x v="474"/>
    <x v="8211"/>
    <n v="250"/>
    <m/>
    <n v="-250"/>
    <x v="110"/>
  </r>
  <r>
    <x v="2118"/>
    <x v="4"/>
    <x v="43"/>
    <x v="9253"/>
    <n v="11000"/>
    <m/>
    <n v="-11000"/>
    <x v="110"/>
  </r>
  <r>
    <x v="2118"/>
    <x v="4"/>
    <x v="4"/>
    <x v="2576"/>
    <n v="1000"/>
    <m/>
    <n v="-1000"/>
    <x v="110"/>
  </r>
  <r>
    <x v="2118"/>
    <x v="98"/>
    <x v="278"/>
    <x v="9254"/>
    <n v="35300"/>
    <m/>
    <n v="-35300"/>
    <x v="110"/>
  </r>
  <r>
    <x v="2118"/>
    <x v="98"/>
    <x v="474"/>
    <x v="233"/>
    <n v="1400"/>
    <m/>
    <n v="-1400"/>
    <x v="110"/>
  </r>
  <r>
    <x v="2118"/>
    <x v="23"/>
    <x v="43"/>
    <x v="9255"/>
    <n v="28000"/>
    <m/>
    <n v="-28000"/>
    <x v="110"/>
  </r>
  <r>
    <x v="2118"/>
    <x v="4"/>
    <x v="21"/>
    <x v="9256"/>
    <n v="600"/>
    <m/>
    <n v="-600"/>
    <x v="110"/>
  </r>
  <r>
    <x v="2118"/>
    <x v="80"/>
    <x v="474"/>
    <x v="233"/>
    <n v="1500"/>
    <m/>
    <n v="-1500"/>
    <x v="110"/>
  </r>
  <r>
    <x v="2118"/>
    <x v="4"/>
    <x v="4"/>
    <x v="2576"/>
    <n v="3000"/>
    <m/>
    <n v="-3000"/>
    <x v="110"/>
  </r>
  <r>
    <x v="2118"/>
    <x v="73"/>
    <x v="776"/>
    <x v="9257"/>
    <n v="20000"/>
    <m/>
    <n v="-20000"/>
    <x v="110"/>
  </r>
  <r>
    <x v="2118"/>
    <x v="80"/>
    <x v="338"/>
    <x v="8439"/>
    <n v="150000"/>
    <m/>
    <n v="-150000"/>
    <x v="110"/>
  </r>
  <r>
    <x v="2118"/>
    <x v="73"/>
    <x v="278"/>
    <x v="9209"/>
    <n v="6080"/>
    <m/>
    <n v="-6080"/>
    <x v="110"/>
  </r>
  <r>
    <x v="2119"/>
    <x v="73"/>
    <x v="2"/>
    <x v="9258"/>
    <n v="1000"/>
    <m/>
    <n v="-1000"/>
    <x v="110"/>
  </r>
  <r>
    <x v="2119"/>
    <x v="73"/>
    <x v="278"/>
    <x v="9259"/>
    <n v="900"/>
    <m/>
    <n v="-900"/>
    <x v="110"/>
  </r>
  <r>
    <x v="2119"/>
    <x v="4"/>
    <x v="4"/>
    <x v="2576"/>
    <n v="1500"/>
    <m/>
    <n v="-1500"/>
    <x v="110"/>
  </r>
  <r>
    <x v="2119"/>
    <x v="84"/>
    <x v="277"/>
    <x v="9260"/>
    <n v="3400"/>
    <m/>
    <n v="-3400"/>
    <x v="110"/>
  </r>
  <r>
    <x v="2119"/>
    <x v="93"/>
    <x v="277"/>
    <x v="9260"/>
    <n v="3400"/>
    <m/>
    <n v="-3400"/>
    <x v="110"/>
  </r>
  <r>
    <x v="2119"/>
    <x v="80"/>
    <x v="277"/>
    <x v="9260"/>
    <n v="3400"/>
    <m/>
    <n v="-3400"/>
    <x v="110"/>
  </r>
  <r>
    <x v="2119"/>
    <x v="98"/>
    <x v="277"/>
    <x v="9260"/>
    <n v="3400"/>
    <m/>
    <n v="-3400"/>
    <x v="110"/>
  </r>
  <r>
    <x v="2119"/>
    <x v="73"/>
    <x v="277"/>
    <x v="9260"/>
    <n v="3400"/>
    <m/>
    <n v="-3400"/>
    <x v="110"/>
  </r>
  <r>
    <x v="2120"/>
    <x v="48"/>
    <x v="2"/>
    <x v="9261"/>
    <n v="300"/>
    <m/>
    <n v="-300"/>
    <x v="110"/>
  </r>
  <r>
    <x v="2120"/>
    <x v="84"/>
    <x v="285"/>
    <x v="7872"/>
    <n v="200"/>
    <m/>
    <n v="-200"/>
    <x v="110"/>
  </r>
  <r>
    <x v="2103"/>
    <x v="74"/>
    <x v="542"/>
    <x v="9262"/>
    <n v="80000"/>
    <m/>
    <n v="-80000"/>
    <x v="110"/>
  </r>
  <r>
    <x v="2106"/>
    <x v="79"/>
    <x v="751"/>
    <x v="9263"/>
    <n v="250000"/>
    <m/>
    <n v="-250000"/>
    <x v="110"/>
  </r>
  <r>
    <x v="2110"/>
    <x v="89"/>
    <x v="261"/>
    <x v="9264"/>
    <n v="15900"/>
    <m/>
    <n v="-15900"/>
    <x v="110"/>
  </r>
  <r>
    <x v="2110"/>
    <x v="23"/>
    <x v="261"/>
    <x v="9264"/>
    <n v="32760"/>
    <m/>
    <n v="-32760"/>
    <x v="110"/>
  </r>
  <r>
    <x v="2110"/>
    <x v="22"/>
    <x v="261"/>
    <x v="9264"/>
    <n v="35360"/>
    <m/>
    <n v="-35360"/>
    <x v="110"/>
  </r>
  <r>
    <x v="2112"/>
    <x v="79"/>
    <x v="760"/>
    <x v="9265"/>
    <n v="250000"/>
    <m/>
    <n v="-250000"/>
    <x v="110"/>
  </r>
  <r>
    <x v="2113"/>
    <x v="84"/>
    <x v="635"/>
    <x v="9266"/>
    <n v="150000"/>
    <m/>
    <n v="-150000"/>
    <x v="110"/>
  </r>
  <r>
    <x v="2113"/>
    <x v="81"/>
    <x v="664"/>
    <x v="9267"/>
    <n v="50000"/>
    <m/>
    <n v="-50000"/>
    <x v="110"/>
  </r>
  <r>
    <x v="2113"/>
    <x v="84"/>
    <x v="751"/>
    <x v="9268"/>
    <n v="45000"/>
    <m/>
    <n v="-45000"/>
    <x v="110"/>
  </r>
  <r>
    <x v="2113"/>
    <x v="67"/>
    <x v="751"/>
    <x v="9268"/>
    <n v="10000"/>
    <m/>
    <n v="-10000"/>
    <x v="110"/>
  </r>
  <r>
    <x v="2113"/>
    <x v="90"/>
    <x v="751"/>
    <x v="9268"/>
    <n v="75000"/>
    <m/>
    <n v="-75000"/>
    <x v="110"/>
  </r>
  <r>
    <x v="2113"/>
    <x v="79"/>
    <x v="751"/>
    <x v="9268"/>
    <n v="49000"/>
    <m/>
    <n v="-49000"/>
    <x v="110"/>
  </r>
  <r>
    <x v="2119"/>
    <x v="73"/>
    <x v="655"/>
    <x v="9269"/>
    <n v="1500000"/>
    <m/>
    <n v="-1500000"/>
    <x v="110"/>
  </r>
  <r>
    <x v="2109"/>
    <x v="87"/>
    <x v="97"/>
    <x v="9270"/>
    <m/>
    <n v="1000000"/>
    <n v="1000000"/>
    <x v="110"/>
  </r>
  <r>
    <x v="2109"/>
    <x v="78"/>
    <x v="97"/>
    <x v="9271"/>
    <m/>
    <n v="100000"/>
    <n v="100000"/>
    <x v="110"/>
  </r>
  <r>
    <x v="2109"/>
    <x v="78"/>
    <x v="97"/>
    <x v="9272"/>
    <m/>
    <n v="-100000"/>
    <n v="-100000"/>
    <x v="110"/>
  </r>
  <r>
    <x v="2109"/>
    <x v="76"/>
    <x v="97"/>
    <x v="9273"/>
    <m/>
    <n v="520000"/>
    <n v="520000"/>
    <x v="110"/>
  </r>
  <r>
    <x v="2112"/>
    <x v="71"/>
    <x v="97"/>
    <x v="9274"/>
    <m/>
    <n v="3221233"/>
    <n v="3221233"/>
    <x v="110"/>
  </r>
  <r>
    <x v="2112"/>
    <x v="93"/>
    <x v="97"/>
    <x v="9274"/>
    <m/>
    <n v="1000000"/>
    <n v="1000000"/>
    <x v="110"/>
  </r>
  <r>
    <x v="2112"/>
    <x v="23"/>
    <x v="97"/>
    <x v="9275"/>
    <m/>
    <n v="359992"/>
    <n v="359992"/>
    <x v="110"/>
  </r>
  <r>
    <x v="2113"/>
    <x v="80"/>
    <x v="97"/>
    <x v="9276"/>
    <m/>
    <n v="1500000"/>
    <n v="1500000"/>
    <x v="110"/>
  </r>
  <r>
    <x v="2115"/>
    <x v="80"/>
    <x v="97"/>
    <x v="9277"/>
    <m/>
    <n v="1000000"/>
    <n v="1000000"/>
    <x v="110"/>
  </r>
  <r>
    <x v="2115"/>
    <x v="80"/>
    <x v="97"/>
    <x v="9278"/>
    <m/>
    <n v="1000000"/>
    <n v="1000000"/>
    <x v="110"/>
  </r>
  <r>
    <x v="2115"/>
    <x v="80"/>
    <x v="97"/>
    <x v="9279"/>
    <m/>
    <n v="1000000"/>
    <n v="1000000"/>
    <x v="110"/>
  </r>
  <r>
    <x v="2115"/>
    <x v="80"/>
    <x v="97"/>
    <x v="9280"/>
    <m/>
    <n v="1000000"/>
    <n v="1000000"/>
    <x v="110"/>
  </r>
  <r>
    <x v="2115"/>
    <x v="80"/>
    <x v="97"/>
    <x v="9281"/>
    <m/>
    <n v="1500000"/>
    <n v="1500000"/>
    <x v="110"/>
  </r>
  <r>
    <x v="2116"/>
    <x v="80"/>
    <x v="97"/>
    <x v="9282"/>
    <m/>
    <n v="1000000"/>
    <n v="1000000"/>
    <x v="110"/>
  </r>
  <r>
    <x v="2116"/>
    <x v="80"/>
    <x v="97"/>
    <x v="9282"/>
    <m/>
    <n v="1000000"/>
    <n v="1000000"/>
    <x v="110"/>
  </r>
  <r>
    <x v="2116"/>
    <x v="80"/>
    <x v="97"/>
    <x v="9282"/>
    <m/>
    <n v="1000000"/>
    <n v="1000000"/>
    <x v="110"/>
  </r>
  <r>
    <x v="2116"/>
    <x v="80"/>
    <x v="97"/>
    <x v="9283"/>
    <m/>
    <n v="1500000"/>
    <n v="1500000"/>
    <x v="110"/>
  </r>
  <r>
    <x v="2116"/>
    <x v="80"/>
    <x v="97"/>
    <x v="9282"/>
    <m/>
    <n v="1500000"/>
    <n v="1500000"/>
    <x v="110"/>
  </r>
  <r>
    <x v="2116"/>
    <x v="80"/>
    <x v="97"/>
    <x v="9282"/>
    <m/>
    <n v="1417880"/>
    <n v="1417880"/>
    <x v="110"/>
  </r>
  <r>
    <x v="2116"/>
    <x v="80"/>
    <x v="97"/>
    <x v="9284"/>
    <m/>
    <n v="2200"/>
    <n v="2200"/>
    <x v="110"/>
  </r>
  <r>
    <x v="2119"/>
    <x v="71"/>
    <x v="97"/>
    <x v="9285"/>
    <m/>
    <n v="5000000"/>
    <n v="5000000"/>
    <x v="110"/>
  </r>
  <r>
    <x v="2121"/>
    <x v="80"/>
    <x v="97"/>
    <x v="9282"/>
    <m/>
    <n v="550000"/>
    <n v="550000"/>
    <x v="110"/>
  </r>
  <r>
    <x v="2121"/>
    <x v="80"/>
    <x v="97"/>
    <x v="9282"/>
    <m/>
    <n v="600000"/>
    <n v="600000"/>
    <x v="110"/>
  </r>
  <r>
    <x v="2121"/>
    <x v="80"/>
    <x v="97"/>
    <x v="9282"/>
    <m/>
    <n v="650000"/>
    <n v="650000"/>
    <x v="110"/>
  </r>
  <r>
    <x v="2121"/>
    <x v="80"/>
    <x v="97"/>
    <x v="9282"/>
    <m/>
    <n v="700000"/>
    <n v="700000"/>
    <x v="110"/>
  </r>
  <r>
    <x v="2121"/>
    <x v="80"/>
    <x v="97"/>
    <x v="9282"/>
    <m/>
    <n v="750000"/>
    <n v="750000"/>
    <x v="110"/>
  </r>
  <r>
    <x v="2121"/>
    <x v="80"/>
    <x v="97"/>
    <x v="9282"/>
    <m/>
    <n v="850000"/>
    <n v="850000"/>
    <x v="110"/>
  </r>
  <r>
    <x v="2121"/>
    <x v="80"/>
    <x v="97"/>
    <x v="9282"/>
    <m/>
    <n v="900000"/>
    <n v="900000"/>
    <x v="110"/>
  </r>
  <r>
    <x v="2121"/>
    <x v="79"/>
    <x v="97"/>
    <x v="9286"/>
    <m/>
    <n v="189553"/>
    <n v="189553"/>
    <x v="110"/>
  </r>
  <r>
    <x v="212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3"/>
    <x v="5"/>
    <s v="1491"/>
    <n v="92000"/>
    <m/>
    <n v="92000"/>
    <s v="gate valve stainer"/>
  </r>
  <r>
    <x v="1134"/>
    <x v="99"/>
    <x v="4"/>
    <m/>
    <m/>
    <n v="115000"/>
    <n v="-115000"/>
    <s v="cash paid for super loan and afico roll (Total amount is 245,000)"/>
  </r>
  <r>
    <x v="1134"/>
    <x v="111"/>
    <x v="4"/>
    <m/>
    <m/>
    <n v="130000"/>
    <n v="-130000"/>
    <m/>
  </r>
  <r>
    <x v="1135"/>
    <x v="113"/>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4"/>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3"/>
    <x v="4"/>
    <s v="4580"/>
    <n v="13755"/>
    <m/>
    <n v="13755"/>
    <m/>
  </r>
  <r>
    <x v="1143"/>
    <x v="107"/>
    <x v="49"/>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3"/>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3"/>
    <x v="4"/>
    <m/>
    <n v="45000"/>
    <m/>
    <n v="45000"/>
    <m/>
  </r>
  <r>
    <x v="1155"/>
    <x v="97"/>
    <x v="4"/>
    <m/>
    <m/>
    <n v="64845"/>
    <n v="-64845"/>
    <s v="Chq receivd from NEC in tri fit = 200000"/>
  </r>
  <r>
    <x v="1155"/>
    <x v="99"/>
    <x v="4"/>
    <m/>
    <m/>
    <n v="22500"/>
    <n v="-22500"/>
    <m/>
  </r>
  <r>
    <x v="1155"/>
    <x v="93"/>
    <x v="4"/>
    <m/>
    <m/>
    <n v="19260"/>
    <n v="-19260"/>
    <m/>
  </r>
  <r>
    <x v="1155"/>
    <x v="111"/>
    <x v="4"/>
    <m/>
    <m/>
    <n v="34640"/>
    <n v="-34640"/>
    <m/>
  </r>
  <r>
    <x v="1155"/>
    <x v="113"/>
    <x v="4"/>
    <m/>
    <m/>
    <n v="58755"/>
    <n v="-58755"/>
    <m/>
  </r>
  <r>
    <x v="1155"/>
    <x v="98"/>
    <x v="5"/>
    <s v="1636"/>
    <n v="16864"/>
    <m/>
    <n v="16864"/>
    <m/>
  </r>
  <r>
    <x v="1155"/>
    <x v="115"/>
    <x v="5"/>
    <s v="1637"/>
    <n v="10980"/>
    <m/>
    <n v="10980"/>
    <m/>
  </r>
  <r>
    <x v="1156"/>
    <x v="101"/>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4"/>
    <x v="1"/>
    <m/>
    <m/>
    <n v="7300"/>
    <n v="-7300"/>
    <m/>
  </r>
  <r>
    <x v="1162"/>
    <x v="114"/>
    <x v="1"/>
    <m/>
    <m/>
    <n v="280"/>
    <n v="-280"/>
    <s v="adjusted"/>
  </r>
  <r>
    <x v="1162"/>
    <x v="98"/>
    <x v="7"/>
    <m/>
    <m/>
    <n v="73080"/>
    <n v="-73080"/>
    <s v="Online by BH = 153,000"/>
  </r>
  <r>
    <x v="1162"/>
    <x v="109"/>
    <x v="7"/>
    <m/>
    <m/>
    <n v="4870"/>
    <n v="-4870"/>
    <m/>
  </r>
  <r>
    <x v="1162"/>
    <x v="112"/>
    <x v="7"/>
    <m/>
    <m/>
    <n v="75050"/>
    <n v="-75050"/>
    <m/>
  </r>
  <r>
    <x v="1162"/>
    <x v="114"/>
    <x v="1"/>
    <s v="812"/>
    <n v="178080"/>
    <m/>
    <n v="178080"/>
    <m/>
  </r>
  <r>
    <x v="1162"/>
    <x v="103"/>
    <x v="1"/>
    <s v="813"/>
    <n v="73333"/>
    <m/>
    <n v="73333"/>
    <m/>
  </r>
  <r>
    <x v="1163"/>
    <x v="113"/>
    <x v="44"/>
    <s v="99"/>
    <n v="37567"/>
    <m/>
    <n v="37567"/>
    <m/>
  </r>
  <r>
    <x v="1163"/>
    <x v="103"/>
    <x v="44"/>
    <s v="100"/>
    <n v="29368"/>
    <m/>
    <n v="29368"/>
    <m/>
  </r>
  <r>
    <x v="1163"/>
    <x v="110"/>
    <x v="44"/>
    <s v="101"/>
    <n v="275805"/>
    <m/>
    <n v="275805"/>
    <m/>
  </r>
  <r>
    <x v="1163"/>
    <x v="116"/>
    <x v="44"/>
    <s v="102"/>
    <n v="1759647"/>
    <m/>
    <n v="1759647"/>
    <m/>
  </r>
  <r>
    <x v="1163"/>
    <x v="101"/>
    <x v="51"/>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3"/>
    <x v="4"/>
    <s v="4640"/>
    <n v="35715"/>
    <m/>
    <n v="35715"/>
    <m/>
  </r>
  <r>
    <x v="1169"/>
    <x v="103"/>
    <x v="1"/>
    <m/>
    <m/>
    <n v="36500"/>
    <n v="-36500"/>
    <s v="Cash by vender after SS sheet material returned in VISA Site"/>
  </r>
  <r>
    <x v="1169"/>
    <x v="110"/>
    <x v="44"/>
    <s v="103"/>
    <n v="107536"/>
    <m/>
    <n v="107536"/>
    <m/>
  </r>
  <r>
    <x v="1169"/>
    <x v="113"/>
    <x v="14"/>
    <s v="7160"/>
    <n v="50828"/>
    <m/>
    <n v="50828"/>
    <m/>
  </r>
  <r>
    <x v="1169"/>
    <x v="112"/>
    <x v="53"/>
    <m/>
    <m/>
    <n v="938219"/>
    <n v="-938219"/>
    <s v="CHQ rec from NEC in tri fit account"/>
  </r>
  <r>
    <x v="1169"/>
    <x v="112"/>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3"/>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9"/>
    <x v="27"/>
    <s v="38"/>
    <n v="173680"/>
    <m/>
    <n v="173680"/>
    <m/>
  </r>
  <r>
    <x v="1181"/>
    <x v="114"/>
    <x v="27"/>
    <s v="39"/>
    <n v="719270"/>
    <m/>
    <n v="71927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3"/>
    <x v="3"/>
    <m/>
    <m/>
    <n v="14924"/>
    <n v="-14924"/>
    <m/>
  </r>
  <r>
    <x v="1183"/>
    <x v="70"/>
    <x v="14"/>
    <m/>
    <m/>
    <n v="28855"/>
    <n v="-28855"/>
    <s v="Online transfer by Al madina steel = 105,000"/>
  </r>
  <r>
    <x v="1183"/>
    <x v="101"/>
    <x v="14"/>
    <m/>
    <m/>
    <n v="4250"/>
    <n v="-4250"/>
    <m/>
  </r>
  <r>
    <x v="1183"/>
    <x v="111"/>
    <x v="14"/>
    <m/>
    <m/>
    <n v="2880"/>
    <n v="-2880"/>
    <m/>
  </r>
  <r>
    <x v="1183"/>
    <x v="113"/>
    <x v="14"/>
    <m/>
    <m/>
    <n v="69164"/>
    <n v="-69164"/>
    <m/>
  </r>
  <r>
    <x v="1183"/>
    <x v="103"/>
    <x v="1"/>
    <s v="1142"/>
    <n v="44544"/>
    <m/>
    <n v="44544"/>
    <m/>
  </r>
  <r>
    <x v="1179"/>
    <x v="116"/>
    <x v="0"/>
    <m/>
    <m/>
    <n v="1000000"/>
    <n v="-1000000"/>
    <s v="cash given from Al madina steel"/>
  </r>
  <r>
    <x v="1178"/>
    <x v="108"/>
    <x v="1"/>
    <m/>
    <m/>
    <n v="100000"/>
    <n v="-100000"/>
    <s v="Online transfer by al madina = 500,000"/>
  </r>
  <r>
    <x v="1178"/>
    <x v="114"/>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2"/>
    <x v="27"/>
    <s v="37"/>
    <n v="292565"/>
    <m/>
    <n v="292565"/>
    <m/>
  </r>
  <r>
    <x v="1181"/>
    <x v="110"/>
    <x v="50"/>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3"/>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3"/>
    <x v="110"/>
    <x v="5"/>
    <s v="1874"/>
    <n v="44000"/>
    <m/>
    <n v="44000"/>
    <m/>
  </r>
  <r>
    <x v="1193"/>
    <x v="112"/>
    <x v="5"/>
    <s v="1875"/>
    <n v="53000"/>
    <m/>
    <n v="53000"/>
    <m/>
  </r>
  <r>
    <x v="1193"/>
    <x v="118"/>
    <x v="44"/>
    <s v="117"/>
    <n v="57660"/>
    <m/>
    <n v="57660"/>
    <m/>
  </r>
  <r>
    <x v="1193"/>
    <x v="112"/>
    <x v="44"/>
    <s v="118"/>
    <n v="352873"/>
    <m/>
    <n v="352873"/>
    <m/>
  </r>
  <r>
    <x v="1194"/>
    <x v="110"/>
    <x v="50"/>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3"/>
    <x v="17"/>
    <s v="43"/>
    <n v="390000"/>
    <m/>
    <n v="390000"/>
    <m/>
  </r>
  <r>
    <x v="1198"/>
    <x v="114"/>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3"/>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3"/>
    <x v="44"/>
    <s v="149"/>
    <n v="30958"/>
    <m/>
    <n v="30958"/>
    <m/>
  </r>
  <r>
    <x v="1233"/>
    <x v="112"/>
    <x v="53"/>
    <s v="22948"/>
    <n v="189553"/>
    <m/>
    <n v="189553"/>
    <m/>
  </r>
  <r>
    <x v="1234"/>
    <x v="116"/>
    <x v="28"/>
    <m/>
    <m/>
    <n v="1000000"/>
    <n v="-1000000"/>
    <s v="Cash from Al madina steel"/>
  </r>
  <r>
    <x v="1234"/>
    <x v="116"/>
    <x v="28"/>
    <m/>
    <m/>
    <n v="600000"/>
    <n v="-600000"/>
    <s v="Online transfer by al madina"/>
  </r>
  <r>
    <x v="1234"/>
    <x v="123"/>
    <x v="0"/>
    <s v="522"/>
    <n v="52800"/>
    <m/>
    <n v="52800"/>
    <m/>
  </r>
  <r>
    <x v="1235"/>
    <x v="116"/>
    <x v="52"/>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8"/>
    <x v="123"/>
    <x v="0"/>
    <s v="526"/>
    <n v="214720"/>
    <m/>
    <n v="214720"/>
    <m/>
  </r>
  <r>
    <x v="1239"/>
    <x v="98"/>
    <x v="3"/>
    <s v="2704"/>
    <n v="6047"/>
    <m/>
    <n v="6047"/>
    <m/>
  </r>
  <r>
    <x v="1240"/>
    <x v="115"/>
    <x v="56"/>
    <m/>
    <m/>
    <n v="340000"/>
    <n v="-340000"/>
    <s v="Cash from Al madina steel"/>
  </r>
  <r>
    <x v="1240"/>
    <x v="115"/>
    <x v="56"/>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20"/>
    <x v="3"/>
    <m/>
    <m/>
    <n v="52104"/>
    <n v="-52104"/>
    <s v="Online by al madina sttel = 160,000"/>
  </r>
  <r>
    <x v="1243"/>
    <x v="121"/>
    <x v="3"/>
    <m/>
    <m/>
    <n v="1420"/>
    <n v="-1420"/>
    <s v="Online by al madina sttel = 160,000"/>
  </r>
  <r>
    <x v="1243"/>
    <x v="123"/>
    <x v="3"/>
    <m/>
    <m/>
    <n v="12502"/>
    <n v="-12502"/>
    <s v="Online by al madina sttel = 160,000"/>
  </r>
  <r>
    <x v="1243"/>
    <x v="125"/>
    <x v="0"/>
    <s v="533"/>
    <n v="1343560"/>
    <m/>
    <n v="1343560"/>
    <m/>
  </r>
  <r>
    <x v="1244"/>
    <x v="112"/>
    <x v="5"/>
    <s v="2166"/>
    <n v="44000"/>
    <m/>
    <n v="44000"/>
    <m/>
  </r>
  <r>
    <x v="1245"/>
    <x v="112"/>
    <x v="53"/>
    <m/>
    <m/>
    <n v="189553"/>
    <n v="-189553"/>
    <s v="CHQ rec from NEC in Engro Acc"/>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19">
        <item x="249"/>
        <item m="1" x="2216"/>
        <item m="1" x="2171"/>
        <item m="1" x="2170"/>
        <item m="1" x="2184"/>
        <item m="1" x="2174"/>
        <item m="1" x="2136"/>
        <item m="1" x="2155"/>
        <item m="1" x="2162"/>
        <item m="1" x="2182"/>
        <item m="1" x="2161"/>
        <item m="1" x="2190"/>
        <item m="1" x="2198"/>
        <item m="1" x="2159"/>
        <item m="1" x="2205"/>
        <item m="1" x="2152"/>
        <item m="1" x="2210"/>
        <item m="1" x="2165"/>
        <item m="1" x="2125"/>
        <item m="1" x="2214"/>
        <item m="1" x="2217"/>
        <item m="1" x="2132"/>
        <item m="1" x="2173"/>
        <item m="1" x="2127"/>
        <item m="1" x="2128"/>
        <item m="1" x="2130"/>
        <item m="1" x="2144"/>
        <item m="1" x="2145"/>
        <item m="1" x="2191"/>
        <item m="1" x="2179"/>
        <item m="1" x="2180"/>
        <item m="1" x="2185"/>
        <item m="1" x="2196"/>
        <item m="1" x="2175"/>
        <item m="1" x="2137"/>
        <item m="1" x="2142"/>
        <item m="1" x="2149"/>
        <item m="1" x="2199"/>
        <item x="0"/>
        <item m="1" x="2186"/>
        <item m="1" x="2192"/>
        <item m="1" x="2150"/>
        <item x="1"/>
        <item m="1" x="2193"/>
        <item m="1" x="2212"/>
        <item x="2"/>
        <item x="3"/>
        <item m="1" x="2156"/>
        <item m="1" x="2207"/>
        <item m="1" x="2153"/>
        <item m="1" x="2203"/>
        <item m="1" x="2211"/>
        <item m="1" x="2215"/>
        <item x="4"/>
        <item m="1" x="2126"/>
        <item x="5"/>
        <item x="6"/>
        <item m="1" x="216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8"/>
        <item x="157"/>
        <item x="158"/>
        <item x="159"/>
        <item x="160"/>
        <item x="161"/>
        <item x="162"/>
        <item x="163"/>
        <item x="164"/>
        <item x="165"/>
        <item x="166"/>
        <item x="167"/>
        <item x="168"/>
        <item x="169"/>
        <item m="1" x="216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6"/>
        <item x="276"/>
        <item x="277"/>
        <item x="278"/>
        <item x="275"/>
        <item m="1" x="2163"/>
        <item x="279"/>
        <item x="280"/>
        <item x="281"/>
        <item x="282"/>
        <item x="283"/>
        <item x="284"/>
        <item x="285"/>
        <item x="286"/>
        <item x="287"/>
        <item x="288"/>
        <item x="289"/>
        <item x="290"/>
        <item x="291"/>
        <item x="292"/>
        <item x="293"/>
        <item x="294"/>
        <item x="295"/>
        <item x="296"/>
        <item m="1" x="2167"/>
        <item x="297"/>
        <item x="298"/>
        <item x="299"/>
        <item m="1" x="2169"/>
        <item x="300"/>
        <item x="302"/>
        <item x="303"/>
        <item x="301"/>
        <item x="304"/>
        <item x="305"/>
        <item x="306"/>
        <item x="307"/>
        <item x="308"/>
        <item x="309"/>
        <item x="310"/>
        <item x="311"/>
        <item x="312"/>
        <item m="1" x="2133"/>
        <item x="313"/>
        <item m="1" x="2135"/>
        <item x="314"/>
        <item x="315"/>
        <item x="316"/>
        <item x="317"/>
        <item x="318"/>
        <item x="319"/>
        <item x="320"/>
        <item x="321"/>
        <item m="1" x="2181"/>
        <item x="323"/>
        <item x="324"/>
        <item x="325"/>
        <item x="326"/>
        <item x="322"/>
        <item x="327"/>
        <item x="328"/>
        <item x="329"/>
        <item x="330"/>
        <item x="331"/>
        <item m="1" x="2172"/>
        <item x="332"/>
        <item m="1" x="2134"/>
        <item x="333"/>
        <item x="334"/>
        <item x="335"/>
        <item x="336"/>
        <item x="337"/>
        <item x="338"/>
        <item x="344"/>
        <item m="1" x="214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1"/>
        <item x="375"/>
        <item x="376"/>
        <item x="373"/>
        <item x="377"/>
        <item x="378"/>
        <item x="379"/>
        <item x="380"/>
        <item m="1" x="2176"/>
        <item x="381"/>
        <item x="382"/>
        <item x="383"/>
        <item x="384"/>
        <item x="385"/>
        <item x="386"/>
        <item x="387"/>
        <item x="388"/>
        <item x="389"/>
        <item x="390"/>
        <item x="391"/>
        <item x="392"/>
        <item x="393"/>
        <item x="394"/>
        <item x="395"/>
        <item x="396"/>
        <item x="397"/>
        <item x="399"/>
        <item x="400"/>
        <item x="401"/>
        <item x="398"/>
        <item x="402"/>
        <item m="1" x="2177"/>
        <item x="403"/>
        <item x="404"/>
        <item x="405"/>
        <item x="406"/>
        <item x="407"/>
        <item x="408"/>
        <item x="409"/>
        <item m="1" x="2143"/>
        <item x="410"/>
        <item x="411"/>
        <item x="421"/>
        <item x="412"/>
        <item x="413"/>
        <item x="414"/>
        <item x="415"/>
        <item x="416"/>
        <item x="417"/>
        <item m="1" x="2197"/>
        <item x="418"/>
        <item x="419"/>
        <item x="420"/>
        <item x="423"/>
        <item x="443"/>
        <item x="424"/>
        <item x="422"/>
        <item x="425"/>
        <item x="426"/>
        <item x="427"/>
        <item x="428"/>
        <item x="429"/>
        <item x="430"/>
        <item x="431"/>
        <item x="432"/>
        <item m="1" x="2189"/>
        <item x="433"/>
        <item x="434"/>
        <item x="435"/>
        <item x="436"/>
        <item x="438"/>
        <item x="437"/>
        <item x="439"/>
        <item x="440"/>
        <item x="442"/>
        <item x="441"/>
        <item x="445"/>
        <item x="446"/>
        <item x="447"/>
        <item x="444"/>
        <item x="448"/>
        <item x="449"/>
        <item x="450"/>
        <item x="451"/>
        <item x="452"/>
        <item x="453"/>
        <item x="454"/>
        <item x="455"/>
        <item x="456"/>
        <item x="457"/>
        <item m="1" x="2151"/>
        <item x="458"/>
        <item x="459"/>
        <item m="1" x="2200"/>
        <item x="460"/>
        <item x="461"/>
        <item x="462"/>
        <item x="463"/>
        <item m="1" x="2209"/>
        <item x="464"/>
        <item x="465"/>
        <item x="466"/>
        <item x="467"/>
        <item x="468"/>
        <item x="469"/>
        <item x="470"/>
        <item m="1" x="2188"/>
        <item x="471"/>
        <item x="472"/>
        <item x="473"/>
        <item x="474"/>
        <item x="475"/>
        <item x="476"/>
        <item x="477"/>
        <item x="478"/>
        <item x="479"/>
        <item x="480"/>
        <item x="481"/>
        <item x="482"/>
        <item x="483"/>
        <item x="484"/>
        <item m="1" x="2164"/>
        <item x="490"/>
        <item x="485"/>
        <item x="486"/>
        <item x="487"/>
        <item x="488"/>
        <item x="489"/>
        <item x="491"/>
        <item x="492"/>
        <item m="1" x="2157"/>
        <item m="1" x="2201"/>
        <item x="503"/>
        <item m="1" x="2204"/>
        <item x="493"/>
        <item x="494"/>
        <item x="504"/>
        <item x="495"/>
        <item x="496"/>
        <item x="497"/>
        <item x="498"/>
        <item x="499"/>
        <item x="500"/>
        <item x="501"/>
        <item x="502"/>
        <item x="505"/>
        <item x="506"/>
        <item x="507"/>
        <item x="508"/>
        <item m="1" x="215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3"/>
        <item x="564"/>
        <item x="565"/>
        <item x="566"/>
        <item x="567"/>
        <item x="568"/>
        <item x="569"/>
        <item x="570"/>
        <item x="571"/>
        <item x="572"/>
        <item x="573"/>
        <item x="574"/>
        <item m="1" x="212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0"/>
        <item x="698"/>
        <item x="708"/>
        <item x="709"/>
        <item x="710"/>
        <item x="699"/>
        <item x="700"/>
        <item x="701"/>
        <item x="702"/>
        <item x="703"/>
        <item x="704"/>
        <item x="705"/>
        <item x="706"/>
        <item x="707"/>
        <item x="711"/>
        <item x="726"/>
        <item x="727"/>
        <item x="734"/>
        <item x="712"/>
        <item x="728"/>
        <item x="729"/>
        <item m="1" x="218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6"/>
        <item x="753"/>
        <item m="1" x="2148"/>
        <item x="740"/>
        <item x="754"/>
        <item x="741"/>
        <item x="742"/>
        <item x="743"/>
        <item x="744"/>
        <item x="745"/>
        <item x="746"/>
        <item x="747"/>
        <item x="755"/>
        <item x="748"/>
        <item x="757"/>
        <item x="758"/>
        <item x="769"/>
        <item x="759"/>
        <item m="1" x="2195"/>
        <item x="760"/>
        <item x="761"/>
        <item x="770"/>
        <item m="1" x="2202"/>
        <item x="762"/>
        <item x="771"/>
        <item x="763"/>
        <item x="764"/>
        <item x="765"/>
        <item x="766"/>
        <item x="772"/>
        <item x="773"/>
        <item x="767"/>
        <item x="768"/>
        <item x="774"/>
        <item x="775"/>
        <item x="790"/>
        <item x="776"/>
        <item x="791"/>
        <item x="777"/>
        <item x="778"/>
        <item x="792"/>
        <item x="779"/>
        <item x="780"/>
        <item x="781"/>
        <item x="782"/>
        <item x="793"/>
        <item x="783"/>
        <item x="794"/>
        <item x="795"/>
        <item x="21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3"/>
        <item x="944"/>
        <item m="1" x="214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4"/>
        <item x="1583"/>
        <item x="1577"/>
        <item x="1578"/>
        <item x="1576"/>
        <item x="1579"/>
        <item x="1580"/>
        <item x="1586"/>
        <item x="1587"/>
        <item x="1581"/>
        <item x="1582"/>
        <item x="1588"/>
        <item x="1589"/>
        <item x="1590"/>
        <item x="1602"/>
        <item x="1612"/>
        <item m="1" x="213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1"/>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2">
        <item sd="0" x="60"/>
        <item sd="0" x="149"/>
        <item sd="0" m="1" x="873"/>
        <item sd="0" m="1" x="972"/>
        <item sd="0" m="1" x="835"/>
        <item sd="0" x="18"/>
        <item sd="0" x="288"/>
        <item sd="0" m="1" x="1013"/>
        <item sd="0" x="146"/>
        <item sd="0" x="179"/>
        <item sd="0" m="1" x="1010"/>
        <item sd="0" x="623"/>
        <item sd="0" x="100"/>
        <item sd="0" m="1" x="819"/>
        <item sd="0" m="1" x="976"/>
        <item sd="0" x="137"/>
        <item sd="0" m="1" x="958"/>
        <item sd="0" x="231"/>
        <item sd="0" m="1" x="790"/>
        <item sd="0" m="1" x="963"/>
        <item sd="0" x="363"/>
        <item sd="0" x="375"/>
        <item sd="0" m="1" x="849"/>
        <item sd="0" x="208"/>
        <item sd="0" x="159"/>
        <item sd="0" x="258"/>
        <item sd="0" x="282"/>
        <item sd="0" x="144"/>
        <item sd="0" x="191"/>
        <item sd="0" x="217"/>
        <item sd="0" x="322"/>
        <item sd="0" x="256"/>
        <item sd="0" x="189"/>
        <item sd="0" m="1" x="912"/>
        <item sd="0" x="325"/>
        <item sd="0" m="1" x="1014"/>
        <item sd="0" m="1" x="910"/>
        <item sd="0" x="630"/>
        <item sd="0" x="223"/>
        <item sd="0" m="1" x="802"/>
        <item sd="0" x="239"/>
        <item sd="0" x="135"/>
        <item sd="0" x="140"/>
        <item sd="0" m="1" x="987"/>
        <item sd="0" m="1" x="916"/>
        <item sd="0" x="219"/>
        <item sd="0" x="562"/>
        <item sd="0" x="93"/>
        <item sd="0" m="1" x="984"/>
        <item sd="0" x="222"/>
        <item sd="0" m="1" x="815"/>
        <item sd="0" x="337"/>
        <item sd="0" x="207"/>
        <item sd="0" x="184"/>
        <item sd="0" x="152"/>
        <item sd="0" m="1" x="997"/>
        <item sd="0" x="40"/>
        <item sd="0" x="281"/>
        <item sd="0" x="170"/>
        <item sd="0" x="317"/>
        <item sd="0" x="358"/>
        <item sd="0" x="214"/>
        <item sd="0" x="370"/>
        <item sd="0" x="279"/>
        <item sd="0" x="156"/>
        <item sd="0" x="701"/>
        <item sd="0" x="253"/>
        <item sd="0" m="1" x="973"/>
        <item sd="0" m="1" x="781"/>
        <item sd="0" x="365"/>
        <item sd="0" m="1" x="834"/>
        <item sd="0" m="1" x="798"/>
        <item sd="0" x="259"/>
        <item sd="0" x="252"/>
        <item sd="0" m="1" x="915"/>
        <item sd="0" x="12"/>
        <item sd="0" x="352"/>
        <item sd="0" x="218"/>
        <item sd="0" x="224"/>
        <item sd="0" x="63"/>
        <item sd="0" x="8"/>
        <item sd="0" x="102"/>
        <item sd="0" m="1" x="820"/>
        <item sd="0" m="1" x="1016"/>
        <item sd="0" x="319"/>
        <item sd="0" m="1" x="826"/>
        <item sd="0" m="1" x="1027"/>
        <item sd="0" x="386"/>
        <item sd="0" x="31"/>
        <item sd="0" x="55"/>
        <item sd="0" x="227"/>
        <item sd="0" x="356"/>
        <item sd="0" x="161"/>
        <item sd="0" x="153"/>
        <item sd="0" m="1" x="900"/>
        <item sd="0" x="133"/>
        <item sd="0" m="1" x="806"/>
        <item sd="0" m="1" x="799"/>
        <item sd="0" m="1" x="1002"/>
        <item sd="0" x="46"/>
        <item sd="0" x="374"/>
        <item sd="0" m="1" x="808"/>
        <item sd="0" x="270"/>
        <item sd="0" m="1" x="890"/>
        <item sd="0" m="1" x="855"/>
        <item sd="0" m="1" x="891"/>
        <item sd="0" m="1" x="871"/>
        <item sd="0" m="1" x="983"/>
        <item sd="0" m="1" x="926"/>
        <item sd="0" m="1" x="887"/>
        <item sd="0" x="366"/>
        <item sd="0" x="318"/>
        <item sd="0" m="1" x="848"/>
        <item sd="0" x="273"/>
        <item sd="0" m="1" x="948"/>
        <item sd="0" x="201"/>
        <item sd="0" m="1" x="875"/>
        <item sd="0" x="160"/>
        <item sd="0" m="1" x="980"/>
        <item sd="0" m="1" x="940"/>
        <item sd="0" m="1" x="833"/>
        <item sd="0" x="277"/>
        <item sd="0" m="1" x="934"/>
        <item sd="0" x="225"/>
        <item sd="0" m="1" x="804"/>
        <item sd="0" m="1" x="807"/>
        <item sd="0" m="1" x="818"/>
        <item sd="0" x="292"/>
        <item sd="0" x="15"/>
        <item sd="0" m="1" x="846"/>
        <item sd="0" m="1" x="861"/>
        <item sd="0" x="0"/>
        <item sd="0" x="232"/>
        <item sd="0" x="213"/>
        <item sd="0" m="1" x="982"/>
        <item sd="0" x="316"/>
        <item sd="0" m="1" x="789"/>
        <item sd="0" x="291"/>
        <item sd="0" x="333"/>
        <item sd="0" x="339"/>
        <item sd="0" x="275"/>
        <item sd="0" m="1" x="821"/>
        <item sd="0" x="174"/>
        <item sd="0" x="171"/>
        <item sd="0" x="233"/>
        <item sd="0" x="78"/>
        <item sd="0" m="1" x="881"/>
        <item sd="0" x="236"/>
        <item sd="0" x="58"/>
        <item sd="0" x="240"/>
        <item sd="0" m="1" x="814"/>
        <item sd="0" x="182"/>
        <item sd="0" x="307"/>
        <item sd="0" m="1" x="824"/>
        <item sd="0" x="290"/>
        <item sd="0" m="1" x="907"/>
        <item sd="0" m="1" x="969"/>
        <item sd="0" x="132"/>
        <item sd="0" x="56"/>
        <item sd="0" x="126"/>
        <item sd="0" x="22"/>
        <item sd="0" x="187"/>
        <item sd="0" m="1" x="795"/>
        <item sd="0" m="1" x="1000"/>
        <item sd="0" m="1" x="801"/>
        <item sd="0" x="11"/>
        <item sd="0" x="353"/>
        <item sd="0" m="1" x="886"/>
        <item sd="0" x="124"/>
        <item sd="0" m="1" x="1030"/>
        <item sd="0" x="77"/>
        <item sd="0" m="1" x="911"/>
        <item sd="0" x="92"/>
        <item sd="0" x="35"/>
        <item sd="0" x="196"/>
        <item sd="0" m="1" x="1009"/>
        <item sd="0" x="1"/>
        <item sd="0" x="180"/>
        <item sd="0" x="285"/>
        <item sd="0" m="1" x="929"/>
        <item sd="0" x="42"/>
        <item sd="0" m="1" x="950"/>
        <item sd="0" m="1" x="919"/>
        <item sd="0" m="1" x="937"/>
        <item sd="0" m="1" x="869"/>
        <item sd="0" x="84"/>
        <item sd="0" x="106"/>
        <item sd="0" m="1" x="780"/>
        <item sd="0" x="336"/>
        <item sd="0" m="1" x="943"/>
        <item sd="0" m="1" x="782"/>
        <item sd="0" m="1" x="777"/>
        <item sd="0" m="1" x="930"/>
        <item sd="0" m="1" x="810"/>
        <item sd="0" m="1" x="960"/>
        <item sd="0" m="1" x="811"/>
        <item sd="0" x="16"/>
        <item sd="0" m="1" x="939"/>
        <item sd="0" m="1" x="851"/>
        <item sd="0" x="280"/>
        <item sd="0" x="104"/>
        <item sd="0" x="332"/>
        <item sd="0" m="1" x="874"/>
        <item sd="0" x="348"/>
        <item sd="0" x="23"/>
        <item sd="0" x="362"/>
        <item sd="0" x="237"/>
        <item sd="0" x="91"/>
        <item sd="0" x="13"/>
        <item sd="0" x="175"/>
        <item sd="0" x="343"/>
        <item sd="0" m="1" x="1020"/>
        <item sd="0" m="1" x="995"/>
        <item sd="0" x="87"/>
        <item sd="0" x="691"/>
        <item sd="0" x="33"/>
        <item sd="0" x="19"/>
        <item sd="0" m="1" x="784"/>
        <item sd="0" x="20"/>
        <item sd="0" m="1" x="796"/>
        <item sd="0" x="96"/>
        <item sd="0" m="1" x="1012"/>
        <item sd="0" m="1" x="989"/>
        <item sd="0" m="1" x="862"/>
        <item sd="0" x="120"/>
        <item sd="0" x="131"/>
        <item sd="0" x="119"/>
        <item sd="0" m="1" x="941"/>
        <item sd="0" m="1" x="932"/>
        <item sd="0" m="1" x="794"/>
        <item sd="0" m="1" x="917"/>
        <item sd="0" x="228"/>
        <item sd="0" x="39"/>
        <item sd="0" x="108"/>
        <item sd="0" x="24"/>
        <item sd="0" x="139"/>
        <item sd="0" m="1" x="999"/>
        <item sd="0" x="17"/>
        <item sd="0" x="248"/>
        <item sd="0" x="48"/>
        <item sd="0" m="1" x="913"/>
        <item sd="0" m="1" x="974"/>
        <item sd="0" x="134"/>
        <item sd="0" x="596"/>
        <item sd="0" m="1" x="883"/>
        <item sd="0" x="69"/>
        <item sd="0" x="34"/>
        <item sd="0" x="206"/>
        <item sd="0" m="1" x="1015"/>
        <item sd="0" m="1" x="889"/>
        <item sd="0" m="1" x="908"/>
        <item sd="0" m="1" x="850"/>
        <item sd="0" x="268"/>
        <item sd="0" x="376"/>
        <item sd="0" x="331"/>
        <item sd="0" m="1" x="842"/>
        <item sd="0" x="360"/>
        <item sd="0" m="1" x="990"/>
        <item sd="0" x="89"/>
        <item sd="0" x="355"/>
        <item sd="0" m="1" x="888"/>
        <item sd="0" x="168"/>
        <item sd="0" m="1" x="785"/>
        <item sd="0" m="1" x="778"/>
        <item sd="0" x="272"/>
        <item sd="0" x="51"/>
        <item sd="0" x="190"/>
        <item sd="0" x="50"/>
        <item sd="0" x="79"/>
        <item sd="0" x="32"/>
        <item sd="0" m="1" x="977"/>
        <item sd="0" x="188"/>
        <item sd="0" x="110"/>
        <item sd="0" m="1" x="996"/>
        <item sd="0" m="1" x="993"/>
        <item sd="0" m="1" x="898"/>
        <item sd="0" m="1" x="844"/>
        <item sd="0" m="1" x="893"/>
        <item sd="0" m="1" x="865"/>
        <item sd="0" x="226"/>
        <item sd="0" x="57"/>
        <item sd="0" m="1" x="896"/>
        <item sd="0" x="340"/>
        <item sd="0" x="265"/>
        <item sd="0" x="294"/>
        <item sd="0" m="1" x="923"/>
        <item sd="0" x="62"/>
        <item sd="0" x="295"/>
        <item sd="0" x="3"/>
        <item sd="0" x="151"/>
        <item sd="0" x="210"/>
        <item sd="0" x="54"/>
        <item sd="0" m="1" x="955"/>
        <item sd="0" m="1" x="938"/>
        <item sd="0" x="323"/>
        <item sd="0" m="1" x="831"/>
        <item sd="0" x="75"/>
        <item sd="0" m="1" x="860"/>
        <item sd="0" x="186"/>
        <item sd="0" x="361"/>
        <item sd="0" x="368"/>
        <item sd="0" x="327"/>
        <item sd="0" x="195"/>
        <item sd="0" m="1" x="928"/>
        <item sd="0" m="1" x="968"/>
        <item sd="0" x="123"/>
        <item sd="0" m="1" x="857"/>
        <item sd="0" x="194"/>
        <item sd="0" x="121"/>
        <item sd="0" x="53"/>
        <item sd="0" m="1" x="985"/>
        <item sd="0" x="278"/>
        <item sd="0" x="212"/>
        <item sd="0" m="1" x="970"/>
        <item sd="0" m="1" x="961"/>
        <item sd="0" m="1" x="1028"/>
        <item sd="0" m="1" x="812"/>
        <item sd="0" m="1" x="1022"/>
        <item sd="0" x="117"/>
        <item sd="0" x="111"/>
        <item sd="0" x="81"/>
        <item sd="0" x="7"/>
        <item sd="0" x="235"/>
        <item sd="0" x="287"/>
        <item sd="0" m="1" x="959"/>
        <item sd="0" m="1" x="1006"/>
        <item sd="0" x="2"/>
        <item sd="0" m="1" x="1021"/>
        <item sd="0" m="1" x="879"/>
        <item sd="0" x="163"/>
        <item sd="0" m="1" x="953"/>
        <item sd="0" m="1" x="825"/>
        <item sd="0" m="1" x="1029"/>
        <item sd="0" m="1" x="791"/>
        <item sd="0" m="1" x="788"/>
        <item sd="0" x="130"/>
        <item sd="0" x="88"/>
        <item sd="0" m="1" x="1024"/>
        <item sd="0" x="204"/>
        <item sd="0" x="72"/>
        <item sd="0" x="73"/>
        <item sd="0" x="28"/>
        <item sd="0" x="47"/>
        <item sd="0" x="181"/>
        <item sd="0" x="26"/>
        <item sd="0" x="86"/>
        <item sd="0" x="230"/>
        <item sd="0" m="1" x="895"/>
        <item sd="0" m="1" x="878"/>
        <item sd="0" m="1" x="914"/>
        <item sd="0" x="94"/>
        <item sd="0" x="107"/>
        <item sd="0" x="309"/>
        <item sd="0" x="38"/>
        <item sd="0" x="145"/>
        <item sd="0" x="101"/>
        <item sd="0" x="369"/>
        <item sd="0" x="10"/>
        <item sd="0" x="74"/>
        <item sd="0" x="264"/>
        <item sd="0" m="1" x="864"/>
        <item sd="0" x="178"/>
        <item sd="0" x="266"/>
        <item sd="0" x="364"/>
        <item sd="0" x="98"/>
        <item sd="0" x="165"/>
        <item sd="0" x="66"/>
        <item sd="0" x="5"/>
        <item sd="0" m="1" x="838"/>
        <item sd="0" x="359"/>
        <item sd="0" m="1" x="1019"/>
        <item sd="0" x="269"/>
        <item sd="0" x="215"/>
        <item sd="0" x="349"/>
        <item sd="0" x="283"/>
        <item sd="0" x="185"/>
        <item sd="0" x="220"/>
        <item sd="0" m="1" x="1007"/>
        <item sd="0" m="1" x="783"/>
        <item sd="0" x="4"/>
        <item sd="0" x="377"/>
        <item sd="0" x="262"/>
        <item sd="0" x="326"/>
        <item sd="0" x="173"/>
        <item sd="0" x="200"/>
        <item sd="0" m="1" x="822"/>
        <item sd="0" x="345"/>
        <item sd="0" x="30"/>
        <item sd="0" m="1" x="956"/>
        <item sd="0" x="242"/>
        <item sd="0" m="1" x="885"/>
        <item sd="0" m="1" x="792"/>
        <item sd="0" x="243"/>
        <item sd="0" m="1" x="1001"/>
        <item sd="0" m="1" x="1004"/>
        <item sd="0" x="303"/>
        <item sd="0" x="37"/>
        <item sd="0" x="357"/>
        <item sd="0" m="1" x="897"/>
        <item sd="0" m="1" x="949"/>
        <item sd="0" x="115"/>
        <item sd="0" m="1" x="998"/>
        <item sd="0" m="1" x="803"/>
        <item sd="0" m="1" x="867"/>
        <item sd="0" x="128"/>
        <item sd="0" m="1" x="1005"/>
        <item sd="0" m="1" x="981"/>
        <item sd="0" x="255"/>
        <item sd="0" x="199"/>
        <item sd="0" x="329"/>
        <item sd="0" x="297"/>
        <item sd="0" x="310"/>
        <item sd="0" x="83"/>
        <item sd="0" m="1" x="904"/>
        <item sd="0" m="1" x="786"/>
        <item sd="0" x="80"/>
        <item sd="0" m="1" x="856"/>
        <item sd="0" m="1" x="994"/>
        <item sd="0" x="97"/>
        <item sd="0" x="289"/>
        <item sd="0" m="1" x="944"/>
        <item sd="0" x="116"/>
        <item sd="0" x="209"/>
        <item sd="0" x="198"/>
        <item sd="0" x="150"/>
        <item sd="0" x="136"/>
        <item sd="0" m="1" x="884"/>
        <item sd="0" x="109"/>
        <item sd="0" x="524"/>
        <item sd="0" m="1" x="863"/>
        <item sd="0" m="1" x="965"/>
        <item sd="0" x="284"/>
        <item sd="0" x="296"/>
        <item sd="0" x="211"/>
        <item sd="0" x="45"/>
        <item sd="0" m="1" x="945"/>
        <item sd="0" m="1" x="936"/>
        <item sd="0" x="155"/>
        <item sd="0" m="1" x="966"/>
        <item sd="0" x="61"/>
        <item sd="0" x="129"/>
        <item sd="0" x="105"/>
        <item sd="0" m="1" x="809"/>
        <item sd="0" x="157"/>
        <item sd="0" x="14"/>
        <item sd="0" x="43"/>
        <item sd="0" x="250"/>
        <item sd="0" x="238"/>
        <item sd="0" x="103"/>
        <item sd="0" x="70"/>
        <item sd="0" x="299"/>
        <item sd="0" x="127"/>
        <item sd="0" m="1" x="779"/>
        <item sd="0" x="193"/>
        <item sd="0" x="147"/>
        <item sd="0" m="1" x="899"/>
        <item sd="0" x="99"/>
        <item sd="0" x="344"/>
        <item sd="0" x="221"/>
        <item sd="0" m="1" x="1018"/>
        <item sd="0" m="1" x="1023"/>
        <item sd="0" x="271"/>
        <item sd="0" x="166"/>
        <item sd="0" x="286"/>
        <item sd="0" x="304"/>
        <item sd="0" m="1" x="892"/>
        <item sd="0" x="138"/>
        <item sd="0" x="41"/>
        <item sd="0" x="229"/>
        <item sd="0" m="1" x="952"/>
        <item sd="0" x="71"/>
        <item sd="0" x="64"/>
        <item sd="0" m="1" x="876"/>
        <item sd="0" m="1" x="870"/>
        <item sd="0" x="540"/>
        <item sd="0" x="44"/>
        <item sd="0" x="114"/>
        <item sd="0" x="52"/>
        <item sd="0" x="142"/>
        <item sd="0" x="82"/>
        <item sd="0" x="245"/>
        <item sd="0" x="314"/>
        <item sd="0" m="1" x="991"/>
        <item sd="0" m="1" x="962"/>
        <item sd="0" x="308"/>
        <item sd="0" m="1" x="921"/>
        <item sd="0" m="1" x="988"/>
        <item sd="0" x="122"/>
        <item sd="0" x="118"/>
        <item sd="0" m="1" x="942"/>
        <item sd="0" x="169"/>
        <item sd="0" x="197"/>
        <item sd="0" x="125"/>
        <item sd="0" x="203"/>
        <item sd="0" x="267"/>
        <item sd="0" x="301"/>
        <item sd="0" x="85"/>
        <item sd="0" x="25"/>
        <item sd="0" x="244"/>
        <item sd="0" x="112"/>
        <item sd="0" x="192"/>
        <item sd="0" x="302"/>
        <item sd="0" x="260"/>
        <item sd="0" x="261"/>
        <item sd="0" m="1" x="927"/>
        <item sd="0" x="328"/>
        <item sd="0" x="350"/>
        <item sd="0" x="254"/>
        <item sd="0" x="320"/>
        <item sd="0" x="241"/>
        <item sd="0" x="158"/>
        <item sd="0" m="1" x="918"/>
        <item sd="0" m="1" x="882"/>
        <item sd="0" m="1" x="975"/>
        <item sd="0" m="1" x="787"/>
        <item sd="0" m="1" x="840"/>
        <item sd="0" x="143"/>
        <item sd="0" m="1" x="979"/>
        <item sd="0" x="276"/>
        <item sd="0" x="298"/>
        <item sd="0" x="424"/>
        <item sd="0" x="346"/>
        <item sd="0" x="306"/>
        <item sd="0" m="1" x="1003"/>
        <item sd="0" x="321"/>
        <item sd="0" x="313"/>
        <item sd="0" x="49"/>
        <item sd="0" x="315"/>
        <item sd="0" x="59"/>
        <item sd="0" x="183"/>
        <item sd="0" x="330"/>
        <item sd="0" x="274"/>
        <item sd="0" x="311"/>
        <item sd="0" x="249"/>
        <item sd="0" m="1" x="817"/>
        <item sd="0" m="1" x="922"/>
        <item sd="0" m="1" x="1025"/>
        <item sd="0" m="1" x="877"/>
        <item sd="0" m="1" x="859"/>
        <item sd="0" m="1" x="858"/>
        <item sd="0" x="90"/>
        <item sd="0" x="202"/>
        <item sd="0" x="67"/>
        <item sd="0" m="1" x="954"/>
        <item sd="0" x="65"/>
        <item sd="0" x="247"/>
        <item sd="0" m="1" x="829"/>
        <item sd="0" x="216"/>
        <item sd="0" m="1" x="841"/>
        <item sd="0" x="141"/>
        <item sd="0" x="177"/>
        <item sd="0" x="305"/>
        <item sd="0" m="1" x="837"/>
        <item sd="0" x="347"/>
        <item sd="0" m="1" x="1017"/>
        <item sd="0" m="1" x="902"/>
        <item sd="0" x="293"/>
        <item sd="0" x="148"/>
        <item sd="0" x="354"/>
        <item sd="0" m="1" x="957"/>
        <item sd="0" x="27"/>
        <item sd="0" m="1" x="967"/>
        <item sd="0" x="68"/>
        <item sd="0" x="6"/>
        <item sd="0" x="263"/>
        <item sd="0" x="154"/>
        <item sd="0" x="164"/>
        <item sd="0" x="172"/>
        <item sd="0" x="205"/>
        <item sd="0" x="351"/>
        <item sd="0" m="1" x="843"/>
        <item sd="0" x="29"/>
        <item sd="0" m="1" x="1011"/>
        <item sd="0" x="9"/>
        <item sd="0" x="335"/>
        <item sd="0" m="1" x="906"/>
        <item sd="0" m="1" x="933"/>
        <item sd="0" m="1" x="872"/>
        <item sd="0" x="234"/>
        <item sd="0" x="162"/>
        <item sd="0" m="1" x="845"/>
        <item sd="0" m="1" x="978"/>
        <item sd="0" m="1" x="1008"/>
        <item sd="0" m="1" x="992"/>
        <item sd="0" x="300"/>
        <item sd="0" x="167"/>
        <item sd="0" x="76"/>
        <item sd="0" m="1" x="971"/>
        <item sd="0" x="342"/>
        <item sd="0" x="341"/>
        <item sd="0" m="1" x="805"/>
        <item sd="0" m="1" x="868"/>
        <item sd="0" m="1" x="946"/>
        <item sd="0" m="1" x="925"/>
        <item sd="0" x="113"/>
        <item sd="0" x="251"/>
        <item sd="0" x="176"/>
        <item sd="0" x="372"/>
        <item sd="0" x="246"/>
        <item sd="0" m="1" x="793"/>
        <item sd="0" x="257"/>
        <item sd="0" x="95"/>
        <item sd="0" x="338"/>
        <item sd="0" x="36"/>
        <item sd="0" m="1" x="847"/>
        <item sd="0" x="21"/>
        <item sd="0" x="378"/>
        <item sd="0" x="381"/>
        <item sd="0" x="382"/>
        <item sd="0" x="379"/>
        <item sd="0" x="383"/>
        <item sd="0" x="380"/>
        <item sd="0" x="384"/>
        <item sd="0" x="385"/>
        <item sd="0" x="387"/>
        <item sd="0" m="1" x="827"/>
        <item sd="0" m="1" x="866"/>
        <item sd="0" x="388"/>
        <item sd="0" m="1" x="797"/>
        <item sd="0" x="389"/>
        <item sd="0" x="390"/>
        <item sd="0" x="391"/>
        <item sd="0" x="392"/>
        <item sd="0" x="393"/>
        <item sd="0" x="394"/>
        <item sd="0" x="396"/>
        <item sd="0" x="397"/>
        <item sd="0" x="398"/>
        <item sd="0" x="395"/>
        <item sd="0" x="373"/>
        <item sd="0" x="399"/>
        <item sd="0" m="1" x="813"/>
        <item sd="0" x="401"/>
        <item sd="0" x="400"/>
        <item sd="0" m="1" x="832"/>
        <item sd="0" x="402"/>
        <item sd="0" x="403"/>
        <item sd="0" x="404"/>
        <item sd="0" x="405"/>
        <item sd="0" x="406"/>
        <item sd="0" x="411"/>
        <item sd="0" m="1" x="89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5"/>
        <item sd="0" x="465"/>
        <item sd="0" x="469"/>
        <item sd="0" x="466"/>
        <item sd="0" x="467"/>
        <item sd="0" m="1" x="823"/>
        <item sd="0" x="470"/>
        <item sd="0" m="1" x="800"/>
        <item sd="0" x="472"/>
        <item sd="0" x="475"/>
        <item sd="0" x="476"/>
        <item sd="0" x="371"/>
        <item sd="0" m="1" x="905"/>
        <item sd="0" x="477"/>
        <item sd="0" x="478"/>
        <item sd="0" x="479"/>
        <item sd="0" x="473"/>
        <item sd="0" x="474"/>
        <item sd="0" x="480"/>
        <item sd="0" x="481"/>
        <item sd="0" x="482"/>
        <item sd="0" x="483"/>
        <item sd="0" x="484"/>
        <item sd="0" x="485"/>
        <item sd="0" x="486"/>
        <item sd="0" m="1" x="964"/>
        <item sd="0" x="488"/>
        <item sd="0" x="489"/>
        <item sd="0" x="487"/>
        <item sd="0" x="492"/>
        <item sd="0" x="491"/>
        <item sd="0" x="312"/>
        <item sd="0" m="1" x="947"/>
        <item sd="0" x="490"/>
        <item sd="0" x="493"/>
        <item sd="0" x="471"/>
        <item sd="0" x="494"/>
        <item sd="0" x="495"/>
        <item sd="0" m="1" x="931"/>
        <item sd="0" x="497"/>
        <item sd="0" x="499"/>
        <item sd="0" x="500"/>
        <item sd="0" x="503"/>
        <item sd="0" m="1" x="903"/>
        <item sd="0" m="1" x="83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30"/>
        <item sd="0" x="547"/>
        <item sd="0" x="548"/>
        <item sd="0" x="549"/>
        <item sd="0" x="543"/>
        <item sd="0" x="544"/>
        <item sd="0" x="546"/>
        <item sd="0" x="550"/>
        <item sd="0" x="551"/>
        <item sd="0" x="545"/>
        <item sd="0" x="556"/>
        <item sd="0" x="557"/>
        <item sd="0" x="558"/>
        <item sd="0" x="559"/>
        <item sd="0" x="552"/>
        <item sd="0" x="553"/>
        <item sd="0" x="554"/>
        <item sd="0" m="1" x="880"/>
        <item sd="0" x="431"/>
        <item sd="0" x="555"/>
        <item sd="0" x="560"/>
        <item sd="0" x="561"/>
        <item sd="0" x="563"/>
        <item sd="0" x="564"/>
        <item sd="0" x="565"/>
        <item sd="0" m="1" x="986"/>
        <item sd="0" x="566"/>
        <item sd="0" x="567"/>
        <item sd="0" x="571"/>
        <item sd="0" x="572"/>
        <item sd="0" x="573"/>
        <item sd="0" x="574"/>
        <item sd="0" x="568"/>
        <item sd="0" x="569"/>
        <item sd="0" x="575"/>
        <item sd="0" x="570"/>
        <item sd="0" m="1" x="90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2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8"/>
        <item x="699"/>
        <item x="700"/>
        <item x="698"/>
        <item x="702"/>
        <item x="703"/>
        <item m="1" x="951"/>
        <item x="707"/>
        <item x="704"/>
        <item x="705"/>
        <item x="706"/>
        <item x="708"/>
        <item x="709"/>
        <item x="722"/>
        <item x="710"/>
        <item x="711"/>
        <item x="712"/>
        <item x="713"/>
        <item x="714"/>
        <item x="715"/>
        <item x="716"/>
        <item x="717"/>
        <item x="718"/>
        <item x="719"/>
        <item x="720"/>
        <item x="721"/>
        <item x="723"/>
        <item x="724"/>
        <item x="725"/>
        <item x="726"/>
        <item x="727"/>
        <item m="1" x="853"/>
        <item x="728"/>
        <item x="729"/>
        <item x="732"/>
        <item m="1" x="1026"/>
        <item m="1" x="816"/>
        <item x="733"/>
        <item x="730"/>
        <item x="334"/>
        <item x="731"/>
        <item x="734"/>
        <item x="735"/>
        <item x="736"/>
        <item x="737"/>
        <item x="738"/>
        <item x="739"/>
        <item x="740"/>
        <item m="1" x="924"/>
        <item x="741"/>
        <item x="742"/>
        <item x="743"/>
        <item x="744"/>
        <item x="745"/>
        <item x="746"/>
        <item x="747"/>
        <item x="748"/>
        <item x="749"/>
        <item x="750"/>
        <item x="751"/>
        <item m="1" x="836"/>
        <item x="752"/>
        <item x="759"/>
        <item x="753"/>
        <item x="754"/>
        <item m="1" x="909"/>
        <item x="755"/>
        <item x="756"/>
        <item x="757"/>
        <item x="758"/>
        <item x="760"/>
        <item x="594"/>
        <item x="761"/>
        <item x="762"/>
        <item x="763"/>
        <item x="764"/>
        <item x="765"/>
        <item x="766"/>
        <item x="767"/>
        <item x="768"/>
        <item x="769"/>
        <item x="770"/>
        <item x="771"/>
        <item x="772"/>
        <item x="773"/>
        <item x="774"/>
        <item x="775"/>
        <item x="776"/>
        <item t="default" sd="0"/>
      </items>
    </pivotField>
    <pivotField axis="axisPage" showAll="0">
      <items count="928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70"/>
        <item x="9271"/>
        <item x="9273"/>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62"/>
        <item x="9263"/>
        <item x="9264"/>
        <item x="9055"/>
        <item x="9183"/>
        <item x="9185"/>
        <item x="9194"/>
        <item x="9205"/>
        <item x="9206"/>
        <item x="9207"/>
        <item x="9208"/>
        <item x="9209"/>
        <item x="9210"/>
        <item x="9211"/>
        <item x="9212"/>
        <item x="9213"/>
        <item x="9214"/>
        <item x="9218"/>
        <item x="9216"/>
        <item x="9217"/>
        <item x="9219"/>
        <item x="9220"/>
        <item x="9221"/>
        <item x="9274"/>
        <item x="9265"/>
        <item x="9275"/>
        <item x="9276"/>
        <item x="9222"/>
        <item x="9223"/>
        <item x="9224"/>
        <item x="9225"/>
        <item x="9226"/>
        <item x="9227"/>
        <item x="9229"/>
        <item x="9266"/>
        <item x="9267"/>
        <item x="9268"/>
        <item x="9277"/>
        <item x="9278"/>
        <item x="9279"/>
        <item x="9280"/>
        <item x="9281"/>
        <item x="9228"/>
        <item x="9230"/>
        <item x="9231"/>
        <item x="9232"/>
        <item x="9233"/>
        <item x="9234"/>
        <item x="9235"/>
        <item x="9236"/>
        <item x="9237"/>
        <item x="9238"/>
        <item x="9239"/>
        <item x="9240"/>
        <item x="9241"/>
        <item x="9242"/>
        <item x="9243"/>
        <item x="9244"/>
        <item x="9246"/>
        <item x="9272"/>
        <item x="9215"/>
        <item x="9282"/>
        <item x="9284"/>
        <item x="9160"/>
        <item x="9161"/>
        <item x="9245"/>
        <item x="9247"/>
        <item x="9248"/>
        <item x="9249"/>
        <item x="9250"/>
        <item x="9251"/>
        <item x="9252"/>
        <item x="9253"/>
        <item x="9254"/>
        <item x="9255"/>
        <item x="9256"/>
        <item x="9257"/>
        <item x="9258"/>
        <item x="9259"/>
        <item x="9260"/>
        <item x="9261"/>
        <item x="9269"/>
        <item x="9283"/>
        <item x="9285"/>
        <item x="9286"/>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865">
      <pivotArea type="all" dataOnly="0" outline="0" fieldPosition="0"/>
    </format>
    <format dxfId="864">
      <pivotArea outline="0" collapsedLevelsAreSubtotals="1" fieldPosition="0"/>
    </format>
    <format dxfId="863">
      <pivotArea dataOnly="0" labelOnly="1" outline="0" fieldPosition="0">
        <references count="1">
          <reference field="4294967294" count="3">
            <x v="0"/>
            <x v="1"/>
            <x v="2"/>
          </reference>
        </references>
      </pivotArea>
    </format>
    <format dxfId="862">
      <pivotArea type="all" dataOnly="0" outline="0" fieldPosition="0"/>
    </format>
    <format dxfId="861">
      <pivotArea outline="0" collapsedLevelsAreSubtotals="1" fieldPosition="0"/>
    </format>
    <format dxfId="860">
      <pivotArea field="1" type="button" dataOnly="0" labelOnly="1" outline="0" axis="axisRow" fieldPosition="0"/>
    </format>
    <format dxfId="859">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58">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57">
      <pivotArea dataOnly="0" labelOnly="1" grandRow="1" outline="0" fieldPosition="0"/>
    </format>
    <format dxfId="856">
      <pivotArea dataOnly="0" labelOnly="1" outline="0" fieldPosition="0">
        <references count="1">
          <reference field="4294967294" count="3">
            <x v="0"/>
            <x v="1"/>
            <x v="2"/>
          </reference>
        </references>
      </pivotArea>
    </format>
    <format dxfId="855">
      <pivotArea type="all" dataOnly="0" outline="0" fieldPosition="0"/>
    </format>
    <format dxfId="854">
      <pivotArea outline="0" collapsedLevelsAreSubtotals="1" fieldPosition="0"/>
    </format>
    <format dxfId="853">
      <pivotArea field="1" type="button" dataOnly="0" labelOnly="1" outline="0" axis="axisRow" fieldPosition="0"/>
    </format>
    <format dxfId="852">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51">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50">
      <pivotArea dataOnly="0" labelOnly="1" grandRow="1" outline="0" fieldPosition="0"/>
    </format>
    <format dxfId="849">
      <pivotArea dataOnly="0" labelOnly="1" outline="0" fieldPosition="0">
        <references count="1">
          <reference field="4294967294" count="3">
            <x v="0"/>
            <x v="1"/>
            <x v="2"/>
          </reference>
        </references>
      </pivotArea>
    </format>
    <format dxfId="848">
      <pivotArea type="all" dataOnly="0" outline="0" fieldPosition="0"/>
    </format>
    <format dxfId="847">
      <pivotArea field="1" type="button" dataOnly="0" labelOnly="1" outline="0" axis="axisRow" fieldPosition="0"/>
    </format>
    <format dxfId="846">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45">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44">
      <pivotArea dataOnly="0" labelOnly="1" outline="0" fieldPosition="0">
        <references count="1">
          <reference field="4294967294" count="3">
            <x v="0"/>
            <x v="1"/>
            <x v="2"/>
          </reference>
        </references>
      </pivotArea>
    </format>
    <format dxfId="843">
      <pivotArea dataOnly="0" labelOnly="1" outline="0" fieldPosition="0">
        <references count="1">
          <reference field="4294967294" count="1">
            <x v="2"/>
          </reference>
        </references>
      </pivotArea>
    </format>
    <format dxfId="842">
      <pivotArea dataOnly="0" labelOnly="1" outline="0" fieldPosition="0">
        <references count="1">
          <reference field="4294967294" count="1">
            <x v="2"/>
          </reference>
        </references>
      </pivotArea>
    </format>
    <format dxfId="841">
      <pivotArea dataOnly="0" labelOnly="1" outline="0" fieldPosition="0">
        <references count="1">
          <reference field="4294967294" count="2">
            <x v="0"/>
            <x v="1"/>
          </reference>
        </references>
      </pivotArea>
    </format>
    <format dxfId="840">
      <pivotArea dataOnly="0" labelOnly="1" outline="0" fieldPosition="0">
        <references count="1">
          <reference field="4294967294" count="2">
            <x v="0"/>
            <x v="1"/>
          </reference>
        </references>
      </pivotArea>
    </format>
    <format dxfId="839">
      <pivotArea dataOnly="0" labelOnly="1" outline="0" fieldPosition="0">
        <references count="1">
          <reference field="4294967294" count="2">
            <x v="0"/>
            <x v="1"/>
          </reference>
        </references>
      </pivotArea>
    </format>
    <format dxfId="838">
      <pivotArea dataOnly="0" labelOnly="1" outline="0" fieldPosition="0">
        <references count="1">
          <reference field="4294967294" count="2">
            <x v="0"/>
            <x v="1"/>
          </reference>
        </references>
      </pivotArea>
    </format>
    <format dxfId="837">
      <pivotArea field="1" type="button" dataOnly="0" labelOnly="1" outline="0" axis="axisRow" fieldPosition="0"/>
    </format>
    <format dxfId="836">
      <pivotArea field="1" type="button" dataOnly="0" labelOnly="1" outline="0" axis="axisRow" fieldPosition="0"/>
    </format>
    <format dxfId="835">
      <pivotArea field="1" type="button" dataOnly="0" labelOnly="1" outline="0" axis="axisRow" fieldPosition="0"/>
    </format>
    <format dxfId="834">
      <pivotArea dataOnly="0" labelOnly="1" outline="0" fieldPosition="0">
        <references count="1">
          <reference field="4294967294" count="3">
            <x v="0"/>
            <x v="1"/>
            <x v="2"/>
          </reference>
        </references>
      </pivotArea>
    </format>
    <format dxfId="833">
      <pivotArea field="1" type="button" dataOnly="0" labelOnly="1" outline="0" axis="axisRow" fieldPosition="0"/>
    </format>
    <format dxfId="832">
      <pivotArea dataOnly="0" labelOnly="1" outline="0" fieldPosition="0">
        <references count="1">
          <reference field="4294967294" count="3">
            <x v="0"/>
            <x v="1"/>
            <x v="2"/>
          </reference>
        </references>
      </pivotArea>
    </format>
    <format dxfId="83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3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29">
      <pivotArea collapsedLevelsAreSubtotals="1" fieldPosition="0">
        <references count="1">
          <reference field="1" count="1">
            <x v="96"/>
          </reference>
        </references>
      </pivotArea>
    </format>
    <format dxfId="828">
      <pivotArea collapsedLevelsAreSubtotals="1" fieldPosition="0">
        <references count="1">
          <reference field="1" count="1">
            <x v="97"/>
          </reference>
        </references>
      </pivotArea>
    </format>
    <format dxfId="827">
      <pivotArea collapsedLevelsAreSubtotals="1" fieldPosition="0">
        <references count="1">
          <reference field="1" count="1">
            <x v="98"/>
          </reference>
        </references>
      </pivotArea>
    </format>
    <format dxfId="826">
      <pivotArea collapsedLevelsAreSubtotals="1" fieldPosition="0">
        <references count="1">
          <reference field="1" count="1">
            <x v="99"/>
          </reference>
        </references>
      </pivotArea>
    </format>
    <format dxfId="825">
      <pivotArea collapsedLevelsAreSubtotals="1" fieldPosition="0">
        <references count="1">
          <reference field="1" count="1">
            <x v="100"/>
          </reference>
        </references>
      </pivotArea>
    </format>
    <format dxfId="824">
      <pivotArea collapsedLevelsAreSubtotals="1" fieldPosition="0">
        <references count="1">
          <reference field="1" count="1">
            <x v="101"/>
          </reference>
        </references>
      </pivotArea>
    </format>
    <format dxfId="823">
      <pivotArea collapsedLevelsAreSubtotals="1" fieldPosition="0">
        <references count="1">
          <reference field="1" count="1">
            <x v="102"/>
          </reference>
        </references>
      </pivotArea>
    </format>
    <format dxfId="822">
      <pivotArea collapsedLevelsAreSubtotals="1" fieldPosition="0">
        <references count="1">
          <reference field="1" count="1">
            <x v="103"/>
          </reference>
        </references>
      </pivotArea>
    </format>
    <format dxfId="821">
      <pivotArea collapsedLevelsAreSubtotals="1" fieldPosition="0">
        <references count="1">
          <reference field="1" count="1">
            <x v="104"/>
          </reference>
        </references>
      </pivotArea>
    </format>
    <format dxfId="820">
      <pivotArea collapsedLevelsAreSubtotals="1" fieldPosition="0">
        <references count="1">
          <reference field="1" count="1">
            <x v="105"/>
          </reference>
        </references>
      </pivotArea>
    </format>
    <format dxfId="819">
      <pivotArea collapsedLevelsAreSubtotals="1" fieldPosition="0">
        <references count="1">
          <reference field="1" count="1">
            <x v="106"/>
          </reference>
        </references>
      </pivotArea>
    </format>
    <format dxfId="818">
      <pivotArea collapsedLevelsAreSubtotals="1" fieldPosition="0">
        <references count="1">
          <reference field="1" count="1">
            <x v="107"/>
          </reference>
        </references>
      </pivotArea>
    </format>
    <format dxfId="817">
      <pivotArea collapsedLevelsAreSubtotals="1" fieldPosition="0">
        <references count="1">
          <reference field="1" count="1">
            <x v="108"/>
          </reference>
        </references>
      </pivotArea>
    </format>
    <format dxfId="816">
      <pivotArea collapsedLevelsAreSubtotals="1" fieldPosition="0">
        <references count="1">
          <reference field="1" count="1">
            <x v="109"/>
          </reference>
        </references>
      </pivotArea>
    </format>
    <format dxfId="815">
      <pivotArea collapsedLevelsAreSubtotals="1" fieldPosition="0">
        <references count="1">
          <reference field="1" count="1">
            <x v="110"/>
          </reference>
        </references>
      </pivotArea>
    </format>
    <format dxfId="814">
      <pivotArea collapsedLevelsAreSubtotals="1" fieldPosition="0">
        <references count="1">
          <reference field="1" count="1">
            <x v="111"/>
          </reference>
        </references>
      </pivotArea>
    </format>
    <format dxfId="813">
      <pivotArea collapsedLevelsAreSubtotals="1" fieldPosition="0">
        <references count="1">
          <reference field="1" count="1">
            <x v="112"/>
          </reference>
        </references>
      </pivotArea>
    </format>
    <format dxfId="812">
      <pivotArea collapsedLevelsAreSubtotals="1" fieldPosition="0">
        <references count="1">
          <reference field="1" count="1">
            <x v="113"/>
          </reference>
        </references>
      </pivotArea>
    </format>
    <format dxfId="811">
      <pivotArea collapsedLevelsAreSubtotals="1" fieldPosition="0">
        <references count="1">
          <reference field="1" count="1">
            <x v="114"/>
          </reference>
        </references>
      </pivotArea>
    </format>
    <format dxfId="810">
      <pivotArea collapsedLevelsAreSubtotals="1" fieldPosition="0">
        <references count="1">
          <reference field="1" count="1">
            <x v="115"/>
          </reference>
        </references>
      </pivotArea>
    </format>
    <format dxfId="809">
      <pivotArea collapsedLevelsAreSubtotals="1" fieldPosition="0">
        <references count="1">
          <reference field="1" count="1">
            <x v="116"/>
          </reference>
        </references>
      </pivotArea>
    </format>
    <format dxfId="808">
      <pivotArea collapsedLevelsAreSubtotals="1" fieldPosition="0">
        <references count="1">
          <reference field="1" count="1">
            <x v="117"/>
          </reference>
        </references>
      </pivotArea>
    </format>
    <format dxfId="807">
      <pivotArea collapsedLevelsAreSubtotals="1" fieldPosition="0">
        <references count="1">
          <reference field="1" count="1">
            <x v="118"/>
          </reference>
        </references>
      </pivotArea>
    </format>
    <format dxfId="806">
      <pivotArea collapsedLevelsAreSubtotals="1" fieldPosition="0">
        <references count="1">
          <reference field="1" count="1">
            <x v="119"/>
          </reference>
        </references>
      </pivotArea>
    </format>
    <format dxfId="805">
      <pivotArea collapsedLevelsAreSubtotals="1" fieldPosition="0">
        <references count="1">
          <reference field="1" count="1">
            <x v="120"/>
          </reference>
        </references>
      </pivotArea>
    </format>
    <format dxfId="804">
      <pivotArea collapsedLevelsAreSubtotals="1" fieldPosition="0">
        <references count="1">
          <reference field="1" count="1">
            <x v="121"/>
          </reference>
        </references>
      </pivotArea>
    </format>
    <format dxfId="803">
      <pivotArea collapsedLevelsAreSubtotals="1" fieldPosition="0">
        <references count="1">
          <reference field="1" count="1">
            <x v="122"/>
          </reference>
        </references>
      </pivotArea>
    </format>
    <format dxfId="802">
      <pivotArea collapsedLevelsAreSubtotals="1" fieldPosition="0">
        <references count="1">
          <reference field="1" count="1">
            <x v="123"/>
          </reference>
        </references>
      </pivotArea>
    </format>
    <format dxfId="801">
      <pivotArea collapsedLevelsAreSubtotals="1" fieldPosition="0">
        <references count="1">
          <reference field="1" count="1">
            <x v="124"/>
          </reference>
        </references>
      </pivotArea>
    </format>
    <format dxfId="800">
      <pivotArea collapsedLevelsAreSubtotals="1" fieldPosition="0">
        <references count="1">
          <reference field="1" count="1">
            <x v="125"/>
          </reference>
        </references>
      </pivotArea>
    </format>
    <format dxfId="799">
      <pivotArea collapsedLevelsAreSubtotals="1" fieldPosition="0">
        <references count="1">
          <reference field="1" count="1">
            <x v="126"/>
          </reference>
        </references>
      </pivotArea>
    </format>
    <format dxfId="798">
      <pivotArea collapsedLevelsAreSubtotals="1" fieldPosition="0">
        <references count="1">
          <reference field="1" count="1">
            <x v="127"/>
          </reference>
        </references>
      </pivotArea>
    </format>
    <format dxfId="797">
      <pivotArea collapsedLevelsAreSubtotals="1" fieldPosition="0">
        <references count="1">
          <reference field="1" count="1">
            <x v="128"/>
          </reference>
        </references>
      </pivotArea>
    </format>
    <format dxfId="796">
      <pivotArea collapsedLevelsAreSubtotals="1" fieldPosition="0">
        <references count="1">
          <reference field="1" count="1">
            <x v="129"/>
          </reference>
        </references>
      </pivotArea>
    </format>
    <format dxfId="795">
      <pivotArea collapsedLevelsAreSubtotals="1" fieldPosition="0">
        <references count="1">
          <reference field="1" count="1">
            <x v="130"/>
          </reference>
        </references>
      </pivotArea>
    </format>
    <format dxfId="794">
      <pivotArea collapsedLevelsAreSubtotals="1" fieldPosition="0">
        <references count="1">
          <reference field="1" count="1">
            <x v="131"/>
          </reference>
        </references>
      </pivotArea>
    </format>
    <format dxfId="793">
      <pivotArea collapsedLevelsAreSubtotals="1" fieldPosition="0">
        <references count="1">
          <reference field="1" count="1">
            <x v="41"/>
          </reference>
        </references>
      </pivotArea>
    </format>
    <format dxfId="792">
      <pivotArea collapsedLevelsAreSubtotals="1" fieldPosition="0">
        <references count="1">
          <reference field="1" count="1">
            <x v="132"/>
          </reference>
        </references>
      </pivotArea>
    </format>
    <format dxfId="791">
      <pivotArea collapsedLevelsAreSubtotals="1" fieldPosition="0">
        <references count="1">
          <reference field="1" count="1">
            <x v="133"/>
          </reference>
        </references>
      </pivotArea>
    </format>
    <format dxfId="790">
      <pivotArea collapsedLevelsAreSubtotals="1" fieldPosition="0">
        <references count="1">
          <reference field="1" count="1">
            <x v="134"/>
          </reference>
        </references>
      </pivotArea>
    </format>
    <format dxfId="789">
      <pivotArea collapsedLevelsAreSubtotals="1" fieldPosition="0">
        <references count="1">
          <reference field="1" count="1">
            <x v="135"/>
          </reference>
        </references>
      </pivotArea>
    </format>
    <format dxfId="788">
      <pivotArea collapsedLevelsAreSubtotals="1" fieldPosition="0">
        <references count="1">
          <reference field="1" count="1">
            <x v="136"/>
          </reference>
        </references>
      </pivotArea>
    </format>
    <format dxfId="787">
      <pivotArea collapsedLevelsAreSubtotals="1" fieldPosition="0">
        <references count="1">
          <reference field="1" count="1">
            <x v="137"/>
          </reference>
        </references>
      </pivotArea>
    </format>
    <format dxfId="786">
      <pivotArea collapsedLevelsAreSubtotals="1" fieldPosition="0">
        <references count="1">
          <reference field="1" count="1">
            <x v="138"/>
          </reference>
        </references>
      </pivotArea>
    </format>
    <format dxfId="785">
      <pivotArea collapsedLevelsAreSubtotals="1" fieldPosition="0">
        <references count="1">
          <reference field="1" count="1">
            <x v="139"/>
          </reference>
        </references>
      </pivotArea>
    </format>
    <format dxfId="784">
      <pivotArea collapsedLevelsAreSubtotals="1" fieldPosition="0">
        <references count="1">
          <reference field="1" count="1">
            <x v="140"/>
          </reference>
        </references>
      </pivotArea>
    </format>
    <format dxfId="783">
      <pivotArea collapsedLevelsAreSubtotals="1" fieldPosition="0">
        <references count="1">
          <reference field="1" count="1">
            <x v="141"/>
          </reference>
        </references>
      </pivotArea>
    </format>
    <format dxfId="782">
      <pivotArea collapsedLevelsAreSubtotals="1" fieldPosition="0">
        <references count="1">
          <reference field="1" count="1">
            <x v="142"/>
          </reference>
        </references>
      </pivotArea>
    </format>
    <format dxfId="781">
      <pivotArea collapsedLevelsAreSubtotals="1" fieldPosition="0">
        <references count="1">
          <reference field="1" count="1">
            <x v="143"/>
          </reference>
        </references>
      </pivotArea>
    </format>
    <format dxfId="780">
      <pivotArea collapsedLevelsAreSubtotals="1" fieldPosition="0">
        <references count="1">
          <reference field="1" count="1">
            <x v="144"/>
          </reference>
        </references>
      </pivotArea>
    </format>
    <format dxfId="779">
      <pivotArea collapsedLevelsAreSubtotals="1" fieldPosition="0">
        <references count="1">
          <reference field="1" count="1">
            <x v="145"/>
          </reference>
        </references>
      </pivotArea>
    </format>
    <format dxfId="778">
      <pivotArea collapsedLevelsAreSubtotals="1" fieldPosition="0">
        <references count="1">
          <reference field="1" count="1">
            <x v="146"/>
          </reference>
        </references>
      </pivotArea>
    </format>
    <format dxfId="777">
      <pivotArea collapsedLevelsAreSubtotals="1" fieldPosition="0">
        <references count="1">
          <reference field="1" count="1">
            <x v="147"/>
          </reference>
        </references>
      </pivotArea>
    </format>
    <format dxfId="776">
      <pivotArea collapsedLevelsAreSubtotals="1" fieldPosition="0">
        <references count="1">
          <reference field="1" count="1">
            <x v="148"/>
          </reference>
        </references>
      </pivotArea>
    </format>
    <format dxfId="775">
      <pivotArea collapsedLevelsAreSubtotals="1" fieldPosition="0">
        <references count="1">
          <reference field="1" count="1">
            <x v="149"/>
          </reference>
        </references>
      </pivotArea>
    </format>
    <format dxfId="774">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773">
      <pivotArea dataOnly="0" labelOnly="1" fieldPosition="0">
        <references count="1">
          <reference field="1" count="5">
            <x v="145"/>
            <x v="146"/>
            <x v="147"/>
            <x v="148"/>
            <x v="149"/>
          </reference>
        </references>
      </pivotArea>
    </format>
    <format dxfId="772">
      <pivotArea dataOnly="0" labelOnly="1" outline="0" fieldPosition="0">
        <references count="1">
          <reference field="4294967294" count="1">
            <x v="2"/>
          </reference>
        </references>
      </pivotArea>
    </format>
    <format dxfId="771">
      <pivotArea dataOnly="0" labelOnly="1" fieldPosition="0">
        <references count="1">
          <reference field="1" count="7">
            <x v="150"/>
            <x v="151"/>
            <x v="152"/>
            <x v="153"/>
            <x v="154"/>
            <x v="155"/>
            <x v="157"/>
          </reference>
        </references>
      </pivotArea>
    </format>
    <format dxfId="770">
      <pivotArea dataOnly="0" labelOnly="1" fieldPosition="0">
        <references count="1">
          <reference field="1" count="7">
            <x v="150"/>
            <x v="151"/>
            <x v="152"/>
            <x v="153"/>
            <x v="154"/>
            <x v="155"/>
            <x v="157"/>
          </reference>
        </references>
      </pivotArea>
    </format>
    <format dxfId="769">
      <pivotArea collapsedLevelsAreSubtotals="1" fieldPosition="0">
        <references count="1">
          <reference field="1" count="1">
            <x v="150"/>
          </reference>
        </references>
      </pivotArea>
    </format>
    <format dxfId="768">
      <pivotArea collapsedLevelsAreSubtotals="1" fieldPosition="0">
        <references count="1">
          <reference field="1" count="1">
            <x v="151"/>
          </reference>
        </references>
      </pivotArea>
    </format>
    <format dxfId="767">
      <pivotArea collapsedLevelsAreSubtotals="1" fieldPosition="0">
        <references count="1">
          <reference field="1" count="1">
            <x v="152"/>
          </reference>
        </references>
      </pivotArea>
    </format>
    <format dxfId="766">
      <pivotArea collapsedLevelsAreSubtotals="1" fieldPosition="0">
        <references count="1">
          <reference field="1" count="1">
            <x v="153"/>
          </reference>
        </references>
      </pivotArea>
    </format>
    <format dxfId="765">
      <pivotArea collapsedLevelsAreSubtotals="1" fieldPosition="0">
        <references count="1">
          <reference field="1" count="1">
            <x v="154"/>
          </reference>
        </references>
      </pivotArea>
    </format>
    <format dxfId="764">
      <pivotArea collapsedLevelsAreSubtotals="1" fieldPosition="0">
        <references count="1">
          <reference field="1" count="1">
            <x v="155"/>
          </reference>
        </references>
      </pivotArea>
    </format>
    <format dxfId="763">
      <pivotArea collapsedLevelsAreSubtotals="1" fieldPosition="0">
        <references count="1">
          <reference field="1" count="1">
            <x v="157"/>
          </reference>
        </references>
      </pivotArea>
    </format>
    <format dxfId="762">
      <pivotArea dataOnly="0" labelOnly="1" fieldPosition="0">
        <references count="1">
          <reference field="1" count="4">
            <x v="51"/>
            <x v="52"/>
            <x v="187"/>
            <x v="189"/>
          </reference>
        </references>
      </pivotArea>
    </format>
    <format dxfId="761">
      <pivotArea dataOnly="0" labelOnly="1" fieldPosition="0">
        <references count="1">
          <reference field="1" count="3">
            <x v="48"/>
            <x v="49"/>
            <x v="63"/>
          </reference>
        </references>
      </pivotArea>
    </format>
    <format dxfId="760">
      <pivotArea collapsedLevelsAreSubtotals="1" fieldPosition="0">
        <references count="1">
          <reference field="1" count="1">
            <x v="185"/>
          </reference>
        </references>
      </pivotArea>
    </format>
    <format dxfId="759">
      <pivotArea collapsedLevelsAreSubtotals="1" fieldPosition="0">
        <references count="1">
          <reference field="1" count="1">
            <x v="184"/>
          </reference>
        </references>
      </pivotArea>
    </format>
    <format dxfId="758">
      <pivotArea collapsedLevelsAreSubtotals="1" fieldPosition="0">
        <references count="1">
          <reference field="1" count="1">
            <x v="68"/>
          </reference>
        </references>
      </pivotArea>
    </format>
    <format dxfId="757">
      <pivotArea collapsedLevelsAreSubtotals="1" fieldPosition="0">
        <references count="1">
          <reference field="1" count="1">
            <x v="69"/>
          </reference>
        </references>
      </pivotArea>
    </format>
    <format dxfId="756">
      <pivotArea collapsedLevelsAreSubtotals="1" fieldPosition="0">
        <references count="1">
          <reference field="1" count="1">
            <x v="70"/>
          </reference>
        </references>
      </pivotArea>
    </format>
    <format dxfId="755">
      <pivotArea collapsedLevelsAreSubtotals="1" fieldPosition="0">
        <references count="1">
          <reference field="1" count="1">
            <x v="71"/>
          </reference>
        </references>
      </pivotArea>
    </format>
    <format dxfId="754">
      <pivotArea collapsedLevelsAreSubtotals="1" fieldPosition="0">
        <references count="1">
          <reference field="1" count="1">
            <x v="72"/>
          </reference>
        </references>
      </pivotArea>
    </format>
    <format dxfId="753">
      <pivotArea collapsedLevelsAreSubtotals="1" fieldPosition="0">
        <references count="1">
          <reference field="1" count="1">
            <x v="73"/>
          </reference>
        </references>
      </pivotArea>
    </format>
    <format dxfId="752">
      <pivotArea collapsedLevelsAreSubtotals="1" fieldPosition="0">
        <references count="1">
          <reference field="1" count="1">
            <x v="74"/>
          </reference>
        </references>
      </pivotArea>
    </format>
    <format dxfId="751">
      <pivotArea collapsedLevelsAreSubtotals="1" fieldPosition="0">
        <references count="1">
          <reference field="1" count="1">
            <x v="75"/>
          </reference>
        </references>
      </pivotArea>
    </format>
    <format dxfId="750">
      <pivotArea collapsedLevelsAreSubtotals="1" fieldPosition="0">
        <references count="1">
          <reference field="1" count="1">
            <x v="76"/>
          </reference>
        </references>
      </pivotArea>
    </format>
    <format dxfId="749">
      <pivotArea collapsedLevelsAreSubtotals="1" fieldPosition="0">
        <references count="1">
          <reference field="1" count="1">
            <x v="77"/>
          </reference>
        </references>
      </pivotArea>
    </format>
    <format dxfId="748">
      <pivotArea collapsedLevelsAreSubtotals="1" fieldPosition="0">
        <references count="1">
          <reference field="1" count="1">
            <x v="78"/>
          </reference>
        </references>
      </pivotArea>
    </format>
    <format dxfId="747">
      <pivotArea collapsedLevelsAreSubtotals="1" fieldPosition="0">
        <references count="1">
          <reference field="1" count="1">
            <x v="79"/>
          </reference>
        </references>
      </pivotArea>
    </format>
    <format dxfId="746">
      <pivotArea collapsedLevelsAreSubtotals="1" fieldPosition="0">
        <references count="1">
          <reference field="1" count="1">
            <x v="80"/>
          </reference>
        </references>
      </pivotArea>
    </format>
    <format dxfId="745">
      <pivotArea collapsedLevelsAreSubtotals="1" fieldPosition="0">
        <references count="1">
          <reference field="1" count="1">
            <x v="81"/>
          </reference>
        </references>
      </pivotArea>
    </format>
    <format dxfId="744">
      <pivotArea collapsedLevelsAreSubtotals="1" fieldPosition="0">
        <references count="1">
          <reference field="1" count="1">
            <x v="82"/>
          </reference>
        </references>
      </pivotArea>
    </format>
    <format dxfId="743">
      <pivotArea collapsedLevelsAreSubtotals="1" fieldPosition="0">
        <references count="1">
          <reference field="1" count="1">
            <x v="83"/>
          </reference>
        </references>
      </pivotArea>
    </format>
    <format dxfId="742">
      <pivotArea collapsedLevelsAreSubtotals="1" fieldPosition="0">
        <references count="1">
          <reference field="1" count="1">
            <x v="84"/>
          </reference>
        </references>
      </pivotArea>
    </format>
    <format dxfId="741">
      <pivotArea collapsedLevelsAreSubtotals="1" fieldPosition="0">
        <references count="1">
          <reference field="1" count="1">
            <x v="85"/>
          </reference>
        </references>
      </pivotArea>
    </format>
    <format dxfId="740">
      <pivotArea collapsedLevelsAreSubtotals="1" fieldPosition="0">
        <references count="1">
          <reference field="1" count="1">
            <x v="86"/>
          </reference>
        </references>
      </pivotArea>
    </format>
    <format dxfId="739">
      <pivotArea collapsedLevelsAreSubtotals="1" fieldPosition="0">
        <references count="1">
          <reference field="1" count="1">
            <x v="87"/>
          </reference>
        </references>
      </pivotArea>
    </format>
    <format dxfId="738">
      <pivotArea collapsedLevelsAreSubtotals="1" fieldPosition="0">
        <references count="1">
          <reference field="1" count="1">
            <x v="88"/>
          </reference>
        </references>
      </pivotArea>
    </format>
    <format dxfId="737">
      <pivotArea collapsedLevelsAreSubtotals="1" fieldPosition="0">
        <references count="1">
          <reference field="1" count="1">
            <x v="89"/>
          </reference>
        </references>
      </pivotArea>
    </format>
    <format dxfId="736">
      <pivotArea collapsedLevelsAreSubtotals="1" fieldPosition="0">
        <references count="1">
          <reference field="1" count="1">
            <x v="90"/>
          </reference>
        </references>
      </pivotArea>
    </format>
    <format dxfId="735">
      <pivotArea collapsedLevelsAreSubtotals="1" fieldPosition="0">
        <references count="1">
          <reference field="1" count="1">
            <x v="91"/>
          </reference>
        </references>
      </pivotArea>
    </format>
    <format dxfId="734">
      <pivotArea collapsedLevelsAreSubtotals="1" fieldPosition="0">
        <references count="1">
          <reference field="1" count="1">
            <x v="92"/>
          </reference>
        </references>
      </pivotArea>
    </format>
    <format dxfId="733">
      <pivotArea collapsedLevelsAreSubtotals="1" fieldPosition="0">
        <references count="1">
          <reference field="1" count="1">
            <x v="93"/>
          </reference>
        </references>
      </pivotArea>
    </format>
    <format dxfId="732">
      <pivotArea collapsedLevelsAreSubtotals="1" fieldPosition="0">
        <references count="1">
          <reference field="1" count="1">
            <x v="94"/>
          </reference>
        </references>
      </pivotArea>
    </format>
    <format dxfId="731">
      <pivotArea collapsedLevelsAreSubtotals="1" fieldPosition="0">
        <references count="1">
          <reference field="1" count="1">
            <x v="95"/>
          </reference>
        </references>
      </pivotArea>
    </format>
    <format dxfId="730">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729">
      <pivotArea collapsedLevelsAreSubtotals="1" fieldPosition="0">
        <references count="2">
          <reference field="4294967294" count="2" selected="0">
            <x v="0"/>
            <x v="1"/>
          </reference>
          <reference field="1" count="1">
            <x v="158"/>
          </reference>
        </references>
      </pivotArea>
    </format>
    <format dxfId="728">
      <pivotArea collapsedLevelsAreSubtotals="1" fieldPosition="0">
        <references count="2">
          <reference field="4294967294" count="2" selected="0">
            <x v="0"/>
            <x v="1"/>
          </reference>
          <reference field="1" count="1">
            <x v="159"/>
          </reference>
        </references>
      </pivotArea>
    </format>
    <format dxfId="727">
      <pivotArea collapsedLevelsAreSubtotals="1" fieldPosition="0">
        <references count="2">
          <reference field="4294967294" count="2" selected="0">
            <x v="0"/>
            <x v="1"/>
          </reference>
          <reference field="1" count="1">
            <x v="162"/>
          </reference>
        </references>
      </pivotArea>
    </format>
    <format dxfId="726">
      <pivotArea collapsedLevelsAreSubtotals="1" fieldPosition="0">
        <references count="2">
          <reference field="4294967294" count="2" selected="0">
            <x v="0"/>
            <x v="1"/>
          </reference>
          <reference field="1" count="1">
            <x v="163"/>
          </reference>
        </references>
      </pivotArea>
    </format>
    <format dxfId="725">
      <pivotArea collapsedLevelsAreSubtotals="1" fieldPosition="0">
        <references count="2">
          <reference field="4294967294" count="2" selected="0">
            <x v="0"/>
            <x v="1"/>
          </reference>
          <reference field="1" count="1">
            <x v="164"/>
          </reference>
        </references>
      </pivotArea>
    </format>
    <format dxfId="724">
      <pivotArea collapsedLevelsAreSubtotals="1" fieldPosition="0">
        <references count="2">
          <reference field="4294967294" count="2" selected="0">
            <x v="0"/>
            <x v="1"/>
          </reference>
          <reference field="1" count="1">
            <x v="165"/>
          </reference>
        </references>
      </pivotArea>
    </format>
    <format dxfId="723">
      <pivotArea collapsedLevelsAreSubtotals="1" fieldPosition="0">
        <references count="2">
          <reference field="4294967294" count="2" selected="0">
            <x v="0"/>
            <x v="1"/>
          </reference>
          <reference field="1" count="1">
            <x v="166"/>
          </reference>
        </references>
      </pivotArea>
    </format>
    <format dxfId="722">
      <pivotArea collapsedLevelsAreSubtotals="1" fieldPosition="0">
        <references count="2">
          <reference field="4294967294" count="2" selected="0">
            <x v="0"/>
            <x v="1"/>
          </reference>
          <reference field="1" count="1">
            <x v="169"/>
          </reference>
        </references>
      </pivotArea>
    </format>
    <format dxfId="721">
      <pivotArea dataOnly="0" labelOnly="1" fieldPosition="0">
        <references count="1">
          <reference field="1" count="8">
            <x v="158"/>
            <x v="159"/>
            <x v="162"/>
            <x v="163"/>
            <x v="164"/>
            <x v="165"/>
            <x v="166"/>
            <x v="169"/>
          </reference>
        </references>
      </pivotArea>
    </format>
    <format dxfId="720">
      <pivotArea collapsedLevelsAreSubtotals="1" fieldPosition="0">
        <references count="2">
          <reference field="4294967294" count="1" selected="0">
            <x v="2"/>
          </reference>
          <reference field="1" count="1">
            <x v="158"/>
          </reference>
        </references>
      </pivotArea>
    </format>
    <format dxfId="719">
      <pivotArea collapsedLevelsAreSubtotals="1" fieldPosition="0">
        <references count="2">
          <reference field="4294967294" count="1" selected="0">
            <x v="2"/>
          </reference>
          <reference field="1" count="1">
            <x v="159"/>
          </reference>
        </references>
      </pivotArea>
    </format>
    <format dxfId="718">
      <pivotArea collapsedLevelsAreSubtotals="1" fieldPosition="0">
        <references count="2">
          <reference field="4294967294" count="1" selected="0">
            <x v="2"/>
          </reference>
          <reference field="1" count="1">
            <x v="162"/>
          </reference>
        </references>
      </pivotArea>
    </format>
    <format dxfId="717">
      <pivotArea collapsedLevelsAreSubtotals="1" fieldPosition="0">
        <references count="2">
          <reference field="4294967294" count="1" selected="0">
            <x v="2"/>
          </reference>
          <reference field="1" count="1">
            <x v="163"/>
          </reference>
        </references>
      </pivotArea>
    </format>
    <format dxfId="716">
      <pivotArea collapsedLevelsAreSubtotals="1" fieldPosition="0">
        <references count="2">
          <reference field="4294967294" count="1" selected="0">
            <x v="2"/>
          </reference>
          <reference field="1" count="1">
            <x v="164"/>
          </reference>
        </references>
      </pivotArea>
    </format>
    <format dxfId="715">
      <pivotArea collapsedLevelsAreSubtotals="1" fieldPosition="0">
        <references count="2">
          <reference field="4294967294" count="1" selected="0">
            <x v="2"/>
          </reference>
          <reference field="1" count="1">
            <x v="165"/>
          </reference>
        </references>
      </pivotArea>
    </format>
    <format dxfId="714">
      <pivotArea collapsedLevelsAreSubtotals="1" fieldPosition="0">
        <references count="2">
          <reference field="4294967294" count="1" selected="0">
            <x v="2"/>
          </reference>
          <reference field="1" count="1">
            <x v="166"/>
          </reference>
        </references>
      </pivotArea>
    </format>
    <format dxfId="713">
      <pivotArea collapsedLevelsAreSubtotals="1" fieldPosition="0">
        <references count="2">
          <reference field="4294967294" count="1" selected="0">
            <x v="2"/>
          </reference>
          <reference field="1" count="1">
            <x v="169"/>
          </reference>
        </references>
      </pivotArea>
    </format>
    <format dxfId="712">
      <pivotArea dataOnly="0" labelOnly="1" fieldPosition="0">
        <references count="1">
          <reference field="1" count="3">
            <x v="51"/>
            <x v="52"/>
            <x v="63"/>
          </reference>
        </references>
      </pivotArea>
    </format>
    <format dxfId="711">
      <pivotArea dataOnly="0" labelOnly="1" fieldPosition="0">
        <references count="1">
          <reference field="1" count="8">
            <x v="158"/>
            <x v="159"/>
            <x v="162"/>
            <x v="163"/>
            <x v="164"/>
            <x v="165"/>
            <x v="166"/>
            <x v="169"/>
          </reference>
        </references>
      </pivotArea>
    </format>
    <format dxfId="710">
      <pivotArea collapsedLevelsAreSubtotals="1" fieldPosition="0">
        <references count="1">
          <reference field="1" count="1">
            <x v="174"/>
          </reference>
        </references>
      </pivotArea>
    </format>
    <format dxfId="709">
      <pivotArea dataOnly="0" labelOnly="1" fieldPosition="0">
        <references count="1">
          <reference field="1" count="1">
            <x v="174"/>
          </reference>
        </references>
      </pivotArea>
    </format>
    <format dxfId="708">
      <pivotArea collapsedLevelsAreSubtotals="1" fieldPosition="0">
        <references count="1">
          <reference field="1" count="1">
            <x v="174"/>
          </reference>
        </references>
      </pivotArea>
    </format>
    <format dxfId="707">
      <pivotArea collapsedLevelsAreSubtotals="1" fieldPosition="0">
        <references count="1">
          <reference field="1" count="1">
            <x v="175"/>
          </reference>
        </references>
      </pivotArea>
    </format>
    <format dxfId="706">
      <pivotArea collapsedLevelsAreSubtotals="1" fieldPosition="0">
        <references count="1">
          <reference field="1" count="1">
            <x v="175"/>
          </reference>
        </references>
      </pivotArea>
    </format>
    <format dxfId="705">
      <pivotArea collapsedLevelsAreSubtotals="1" fieldPosition="0">
        <references count="1">
          <reference field="1" count="1">
            <x v="175"/>
          </reference>
        </references>
      </pivotArea>
    </format>
    <format dxfId="704">
      <pivotArea collapsedLevelsAreSubtotals="1" fieldPosition="0">
        <references count="1">
          <reference field="1" count="1">
            <x v="175"/>
          </reference>
        </references>
      </pivotArea>
    </format>
    <format dxfId="703">
      <pivotArea collapsedLevelsAreSubtotals="1" fieldPosition="0">
        <references count="1">
          <reference field="1" count="1">
            <x v="175"/>
          </reference>
        </references>
      </pivotArea>
    </format>
    <format dxfId="702">
      <pivotArea collapsedLevelsAreSubtotals="1" fieldPosition="0">
        <references count="1">
          <reference field="1" count="1">
            <x v="175"/>
          </reference>
        </references>
      </pivotArea>
    </format>
    <format dxfId="701">
      <pivotArea collapsedLevelsAreSubtotals="1" fieldPosition="0">
        <references count="1">
          <reference field="1" count="1">
            <x v="190"/>
          </reference>
        </references>
      </pivotArea>
    </format>
    <format dxfId="700">
      <pivotArea collapsedLevelsAreSubtotals="1" fieldPosition="0">
        <references count="1">
          <reference field="1" count="1">
            <x v="67"/>
          </reference>
        </references>
      </pivotArea>
    </format>
    <format dxfId="699">
      <pivotArea collapsedLevelsAreSubtotals="1" fieldPosition="0">
        <references count="1">
          <reference field="1" count="1">
            <x v="188"/>
          </reference>
        </references>
      </pivotArea>
    </format>
    <format dxfId="698">
      <pivotArea collapsedLevelsAreSubtotals="1" fieldPosition="0">
        <references count="1">
          <reference field="1" count="1">
            <x v="187"/>
          </reference>
        </references>
      </pivotArea>
    </format>
    <format dxfId="697">
      <pivotArea collapsedLevelsAreSubtotals="1" fieldPosition="0">
        <references count="1">
          <reference field="1" count="1">
            <x v="189"/>
          </reference>
        </references>
      </pivotArea>
    </format>
    <format dxfId="696">
      <pivotArea collapsedLevelsAreSubtotals="1" fieldPosition="0">
        <references count="1">
          <reference field="1" count="1">
            <x v="186"/>
          </reference>
        </references>
      </pivotArea>
    </format>
    <format dxfId="695">
      <pivotArea collapsedLevelsAreSubtotals="1" fieldPosition="0">
        <references count="1">
          <reference field="1" count="1">
            <x v="191"/>
          </reference>
        </references>
      </pivotArea>
    </format>
    <format dxfId="694">
      <pivotArea collapsedLevelsAreSubtotals="1" fieldPosition="0">
        <references count="1">
          <reference field="1" count="1">
            <x v="183"/>
          </reference>
        </references>
      </pivotArea>
    </format>
    <format dxfId="693">
      <pivotArea dataOnly="0" labelOnly="1" fieldPosition="0">
        <references count="1">
          <reference field="1" count="8">
            <x v="67"/>
            <x v="183"/>
            <x v="186"/>
            <x v="187"/>
            <x v="188"/>
            <x v="189"/>
            <x v="190"/>
            <x v="191"/>
          </reference>
        </references>
      </pivotArea>
    </format>
    <format dxfId="692">
      <pivotArea collapsedLevelsAreSubtotals="1" fieldPosition="0">
        <references count="1">
          <reference field="1" count="1">
            <x v="190"/>
          </reference>
        </references>
      </pivotArea>
    </format>
    <format dxfId="691">
      <pivotArea collapsedLevelsAreSubtotals="1" fieldPosition="0">
        <references count="1">
          <reference field="1" count="1">
            <x v="67"/>
          </reference>
        </references>
      </pivotArea>
    </format>
    <format dxfId="690">
      <pivotArea collapsedLevelsAreSubtotals="1" fieldPosition="0">
        <references count="1">
          <reference field="1" count="1">
            <x v="188"/>
          </reference>
        </references>
      </pivotArea>
    </format>
    <format dxfId="689">
      <pivotArea collapsedLevelsAreSubtotals="1" fieldPosition="0">
        <references count="1">
          <reference field="1" count="1">
            <x v="187"/>
          </reference>
        </references>
      </pivotArea>
    </format>
    <format dxfId="688">
      <pivotArea collapsedLevelsAreSubtotals="1" fieldPosition="0">
        <references count="1">
          <reference field="1" count="1">
            <x v="189"/>
          </reference>
        </references>
      </pivotArea>
    </format>
    <format dxfId="687">
      <pivotArea collapsedLevelsAreSubtotals="1" fieldPosition="0">
        <references count="1">
          <reference field="1" count="1">
            <x v="186"/>
          </reference>
        </references>
      </pivotArea>
    </format>
    <format dxfId="686">
      <pivotArea collapsedLevelsAreSubtotals="1" fieldPosition="0">
        <references count="1">
          <reference field="1" count="1">
            <x v="191"/>
          </reference>
        </references>
      </pivotArea>
    </format>
    <format dxfId="685">
      <pivotArea collapsedLevelsAreSubtotals="1" fieldPosition="0">
        <references count="1">
          <reference field="1" count="1">
            <x v="183"/>
          </reference>
        </references>
      </pivotArea>
    </format>
    <format dxfId="684">
      <pivotArea dataOnly="0" labelOnly="1" fieldPosition="0">
        <references count="1">
          <reference field="1" count="8">
            <x v="67"/>
            <x v="183"/>
            <x v="186"/>
            <x v="187"/>
            <x v="188"/>
            <x v="189"/>
            <x v="190"/>
            <x v="191"/>
          </reference>
        </references>
      </pivotArea>
    </format>
    <format dxfId="683">
      <pivotArea collapsedLevelsAreSubtotals="1" fieldPosition="0">
        <references count="1">
          <reference field="1" count="1">
            <x v="190"/>
          </reference>
        </references>
      </pivotArea>
    </format>
    <format dxfId="682">
      <pivotArea collapsedLevelsAreSubtotals="1" fieldPosition="0">
        <references count="1">
          <reference field="1" count="1">
            <x v="67"/>
          </reference>
        </references>
      </pivotArea>
    </format>
    <format dxfId="681">
      <pivotArea collapsedLevelsAreSubtotals="1" fieldPosition="0">
        <references count="1">
          <reference field="1" count="1">
            <x v="188"/>
          </reference>
        </references>
      </pivotArea>
    </format>
    <format dxfId="680">
      <pivotArea collapsedLevelsAreSubtotals="1" fieldPosition="0">
        <references count="1">
          <reference field="1" count="1">
            <x v="187"/>
          </reference>
        </references>
      </pivotArea>
    </format>
    <format dxfId="679">
      <pivotArea collapsedLevelsAreSubtotals="1" fieldPosition="0">
        <references count="1">
          <reference field="1" count="1">
            <x v="189"/>
          </reference>
        </references>
      </pivotArea>
    </format>
    <format dxfId="678">
      <pivotArea collapsedLevelsAreSubtotals="1" fieldPosition="0">
        <references count="1">
          <reference field="1" count="1">
            <x v="186"/>
          </reference>
        </references>
      </pivotArea>
    </format>
    <format dxfId="677">
      <pivotArea collapsedLevelsAreSubtotals="1" fieldPosition="0">
        <references count="1">
          <reference field="1" count="1">
            <x v="191"/>
          </reference>
        </references>
      </pivotArea>
    </format>
    <format dxfId="676">
      <pivotArea collapsedLevelsAreSubtotals="1" fieldPosition="0">
        <references count="1">
          <reference field="1" count="1">
            <x v="183"/>
          </reference>
        </references>
      </pivotArea>
    </format>
    <format dxfId="675">
      <pivotArea dataOnly="0" labelOnly="1" fieldPosition="0">
        <references count="1">
          <reference field="1" count="8">
            <x v="67"/>
            <x v="183"/>
            <x v="186"/>
            <x v="187"/>
            <x v="188"/>
            <x v="189"/>
            <x v="190"/>
            <x v="191"/>
          </reference>
        </references>
      </pivotArea>
    </format>
    <format dxfId="674">
      <pivotArea collapsedLevelsAreSubtotals="1" fieldPosition="0">
        <references count="1">
          <reference field="1" count="1">
            <x v="175"/>
          </reference>
        </references>
      </pivotArea>
    </format>
    <format dxfId="673">
      <pivotArea collapsedLevelsAreSubtotals="1" fieldPosition="0">
        <references count="1">
          <reference field="1" count="1">
            <x v="176"/>
          </reference>
        </references>
      </pivotArea>
    </format>
    <format dxfId="672">
      <pivotArea collapsedLevelsAreSubtotals="1" fieldPosition="0">
        <references count="1">
          <reference field="1" count="1">
            <x v="177"/>
          </reference>
        </references>
      </pivotArea>
    </format>
    <format dxfId="671">
      <pivotArea collapsedLevelsAreSubtotals="1" fieldPosition="0">
        <references count="1">
          <reference field="1" count="1">
            <x v="175"/>
          </reference>
        </references>
      </pivotArea>
    </format>
    <format dxfId="670">
      <pivotArea collapsedLevelsAreSubtotals="1" fieldPosition="0">
        <references count="1">
          <reference field="1" count="1">
            <x v="175"/>
          </reference>
        </references>
      </pivotArea>
    </format>
    <format dxfId="669">
      <pivotArea collapsedLevelsAreSubtotals="1" fieldPosition="0">
        <references count="1">
          <reference field="1" count="1">
            <x v="175"/>
          </reference>
        </references>
      </pivotArea>
    </format>
    <format dxfId="668">
      <pivotArea collapsedLevelsAreSubtotals="1" fieldPosition="0">
        <references count="1">
          <reference field="1" count="1">
            <x v="175"/>
          </reference>
        </references>
      </pivotArea>
    </format>
    <format dxfId="667">
      <pivotArea collapsedLevelsAreSubtotals="1" fieldPosition="0">
        <references count="1">
          <reference field="1" count="1">
            <x v="176"/>
          </reference>
        </references>
      </pivotArea>
    </format>
    <format dxfId="666">
      <pivotArea collapsedLevelsAreSubtotals="1" fieldPosition="0">
        <references count="1">
          <reference field="1" count="1">
            <x v="177"/>
          </reference>
        </references>
      </pivotArea>
    </format>
    <format dxfId="665">
      <pivotArea collapsedLevelsAreSubtotals="1" fieldPosition="0">
        <references count="1">
          <reference field="1" count="1">
            <x v="178"/>
          </reference>
        </references>
      </pivotArea>
    </format>
    <format dxfId="664">
      <pivotArea collapsedLevelsAreSubtotals="1" fieldPosition="0">
        <references count="1">
          <reference field="1" count="1">
            <x v="179"/>
          </reference>
        </references>
      </pivotArea>
    </format>
    <format dxfId="663">
      <pivotArea dataOnly="0" labelOnly="1" fieldPosition="0">
        <references count="1">
          <reference field="1" count="17">
            <x v="39"/>
            <x v="40"/>
            <x v="45"/>
            <x v="46"/>
            <x v="47"/>
            <x v="48"/>
            <x v="49"/>
            <x v="50"/>
            <x v="51"/>
            <x v="52"/>
            <x v="53"/>
            <x v="54"/>
            <x v="55"/>
            <x v="56"/>
            <x v="57"/>
            <x v="59"/>
            <x v="61"/>
          </reference>
        </references>
      </pivotArea>
    </format>
    <format dxfId="662">
      <pivotArea outline="0" collapsedLevelsAreSubtotals="1" fieldPosition="0"/>
    </format>
    <format dxfId="661">
      <pivotArea dataOnly="0" labelOnly="1" fieldPosition="0">
        <references count="1">
          <reference field="1" count="21">
            <x v="33"/>
            <x v="35"/>
            <x v="36"/>
            <x v="42"/>
            <x v="44"/>
            <x v="48"/>
            <x v="49"/>
            <x v="51"/>
            <x v="52"/>
            <x v="53"/>
            <x v="54"/>
            <x v="55"/>
            <x v="56"/>
            <x v="57"/>
            <x v="59"/>
            <x v="62"/>
            <x v="68"/>
            <x v="110"/>
            <x v="124"/>
            <x v="126"/>
            <x v="133"/>
          </reference>
        </references>
      </pivotArea>
    </format>
    <format dxfId="660">
      <pivotArea outline="0" collapsedLevelsAreSubtotals="1" fieldPosition="0"/>
    </format>
    <format dxfId="659">
      <pivotArea type="all" dataOnly="0" outline="0" fieldPosition="0"/>
    </format>
    <format dxfId="658">
      <pivotArea outline="0" collapsedLevelsAreSubtotals="1" fieldPosition="0"/>
    </format>
    <format dxfId="657">
      <pivotArea field="1" type="button" dataOnly="0" labelOnly="1" outline="0" axis="axisRow" fieldPosition="0"/>
    </format>
    <format dxfId="656">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655">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654">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653">
      <pivotArea dataOnly="0" labelOnly="1" grandRow="1" outline="0" fieldPosition="0"/>
    </format>
    <format dxfId="652">
      <pivotArea dataOnly="0" labelOnly="1" fieldPosition="0">
        <references count="2">
          <reference field="1" count="1" selected="0">
            <x v="34"/>
          </reference>
          <reference field="2" count="7">
            <x v="311"/>
            <x v="326"/>
            <x v="415"/>
            <x v="418"/>
            <x v="446"/>
            <x v="648"/>
            <x v="788"/>
          </reference>
        </references>
      </pivotArea>
    </format>
    <format dxfId="651">
      <pivotArea dataOnly="0" labelOnly="1" outline="0" fieldPosition="0">
        <references count="1">
          <reference field="4294967294" count="3">
            <x v="0"/>
            <x v="1"/>
            <x v="2"/>
          </reference>
        </references>
      </pivotArea>
    </format>
    <format dxfId="650">
      <pivotArea type="all" dataOnly="0" outline="0" fieldPosition="0"/>
    </format>
    <format dxfId="649">
      <pivotArea outline="0" collapsedLevelsAreSubtotals="1" fieldPosition="0"/>
    </format>
    <format dxfId="648">
      <pivotArea field="1" type="button" dataOnly="0" labelOnly="1" outline="0" axis="axisRow" fieldPosition="0"/>
    </format>
    <format dxfId="647">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646">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645">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644">
      <pivotArea dataOnly="0" labelOnly="1" grandRow="1" outline="0" fieldPosition="0"/>
    </format>
    <format dxfId="643">
      <pivotArea dataOnly="0" labelOnly="1" fieldPosition="0">
        <references count="2">
          <reference field="1" count="1" selected="0">
            <x v="34"/>
          </reference>
          <reference field="2" count="7">
            <x v="311"/>
            <x v="326"/>
            <x v="415"/>
            <x v="418"/>
            <x v="446"/>
            <x v="648"/>
            <x v="788"/>
          </reference>
        </references>
      </pivotArea>
    </format>
    <format dxfId="642">
      <pivotArea dataOnly="0" labelOnly="1" outline="0" fieldPosition="0">
        <references count="1">
          <reference field="4294967294" count="3">
            <x v="0"/>
            <x v="1"/>
            <x v="2"/>
          </reference>
        </references>
      </pivotArea>
    </format>
    <format dxfId="641">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640">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639">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638">
      <pivotArea outline="0" collapsedLevelsAreSubtotals="1" fieldPosition="0"/>
    </format>
    <format dxfId="637">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636">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635">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634">
      <pivotArea dataOnly="0" labelOnly="1" grandRow="1" outline="0" fieldPosition="0"/>
    </format>
    <format dxfId="633">
      <pivotArea collapsedLevelsAreSubtotals="1" fieldPosition="0">
        <references count="1">
          <reference field="1" count="1">
            <x v="34"/>
          </reference>
        </references>
      </pivotArea>
    </format>
    <format dxfId="632">
      <pivotArea collapsedLevelsAreSubtotals="1" fieldPosition="0">
        <references count="1">
          <reference field="1" count="1">
            <x v="35"/>
          </reference>
        </references>
      </pivotArea>
    </format>
    <format dxfId="631">
      <pivotArea collapsedLevelsAreSubtotals="1" fieldPosition="0">
        <references count="1">
          <reference field="1" count="1">
            <x v="36"/>
          </reference>
        </references>
      </pivotArea>
    </format>
    <format dxfId="630">
      <pivotArea dataOnly="0" labelOnly="1" fieldPosition="0">
        <references count="1">
          <reference field="1" count="3">
            <x v="34"/>
            <x v="35"/>
            <x v="36"/>
          </reference>
        </references>
      </pivotArea>
    </format>
    <format dxfId="629">
      <pivotArea collapsedLevelsAreSubtotals="1" fieldPosition="0">
        <references count="1">
          <reference field="1" count="1">
            <x v="33"/>
          </reference>
        </references>
      </pivotArea>
    </format>
    <format dxfId="628">
      <pivotArea dataOnly="0" labelOnly="1" fieldPosition="0">
        <references count="1">
          <reference field="1" count="1">
            <x v="33"/>
          </reference>
        </references>
      </pivotArea>
    </format>
    <format dxfId="627">
      <pivotArea collapsedLevelsAreSubtotals="1" fieldPosition="0">
        <references count="1">
          <reference field="1" count="1">
            <x v="32"/>
          </reference>
        </references>
      </pivotArea>
    </format>
    <format dxfId="626">
      <pivotArea dataOnly="0" labelOnly="1" fieldPosition="0">
        <references count="1">
          <reference field="1" count="1">
            <x v="32"/>
          </reference>
        </references>
      </pivotArea>
    </format>
    <format dxfId="625">
      <pivotArea collapsedLevelsAreSubtotals="1" fieldPosition="0">
        <references count="1">
          <reference field="1" count="1">
            <x v="32"/>
          </reference>
        </references>
      </pivotArea>
    </format>
    <format dxfId="624">
      <pivotArea dataOnly="0" labelOnly="1" fieldPosition="0">
        <references count="1">
          <reference field="1" count="1">
            <x v="32"/>
          </reference>
        </references>
      </pivotArea>
    </format>
    <format dxfId="623">
      <pivotArea dataOnly="0" labelOnly="1" fieldPosition="0">
        <references count="1">
          <reference field="1" count="1">
            <x v="31"/>
          </reference>
        </references>
      </pivotArea>
    </format>
    <format dxfId="622">
      <pivotArea dataOnly="0" labelOnly="1" fieldPosition="0">
        <references count="1">
          <reference field="1" count="1">
            <x v="30"/>
          </reference>
        </references>
      </pivotArea>
    </format>
    <format dxfId="621">
      <pivotArea collapsedLevelsAreSubtotals="1" fieldPosition="0">
        <references count="1">
          <reference field="1" count="1">
            <x v="30"/>
          </reference>
        </references>
      </pivotArea>
    </format>
    <format dxfId="620">
      <pivotArea collapsedLevelsAreSubtotals="1" fieldPosition="0">
        <references count="1">
          <reference field="1" count="1">
            <x v="31"/>
          </reference>
        </references>
      </pivotArea>
    </format>
    <format dxfId="619">
      <pivotArea collapsedLevelsAreSubtotals="1" fieldPosition="0">
        <references count="1">
          <reference field="1" count="1">
            <x v="28"/>
          </reference>
        </references>
      </pivotArea>
    </format>
    <format dxfId="618">
      <pivotArea collapsedLevelsAreSubtotals="1" fieldPosition="0">
        <references count="1">
          <reference field="1" count="1">
            <x v="29"/>
          </reference>
        </references>
      </pivotArea>
    </format>
    <format dxfId="617">
      <pivotArea dataOnly="0" labelOnly="1" fieldPosition="0">
        <references count="1">
          <reference field="1" count="2">
            <x v="28"/>
            <x v="29"/>
          </reference>
        </references>
      </pivotArea>
    </format>
    <format dxfId="616">
      <pivotArea dataOnly="0" labelOnly="1" fieldPosition="0">
        <references count="1">
          <reference field="1" count="2">
            <x v="193"/>
            <x v="194"/>
          </reference>
        </references>
      </pivotArea>
    </format>
    <format dxfId="615">
      <pivotArea dataOnly="0" labelOnly="1" fieldPosition="0">
        <references count="1">
          <reference field="1" count="3">
            <x v="25"/>
            <x v="26"/>
            <x v="27"/>
          </reference>
        </references>
      </pivotArea>
    </format>
    <format dxfId="614">
      <pivotArea collapsedLevelsAreSubtotals="1" fieldPosition="0">
        <references count="1">
          <reference field="1" count="1">
            <x v="25"/>
          </reference>
        </references>
      </pivotArea>
    </format>
    <format dxfId="613">
      <pivotArea collapsedLevelsAreSubtotals="1" fieldPosition="0">
        <references count="1">
          <reference field="1" count="1">
            <x v="26"/>
          </reference>
        </references>
      </pivotArea>
    </format>
    <format dxfId="612">
      <pivotArea collapsedLevelsAreSubtotals="1" fieldPosition="0">
        <references count="1">
          <reference field="1" count="1">
            <x v="27"/>
          </reference>
        </references>
      </pivotArea>
    </format>
    <format dxfId="611">
      <pivotArea collapsedLevelsAreSubtotals="1" fieldPosition="0">
        <references count="1">
          <reference field="1" count="1">
            <x v="23"/>
          </reference>
        </references>
      </pivotArea>
    </format>
    <format dxfId="610">
      <pivotArea collapsedLevelsAreSubtotals="1" fieldPosition="0">
        <references count="1">
          <reference field="1" count="1">
            <x v="24"/>
          </reference>
        </references>
      </pivotArea>
    </format>
    <format dxfId="609">
      <pivotArea dataOnly="0" labelOnly="1" fieldPosition="0">
        <references count="1">
          <reference field="1" count="2">
            <x v="23"/>
            <x v="24"/>
          </reference>
        </references>
      </pivotArea>
    </format>
    <format dxfId="608">
      <pivotArea collapsedLevelsAreSubtotals="1" fieldPosition="0">
        <references count="1">
          <reference field="1" count="1">
            <x v="21"/>
          </reference>
        </references>
      </pivotArea>
    </format>
    <format dxfId="607">
      <pivotArea collapsedLevelsAreSubtotals="1" fieldPosition="0">
        <references count="1">
          <reference field="1" count="1">
            <x v="22"/>
          </reference>
        </references>
      </pivotArea>
    </format>
    <format dxfId="606">
      <pivotArea dataOnly="0" labelOnly="1" fieldPosition="0">
        <references count="1">
          <reference field="1" count="2">
            <x v="21"/>
            <x v="22"/>
          </reference>
        </references>
      </pivotArea>
    </format>
    <format dxfId="605">
      <pivotArea collapsedLevelsAreSubtotals="1" fieldPosition="0">
        <references count="1">
          <reference field="1" count="1">
            <x v="20"/>
          </reference>
        </references>
      </pivotArea>
    </format>
    <format dxfId="604">
      <pivotArea dataOnly="0" labelOnly="1" fieldPosition="0">
        <references count="1">
          <reference field="1" count="1">
            <x v="20"/>
          </reference>
        </references>
      </pivotArea>
    </format>
    <format dxfId="603">
      <pivotArea collapsedLevelsAreSubtotals="1" fieldPosition="0">
        <references count="1">
          <reference field="1" count="1">
            <x v="19"/>
          </reference>
        </references>
      </pivotArea>
    </format>
    <format dxfId="602">
      <pivotArea dataOnly="0" labelOnly="1" fieldPosition="0">
        <references count="1">
          <reference field="1" count="1">
            <x v="19"/>
          </reference>
        </references>
      </pivotArea>
    </format>
    <format dxfId="601">
      <pivotArea collapsedLevelsAreSubtotals="1" fieldPosition="0">
        <references count="1">
          <reference field="1" count="1">
            <x v="17"/>
          </reference>
        </references>
      </pivotArea>
    </format>
    <format dxfId="600">
      <pivotArea collapsedLevelsAreSubtotals="1" fieldPosition="0">
        <references count="1">
          <reference field="1" count="1">
            <x v="18"/>
          </reference>
        </references>
      </pivotArea>
    </format>
    <format dxfId="599">
      <pivotArea dataOnly="0" labelOnly="1" fieldPosition="0">
        <references count="1">
          <reference field="1" count="2">
            <x v="17"/>
            <x v="18"/>
          </reference>
        </references>
      </pivotArea>
    </format>
    <format dxfId="598">
      <pivotArea collapsedLevelsAreSubtotals="1" fieldPosition="0">
        <references count="1">
          <reference field="1" count="1">
            <x v="16"/>
          </reference>
        </references>
      </pivotArea>
    </format>
    <format dxfId="597">
      <pivotArea dataOnly="0" labelOnly="1" fieldPosition="0">
        <references count="1">
          <reference field="1" count="1">
            <x v="16"/>
          </reference>
        </references>
      </pivotArea>
    </format>
    <format dxfId="596">
      <pivotArea collapsedLevelsAreSubtotals="1" fieldPosition="0">
        <references count="1">
          <reference field="1" count="1">
            <x v="15"/>
          </reference>
        </references>
      </pivotArea>
    </format>
    <format dxfId="595">
      <pivotArea dataOnly="0" labelOnly="1" fieldPosition="0">
        <references count="1">
          <reference field="1" count="1">
            <x v="15"/>
          </reference>
        </references>
      </pivotArea>
    </format>
    <format dxfId="594">
      <pivotArea collapsedLevelsAreSubtotals="1" fieldPosition="0">
        <references count="1">
          <reference field="1" count="1">
            <x v="13"/>
          </reference>
        </references>
      </pivotArea>
    </format>
    <format dxfId="593">
      <pivotArea collapsedLevelsAreSubtotals="1" fieldPosition="0">
        <references count="1">
          <reference field="1" count="1">
            <x v="14"/>
          </reference>
        </references>
      </pivotArea>
    </format>
    <format dxfId="592">
      <pivotArea dataOnly="0" labelOnly="1" fieldPosition="0">
        <references count="1">
          <reference field="1" count="2">
            <x v="13"/>
            <x v="14"/>
          </reference>
        </references>
      </pivotArea>
    </format>
    <format dxfId="591">
      <pivotArea collapsedLevelsAreSubtotals="1" fieldPosition="0">
        <references count="1">
          <reference field="1" count="1">
            <x v="12"/>
          </reference>
        </references>
      </pivotArea>
    </format>
    <format dxfId="590">
      <pivotArea dataOnly="0" labelOnly="1" fieldPosition="0">
        <references count="1">
          <reference field="1" count="1">
            <x v="12"/>
          </reference>
        </references>
      </pivotArea>
    </format>
    <format dxfId="589">
      <pivotArea collapsedLevelsAreSubtotals="1" fieldPosition="0">
        <references count="1">
          <reference field="1" count="1">
            <x v="197"/>
          </reference>
        </references>
      </pivotArea>
    </format>
    <format dxfId="588">
      <pivotArea collapsedLevelsAreSubtotals="1" fieldPosition="0">
        <references count="1">
          <reference field="1" count="1">
            <x v="9"/>
          </reference>
        </references>
      </pivotArea>
    </format>
    <format dxfId="587">
      <pivotArea collapsedLevelsAreSubtotals="1" fieldPosition="0">
        <references count="1">
          <reference field="1" count="1">
            <x v="207"/>
          </reference>
        </references>
      </pivotArea>
    </format>
    <format dxfId="586">
      <pivotArea dataOnly="0" labelOnly="1" fieldPosition="0">
        <references count="1">
          <reference field="1" count="3">
            <x v="9"/>
            <x v="197"/>
            <x v="207"/>
          </reference>
        </references>
      </pivotArea>
    </format>
    <format dxfId="585">
      <pivotArea collapsedLevelsAreSubtotals="1" fieldPosition="0">
        <references count="1">
          <reference field="1" count="1">
            <x v="11"/>
          </reference>
        </references>
      </pivotArea>
    </format>
    <format dxfId="584">
      <pivotArea dataOnly="0" labelOnly="1" fieldPosition="0">
        <references count="1">
          <reference field="1" count="1">
            <x v="11"/>
          </reference>
        </references>
      </pivotArea>
    </format>
    <format dxfId="583">
      <pivotArea collapsedLevelsAreSubtotals="1" fieldPosition="0">
        <references count="1">
          <reference field="1" count="1">
            <x v="9"/>
          </reference>
        </references>
      </pivotArea>
    </format>
    <format dxfId="582">
      <pivotArea collapsedLevelsAreSubtotals="1" fieldPosition="0">
        <references count="1">
          <reference field="1" count="1">
            <x v="10"/>
          </reference>
        </references>
      </pivotArea>
    </format>
    <format dxfId="581">
      <pivotArea dataOnly="0" labelOnly="1" fieldPosition="0">
        <references count="1">
          <reference field="1" count="2">
            <x v="9"/>
            <x v="10"/>
          </reference>
        </references>
      </pivotArea>
    </format>
    <format dxfId="580">
      <pivotArea dataOnly="0" labelOnly="1" fieldPosition="0">
        <references count="1">
          <reference field="1" count="1">
            <x v="10"/>
          </reference>
        </references>
      </pivotArea>
    </format>
    <format dxfId="579">
      <pivotArea collapsedLevelsAreSubtotals="1" fieldPosition="0">
        <references count="1">
          <reference field="1" count="1">
            <x v="8"/>
          </reference>
        </references>
      </pivotArea>
    </format>
    <format dxfId="578">
      <pivotArea dataOnly="0" labelOnly="1" fieldPosition="0">
        <references count="1">
          <reference field="1" count="1">
            <x v="8"/>
          </reference>
        </references>
      </pivotArea>
    </format>
    <format dxfId="577">
      <pivotArea collapsedLevelsAreSubtotals="1" fieldPosition="0">
        <references count="1">
          <reference field="1" count="1">
            <x v="6"/>
          </reference>
        </references>
      </pivotArea>
    </format>
    <format dxfId="576">
      <pivotArea dataOnly="0" labelOnly="1" fieldPosition="0">
        <references count="1">
          <reference field="1" count="1">
            <x v="6"/>
          </reference>
        </references>
      </pivotArea>
    </format>
    <format dxfId="575">
      <pivotArea collapsedLevelsAreSubtotals="1" fieldPosition="0">
        <references count="1">
          <reference field="1" count="1">
            <x v="7"/>
          </reference>
        </references>
      </pivotArea>
    </format>
    <format dxfId="574">
      <pivotArea dataOnly="0" labelOnly="1" fieldPosition="0">
        <references count="1">
          <reference field="1" count="1">
            <x v="7"/>
          </reference>
        </references>
      </pivotArea>
    </format>
    <format dxfId="573">
      <pivotArea dataOnly="0" labelOnly="1" fieldPosition="0">
        <references count="1">
          <reference field="1" count="1">
            <x v="5"/>
          </reference>
        </references>
      </pivotArea>
    </format>
    <format dxfId="572">
      <pivotArea collapsedLevelsAreSubtotals="1" fieldPosition="0">
        <references count="1">
          <reference field="1" count="1">
            <x v="5"/>
          </reference>
        </references>
      </pivotArea>
    </format>
    <format dxfId="571">
      <pivotArea collapsedLevelsAreSubtotals="1" fieldPosition="0">
        <references count="1">
          <reference field="1" count="1">
            <x v="6"/>
          </reference>
        </references>
      </pivotArea>
    </format>
    <format dxfId="570">
      <pivotArea dataOnly="0" labelOnly="1" fieldPosition="0">
        <references count="1">
          <reference field="1" count="2">
            <x v="5"/>
            <x v="6"/>
          </reference>
        </references>
      </pivotArea>
    </format>
    <format dxfId="569">
      <pivotArea collapsedLevelsAreSubtotals="1" fieldPosition="0">
        <references count="1">
          <reference field="1" count="1">
            <x v="4"/>
          </reference>
        </references>
      </pivotArea>
    </format>
    <format dxfId="568">
      <pivotArea dataOnly="0" labelOnly="1" fieldPosition="0">
        <references count="1">
          <reference field="1" count="1">
            <x v="4"/>
          </reference>
        </references>
      </pivotArea>
    </format>
    <format dxfId="567">
      <pivotArea collapsedLevelsAreSubtotals="1" fieldPosition="0">
        <references count="1">
          <reference field="1" count="1">
            <x v="2"/>
          </reference>
        </references>
      </pivotArea>
    </format>
    <format dxfId="566">
      <pivotArea collapsedLevelsAreSubtotals="1" fieldPosition="0">
        <references count="1">
          <reference field="1" count="1">
            <x v="3"/>
          </reference>
        </references>
      </pivotArea>
    </format>
    <format dxfId="565">
      <pivotArea dataOnly="0" labelOnly="1" fieldPosition="0">
        <references count="1">
          <reference field="1" count="2">
            <x v="2"/>
            <x v="3"/>
          </reference>
        </references>
      </pivotArea>
    </format>
    <format dxfId="564">
      <pivotArea collapsedLevelsAreSubtotals="1" fieldPosition="0">
        <references count="1">
          <reference field="1" count="1">
            <x v="1"/>
          </reference>
        </references>
      </pivotArea>
    </format>
    <format dxfId="563">
      <pivotArea dataOnly="0" labelOnly="1" fieldPosition="0">
        <references count="1">
          <reference field="1" count="1">
            <x v="1"/>
          </reference>
        </references>
      </pivotArea>
    </format>
    <format dxfId="562">
      <pivotArea collapsedLevelsAreSubtotals="1" fieldPosition="0">
        <references count="1">
          <reference field="1" count="1">
            <x v="0"/>
          </reference>
        </references>
      </pivotArea>
    </format>
    <format dxfId="56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5"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4"/>
        <item m="1" x="128"/>
        <item x="115"/>
        <item x="103"/>
        <item x="104"/>
        <item x="116"/>
        <item x="113"/>
        <item x="112"/>
        <item x="117"/>
        <item x="118"/>
        <item x="120"/>
        <item x="121"/>
        <item x="119"/>
        <item x="122"/>
        <item x="123"/>
        <item x="124"/>
        <item x="125"/>
        <item t="default"/>
      </items>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3"/>
        <item sd="0" x="26"/>
        <item sd="0" x="27"/>
        <item sd="0" m="1" x="64"/>
        <item sd="0" m="1" x="72"/>
        <item sd="0" x="28"/>
        <item sd="0" x="29"/>
        <item sd="0" m="1" x="62"/>
        <item sd="0" x="30"/>
        <item sd="0" x="33"/>
        <item sd="0" x="34"/>
        <item sd="0" x="37"/>
        <item sd="0" x="36"/>
        <item sd="0" m="1" x="66"/>
        <item sd="0" m="1" x="61"/>
        <item sd="0" m="1" x="68"/>
        <item sd="0" x="40"/>
        <item sd="0" x="38"/>
        <item sd="0" x="41"/>
        <item sd="0" m="1" x="60"/>
        <item sd="0" x="42"/>
        <item sd="0" x="43"/>
        <item sd="0" x="45"/>
        <item sd="0" x="46"/>
        <item sd="0" x="44"/>
        <item sd="0" x="39"/>
        <item sd="0" x="47"/>
        <item sd="0" m="1" x="70"/>
        <item sd="0" x="48"/>
        <item sd="0" m="1" x="67"/>
        <item sd="0" x="51"/>
        <item sd="0" x="50"/>
        <item sd="0" x="32"/>
        <item sd="0" x="54"/>
        <item sd="0" m="1" x="69"/>
        <item sd="0" x="55"/>
        <item sd="0" x="56"/>
        <item sd="0" x="57"/>
        <item m="1" x="59"/>
        <item sd="0" x="58"/>
        <item sd="0" m="1" x="71"/>
        <item sd="0" m="1" x="65"/>
        <item sd="0" x="49"/>
        <item sd="0" x="53"/>
        <item sd="0"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0">
    <i>
      <x v="33"/>
    </i>
    <i>
      <x v="9"/>
    </i>
    <i>
      <x v="44"/>
    </i>
    <i>
      <x v="45"/>
    </i>
    <i>
      <x v="52"/>
    </i>
    <i>
      <x v="22"/>
    </i>
    <i>
      <x v="30"/>
    </i>
    <i>
      <x v="4"/>
    </i>
    <i>
      <x v="11"/>
    </i>
    <i>
      <x v="71"/>
    </i>
    <i>
      <x v="14"/>
    </i>
    <i>
      <x v="59"/>
    </i>
    <i>
      <x v="10"/>
    </i>
    <i>
      <x v="5"/>
    </i>
    <i>
      <x v="13"/>
    </i>
    <i>
      <x v="61"/>
    </i>
    <i>
      <x v="18"/>
    </i>
    <i>
      <x v="6"/>
    </i>
    <i>
      <x v="67"/>
    </i>
    <i>
      <x v="8"/>
    </i>
    <i>
      <x v="53"/>
    </i>
    <i>
      <x v="7"/>
    </i>
    <i>
      <x v="23"/>
    </i>
    <i>
      <x v="37"/>
    </i>
    <i>
      <x v="46"/>
    </i>
    <i>
      <x v="12"/>
    </i>
    <i>
      <x v="51"/>
    </i>
    <i>
      <x v="25"/>
    </i>
    <i>
      <x v="2"/>
    </i>
    <i>
      <x v="26"/>
    </i>
    <i>
      <x v="49"/>
    </i>
    <i>
      <x v="27"/>
    </i>
    <i>
      <x v="20"/>
    </i>
    <i>
      <x v="29"/>
    </i>
    <i>
      <x v="63"/>
    </i>
    <i>
      <x/>
    </i>
    <i>
      <x v="15"/>
    </i>
    <i>
      <x v="16"/>
    </i>
    <i>
      <x v="48"/>
    </i>
    <i>
      <x v="65"/>
    </i>
    <i>
      <x v="50"/>
    </i>
    <i>
      <x v="17"/>
    </i>
    <i>
      <x v="19"/>
    </i>
    <i>
      <x v="54"/>
    </i>
    <i>
      <x v="24"/>
    </i>
    <i>
      <x v="56"/>
    </i>
    <i>
      <x v="58"/>
    </i>
    <i>
      <x v="38"/>
    </i>
    <i>
      <x v="21"/>
    </i>
    <i>
      <x v="39"/>
    </i>
    <i>
      <x v="64"/>
    </i>
    <i>
      <x v="40"/>
    </i>
    <i>
      <x v="1"/>
    </i>
    <i>
      <x v="34"/>
    </i>
    <i>
      <x v="3"/>
    </i>
    <i>
      <x v="36"/>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1">
    <format dxfId="560">
      <pivotArea collapsedLevelsAreSubtotals="1" fieldPosition="0">
        <references count="1">
          <reference field="2" count="1">
            <x v="9"/>
          </reference>
        </references>
      </pivotArea>
    </format>
    <format dxfId="559">
      <pivotArea collapsedLevelsAreSubtotals="1" fieldPosition="0">
        <references count="1">
          <reference field="2" count="1">
            <x v="4"/>
          </reference>
        </references>
      </pivotArea>
    </format>
    <format dxfId="558">
      <pivotArea grandRow="1" outline="0" collapsedLevelsAreSubtotals="1" fieldPosition="0"/>
    </format>
    <format dxfId="557">
      <pivotArea dataOnly="0" labelOnly="1" grandRow="1" outline="0" fieldPosition="0"/>
    </format>
    <format dxfId="556">
      <pivotArea grandRow="1" outline="0" collapsedLevelsAreSubtotals="1" fieldPosition="0"/>
    </format>
    <format dxfId="555">
      <pivotArea dataOnly="0" labelOnly="1" grandRow="1" outline="0" fieldPosition="0"/>
    </format>
    <format dxfId="554">
      <pivotArea grandRow="1" outline="0" collapsedLevelsAreSubtotals="1" fieldPosition="0"/>
    </format>
    <format dxfId="553">
      <pivotArea dataOnly="0" labelOnly="1" grandRow="1" outline="0" fieldPosition="0"/>
    </format>
    <format dxfId="552">
      <pivotArea outline="0" collapsedLevelsAreSubtotals="1" fieldPosition="0">
        <references count="1">
          <reference field="4294967294" count="1" selected="0">
            <x v="0"/>
          </reference>
        </references>
      </pivotArea>
    </format>
    <format dxfId="551">
      <pivotArea dataOnly="0" labelOnly="1" outline="0" fieldPosition="0">
        <references count="1">
          <reference field="0" count="0"/>
        </references>
      </pivotArea>
    </format>
    <format dxfId="550">
      <pivotArea dataOnly="0" labelOnly="1" outline="0" fieldPosition="0">
        <references count="1">
          <reference field="4294967294" count="1">
            <x v="0"/>
          </reference>
        </references>
      </pivotArea>
    </format>
    <format dxfId="549">
      <pivotArea outline="0" collapsedLevelsAreSubtotals="1" fieldPosition="0">
        <references count="1">
          <reference field="4294967294" count="1" selected="0">
            <x v="1"/>
          </reference>
        </references>
      </pivotArea>
    </format>
    <format dxfId="548">
      <pivotArea dataOnly="0" labelOnly="1" outline="0" fieldPosition="0">
        <references count="1">
          <reference field="4294967294" count="1">
            <x v="1"/>
          </reference>
        </references>
      </pivotArea>
    </format>
    <format dxfId="547">
      <pivotArea outline="0" collapsedLevelsAreSubtotals="1" fieldPosition="0">
        <references count="1">
          <reference field="4294967294" count="1" selected="0">
            <x v="2"/>
          </reference>
        </references>
      </pivotArea>
    </format>
    <format dxfId="546">
      <pivotArea dataOnly="0" labelOnly="1" outline="0" fieldPosition="0">
        <references count="1">
          <reference field="4294967294" count="1">
            <x v="2"/>
          </reference>
        </references>
      </pivotArea>
    </format>
    <format dxfId="545">
      <pivotArea grandRow="1" outline="0" collapsedLevelsAreSubtotals="1" fieldPosition="0"/>
    </format>
    <format dxfId="544">
      <pivotArea dataOnly="0" labelOnly="1" grandRow="1" outline="0" fieldPosition="0"/>
    </format>
    <format dxfId="543">
      <pivotArea type="all" dataOnly="0" outline="0" fieldPosition="0"/>
    </format>
    <format dxfId="542">
      <pivotArea grandRow="1" outline="0" collapsedLevelsAreSubtotals="1" fieldPosition="0"/>
    </format>
    <format dxfId="541">
      <pivotArea dataOnly="0" labelOnly="1" grandRow="1" outline="0" fieldPosition="0"/>
    </format>
    <format dxfId="540">
      <pivotArea collapsedLevelsAreSubtotals="1" fieldPosition="0">
        <references count="2">
          <reference field="4294967294" count="1" selected="0">
            <x v="2"/>
          </reference>
          <reference field="1" count="1">
            <x v="22"/>
          </reference>
        </references>
      </pivotArea>
    </format>
    <format dxfId="539">
      <pivotArea collapsedLevelsAreSubtotals="1" fieldPosition="0">
        <references count="3">
          <reference field="4294967294" count="1" selected="0">
            <x v="2"/>
          </reference>
          <reference field="1" count="1">
            <x v="22"/>
          </reference>
          <reference field="2" count="1" selected="0">
            <x v="7"/>
          </reference>
        </references>
      </pivotArea>
    </format>
    <format dxfId="538">
      <pivotArea dataOnly="0" labelOnly="1" outline="0" fieldPosition="0">
        <references count="1">
          <reference field="4294967294" count="3">
            <x v="0"/>
            <x v="1"/>
            <x v="2"/>
          </reference>
        </references>
      </pivotArea>
    </format>
    <format dxfId="537">
      <pivotArea dataOnly="0" labelOnly="1" outline="0" fieldPosition="0">
        <references count="1">
          <reference field="4294967294" count="1">
            <x v="0"/>
          </reference>
        </references>
      </pivotArea>
    </format>
    <format dxfId="536">
      <pivotArea dataOnly="0" labelOnly="1" outline="0" fieldPosition="0">
        <references count="1">
          <reference field="4294967294" count="1">
            <x v="1"/>
          </reference>
        </references>
      </pivotArea>
    </format>
    <format dxfId="535">
      <pivotArea dataOnly="0" labelOnly="1" outline="0" fieldPosition="0">
        <references count="1">
          <reference field="4294967294" count="1">
            <x v="1"/>
          </reference>
        </references>
      </pivotArea>
    </format>
    <format dxfId="534">
      <pivotArea dataOnly="0" labelOnly="1" outline="0" fieldPosition="0">
        <references count="1">
          <reference field="4294967294" count="1">
            <x v="2"/>
          </reference>
        </references>
      </pivotArea>
    </format>
    <format dxfId="533">
      <pivotArea dataOnly="0" labelOnly="1" fieldPosition="0">
        <references count="1">
          <reference field="2" count="0"/>
        </references>
      </pivotArea>
    </format>
    <format dxfId="532">
      <pivotArea collapsedLevelsAreSubtotals="1" fieldPosition="0">
        <references count="2">
          <reference field="4294967294" count="1" selected="0">
            <x v="2"/>
          </reference>
          <reference field="2" count="1">
            <x v="4"/>
          </reference>
        </references>
      </pivotArea>
    </format>
    <format dxfId="531">
      <pivotArea collapsedLevelsAreSubtotals="1" fieldPosition="0">
        <references count="2">
          <reference field="4294967294" count="1" selected="0">
            <x v="2"/>
          </reference>
          <reference field="2" count="1">
            <x v="9"/>
          </reference>
        </references>
      </pivotArea>
    </format>
    <format dxfId="530">
      <pivotArea collapsedLevelsAreSubtotals="1" fieldPosition="0">
        <references count="2">
          <reference field="4294967294" count="1" selected="0">
            <x v="2"/>
          </reference>
          <reference field="2" count="1">
            <x v="14"/>
          </reference>
        </references>
      </pivotArea>
    </format>
    <format dxfId="529">
      <pivotArea collapsedLevelsAreSubtotals="1" fieldPosition="0">
        <references count="3">
          <reference field="4294967294" count="1" selected="0">
            <x v="2"/>
          </reference>
          <reference field="1" count="3">
            <x v="3"/>
            <x v="37"/>
            <x v="41"/>
          </reference>
          <reference field="2" count="1" selected="0">
            <x v="14"/>
          </reference>
        </references>
      </pivotArea>
    </format>
    <format dxfId="528">
      <pivotArea collapsedLevelsAreSubtotals="1" fieldPosition="0">
        <references count="3">
          <reference field="4294967294" count="1" selected="0">
            <x v="2"/>
          </reference>
          <reference field="1" count="1">
            <x v="6"/>
          </reference>
          <reference field="2" count="1" selected="0">
            <x v="14"/>
          </reference>
        </references>
      </pivotArea>
    </format>
    <format dxfId="527">
      <pivotArea collapsedLevelsAreSubtotals="1" fieldPosition="0">
        <references count="3">
          <reference field="4294967294" count="1" selected="0">
            <x v="2"/>
          </reference>
          <reference field="1" count="1">
            <x v="27"/>
          </reference>
          <reference field="2" count="1" selected="0">
            <x v="14"/>
          </reference>
        </references>
      </pivotArea>
    </format>
    <format dxfId="526">
      <pivotArea collapsedLevelsAreSubtotals="1" fieldPosition="0">
        <references count="1">
          <reference field="2" count="1">
            <x v="0"/>
          </reference>
        </references>
      </pivotArea>
    </format>
    <format dxfId="525">
      <pivotArea collapsedLevelsAreSubtotals="1" fieldPosition="0">
        <references count="1">
          <reference field="2" count="1">
            <x v="14"/>
          </reference>
        </references>
      </pivotArea>
    </format>
    <format dxfId="524">
      <pivotArea collapsedLevelsAreSubtotals="1" fieldPosition="0">
        <references count="1">
          <reference field="2" count="1">
            <x v="9"/>
          </reference>
        </references>
      </pivotArea>
    </format>
    <format dxfId="523">
      <pivotArea collapsedLevelsAreSubtotals="1" fieldPosition="0">
        <references count="1">
          <reference field="2" count="1">
            <x v="5"/>
          </reference>
        </references>
      </pivotArea>
    </format>
    <format dxfId="522">
      <pivotArea collapsedLevelsAreSubtotals="1" fieldPosition="0">
        <references count="1">
          <reference field="2" count="1">
            <x v="17"/>
          </reference>
        </references>
      </pivotArea>
    </format>
    <format dxfId="521">
      <pivotArea collapsedLevelsAreSubtotals="1" fieldPosition="0">
        <references count="1">
          <reference field="2" count="1">
            <x v="2"/>
          </reference>
        </references>
      </pivotArea>
    </format>
    <format dxfId="520">
      <pivotArea collapsedLevelsAreSubtotals="1" fieldPosition="0">
        <references count="1">
          <reference field="2" count="1">
            <x v="10"/>
          </reference>
        </references>
      </pivotArea>
    </format>
    <format dxfId="519">
      <pivotArea collapsedLevelsAreSubtotals="1" fieldPosition="0">
        <references count="1">
          <reference field="2" count="1">
            <x v="1"/>
          </reference>
        </references>
      </pivotArea>
    </format>
    <format dxfId="518">
      <pivotArea collapsedLevelsAreSubtotals="1" fieldPosition="0">
        <references count="1">
          <reference field="2" count="1">
            <x v="13"/>
          </reference>
        </references>
      </pivotArea>
    </format>
    <format dxfId="517">
      <pivotArea collapsedLevelsAreSubtotals="1" fieldPosition="0">
        <references count="1">
          <reference field="2" count="1">
            <x v="4"/>
          </reference>
        </references>
      </pivotArea>
    </format>
    <format dxfId="516">
      <pivotArea collapsedLevelsAreSubtotals="1" fieldPosition="0">
        <references count="1">
          <reference field="2" count="1">
            <x v="8"/>
          </reference>
        </references>
      </pivotArea>
    </format>
    <format dxfId="515">
      <pivotArea collapsedLevelsAreSubtotals="1" fieldPosition="0">
        <references count="1">
          <reference field="2" count="1">
            <x v="3"/>
          </reference>
        </references>
      </pivotArea>
    </format>
    <format dxfId="514">
      <pivotArea collapsedLevelsAreSubtotals="1" fieldPosition="0">
        <references count="1">
          <reference field="2" count="1">
            <x v="12"/>
          </reference>
        </references>
      </pivotArea>
    </format>
    <format dxfId="513">
      <pivotArea collapsedLevelsAreSubtotals="1" fieldPosition="0">
        <references count="1">
          <reference field="2" count="1">
            <x v="6"/>
          </reference>
        </references>
      </pivotArea>
    </format>
    <format dxfId="512">
      <pivotArea collapsedLevelsAreSubtotals="1" fieldPosition="0">
        <references count="1">
          <reference field="2" count="1">
            <x v="11"/>
          </reference>
        </references>
      </pivotArea>
    </format>
    <format dxfId="511">
      <pivotArea collapsedLevelsAreSubtotals="1" fieldPosition="0">
        <references count="1">
          <reference field="2" count="1">
            <x v="20"/>
          </reference>
        </references>
      </pivotArea>
    </format>
    <format dxfId="510">
      <pivotArea collapsedLevelsAreSubtotals="1" fieldPosition="0">
        <references count="2">
          <reference field="1" count="1">
            <x v="6"/>
          </reference>
          <reference field="2" count="1" selected="0">
            <x v="20"/>
          </reference>
        </references>
      </pivotArea>
    </format>
    <format dxfId="509">
      <pivotArea collapsedLevelsAreSubtotals="1" fieldPosition="0">
        <references count="1">
          <reference field="2" count="1">
            <x v="7"/>
          </reference>
        </references>
      </pivotArea>
    </format>
    <format dxfId="508">
      <pivotArea collapsedLevelsAreSubtotals="1" fieldPosition="0">
        <references count="1">
          <reference field="2" count="1">
            <x v="16"/>
          </reference>
        </references>
      </pivotArea>
    </format>
    <format dxfId="507">
      <pivotArea collapsedLevelsAreSubtotals="1" fieldPosition="0">
        <references count="1">
          <reference field="2" count="1">
            <x v="19"/>
          </reference>
        </references>
      </pivotArea>
    </format>
    <format dxfId="506">
      <pivotArea collapsedLevelsAreSubtotals="1" fieldPosition="0">
        <references count="1">
          <reference field="2" count="1">
            <x v="18"/>
          </reference>
        </references>
      </pivotArea>
    </format>
    <format dxfId="505">
      <pivotArea collapsedLevelsAreSubtotals="1" fieldPosition="0">
        <references count="1">
          <reference field="2" count="1">
            <x v="15"/>
          </reference>
        </references>
      </pivotArea>
    </format>
    <format dxfId="504">
      <pivotArea collapsedLevelsAreSubtotals="1" fieldPosition="0">
        <references count="1">
          <reference field="2" count="1">
            <x v="21"/>
          </reference>
        </references>
      </pivotArea>
    </format>
    <format dxfId="503">
      <pivotArea collapsedLevelsAreSubtotals="1" fieldPosition="0">
        <references count="1">
          <reference field="2" count="1">
            <x v="22"/>
          </reference>
        </references>
      </pivotArea>
    </format>
    <format dxfId="502">
      <pivotArea collapsedLevelsAreSubtotals="1" fieldPosition="0">
        <references count="1">
          <reference field="2" count="1">
            <x v="23"/>
          </reference>
        </references>
      </pivotArea>
    </format>
    <format dxfId="501">
      <pivotArea collapsedLevelsAreSubtotals="1" fieldPosition="0">
        <references count="2">
          <reference field="4294967294" count="1" selected="0">
            <x v="2"/>
          </reference>
          <reference field="2" count="1">
            <x v="24"/>
          </reference>
        </references>
      </pivotArea>
    </format>
    <format dxfId="500">
      <pivotArea collapsedLevelsAreSubtotals="1" fieldPosition="0">
        <references count="2">
          <reference field="4294967294" count="1" selected="0">
            <x v="2"/>
          </reference>
          <reference field="2" count="1">
            <x v="25"/>
          </reference>
        </references>
      </pivotArea>
    </format>
    <format dxfId="499">
      <pivotArea collapsedLevelsAreSubtotals="1" fieldPosition="0">
        <references count="2">
          <reference field="4294967294" count="1" selected="0">
            <x v="2"/>
          </reference>
          <reference field="2" count="1">
            <x v="26"/>
          </reference>
        </references>
      </pivotArea>
    </format>
    <format dxfId="498">
      <pivotArea collapsedLevelsAreSubtotals="1" fieldPosition="0">
        <references count="2">
          <reference field="4294967294" count="1" selected="0">
            <x v="2"/>
          </reference>
          <reference field="2" count="1">
            <x v="27"/>
          </reference>
        </references>
      </pivotArea>
    </format>
    <format dxfId="497">
      <pivotArea collapsedLevelsAreSubtotals="1" fieldPosition="0">
        <references count="2">
          <reference field="4294967294" count="1" selected="0">
            <x v="2"/>
          </reference>
          <reference field="2" count="1">
            <x v="27"/>
          </reference>
        </references>
      </pivotArea>
    </format>
    <format dxfId="496">
      <pivotArea collapsedLevelsAreSubtotals="1" fieldPosition="0">
        <references count="2">
          <reference field="4294967294" count="1" selected="0">
            <x v="2"/>
          </reference>
          <reference field="2" count="1">
            <x v="28"/>
          </reference>
        </references>
      </pivotArea>
    </format>
    <format dxfId="495">
      <pivotArea collapsedLevelsAreSubtotals="1" fieldPosition="0">
        <references count="2">
          <reference field="4294967294" count="1" selected="0">
            <x v="2"/>
          </reference>
          <reference field="2" count="1">
            <x v="28"/>
          </reference>
        </references>
      </pivotArea>
    </format>
    <format dxfId="494">
      <pivotArea collapsedLevelsAreSubtotals="1" fieldPosition="0">
        <references count="2">
          <reference field="4294967294" count="1" selected="0">
            <x v="2"/>
          </reference>
          <reference field="2" count="1">
            <x v="29"/>
          </reference>
        </references>
      </pivotArea>
    </format>
    <format dxfId="493">
      <pivotArea collapsedLevelsAreSubtotals="1" fieldPosition="0">
        <references count="2">
          <reference field="4294967294" count="1" selected="0">
            <x v="2"/>
          </reference>
          <reference field="2" count="1">
            <x v="29"/>
          </reference>
        </references>
      </pivotArea>
    </format>
    <format dxfId="492">
      <pivotArea collapsedLevelsAreSubtotals="1" fieldPosition="0">
        <references count="2">
          <reference field="4294967294" count="1" selected="0">
            <x v="2"/>
          </reference>
          <reference field="2" count="1">
            <x v="30"/>
          </reference>
        </references>
      </pivotArea>
    </format>
    <format dxfId="491">
      <pivotArea collapsedLevelsAreSubtotals="1" fieldPosition="0">
        <references count="2">
          <reference field="4294967294" count="1" selected="0">
            <x v="2"/>
          </reference>
          <reference field="2" count="1">
            <x v="31"/>
          </reference>
        </references>
      </pivotArea>
    </format>
    <format dxfId="490">
      <pivotArea collapsedLevelsAreSubtotals="1" fieldPosition="0">
        <references count="2">
          <reference field="4294967294" count="1" selected="0">
            <x v="2"/>
          </reference>
          <reference field="2" count="1">
            <x v="31"/>
          </reference>
        </references>
      </pivotArea>
    </format>
    <format dxfId="489">
      <pivotArea collapsedLevelsAreSubtotals="1" fieldPosition="0">
        <references count="2">
          <reference field="4294967294" count="1" selected="0">
            <x v="2"/>
          </reference>
          <reference field="2" count="1">
            <x v="32"/>
          </reference>
        </references>
      </pivotArea>
    </format>
    <format dxfId="488">
      <pivotArea collapsedLevelsAreSubtotals="1" fieldPosition="0">
        <references count="2">
          <reference field="4294967294" count="1" selected="0">
            <x v="2"/>
          </reference>
          <reference field="2" count="1">
            <x v="32"/>
          </reference>
        </references>
      </pivotArea>
    </format>
    <format dxfId="487">
      <pivotArea collapsedLevelsAreSubtotals="1" fieldPosition="0">
        <references count="2">
          <reference field="4294967294" count="1" selected="0">
            <x v="2"/>
          </reference>
          <reference field="2" count="1">
            <x v="33"/>
          </reference>
        </references>
      </pivotArea>
    </format>
    <format dxfId="486">
      <pivotArea collapsedLevelsAreSubtotals="1" fieldPosition="0">
        <references count="2">
          <reference field="4294967294" count="1" selected="0">
            <x v="2"/>
          </reference>
          <reference field="2" count="1">
            <x v="33"/>
          </reference>
        </references>
      </pivotArea>
    </format>
    <format dxfId="485">
      <pivotArea collapsedLevelsAreSubtotals="1" fieldPosition="0">
        <references count="2">
          <reference field="4294967294" count="1" selected="0">
            <x v="2"/>
          </reference>
          <reference field="2" count="1">
            <x v="34"/>
          </reference>
        </references>
      </pivotArea>
    </format>
    <format dxfId="484">
      <pivotArea collapsedLevelsAreSubtotals="1" fieldPosition="0">
        <references count="2">
          <reference field="4294967294" count="1" selected="0">
            <x v="2"/>
          </reference>
          <reference field="2" count="1">
            <x v="35"/>
          </reference>
        </references>
      </pivotArea>
    </format>
    <format dxfId="483">
      <pivotArea collapsedLevelsAreSubtotals="1" fieldPosition="0">
        <references count="2">
          <reference field="4294967294" count="1" selected="0">
            <x v="2"/>
          </reference>
          <reference field="2" count="1">
            <x v="36"/>
          </reference>
        </references>
      </pivotArea>
    </format>
    <format dxfId="482">
      <pivotArea collapsedLevelsAreSubtotals="1" fieldPosition="0">
        <references count="2">
          <reference field="4294967294" count="1" selected="0">
            <x v="2"/>
          </reference>
          <reference field="2" count="1">
            <x v="36"/>
          </reference>
        </references>
      </pivotArea>
    </format>
    <format dxfId="481">
      <pivotArea collapsedLevelsAreSubtotals="1" fieldPosition="0">
        <references count="2">
          <reference field="4294967294" count="1" selected="0">
            <x v="2"/>
          </reference>
          <reference field="2" count="1">
            <x v="38"/>
          </reference>
        </references>
      </pivotArea>
    </format>
    <format dxfId="480">
      <pivotArea collapsedLevelsAreSubtotals="1" fieldPosition="0">
        <references count="2">
          <reference field="4294967294" count="1" selected="0">
            <x v="2"/>
          </reference>
          <reference field="2" count="1">
            <x v="38"/>
          </reference>
        </references>
      </pivotArea>
    </format>
    <format dxfId="479">
      <pivotArea collapsedLevelsAreSubtotals="1" fieldPosition="0">
        <references count="2">
          <reference field="4294967294" count="1" selected="0">
            <x v="2"/>
          </reference>
          <reference field="2" count="1">
            <x v="39"/>
          </reference>
        </references>
      </pivotArea>
    </format>
    <format dxfId="478">
      <pivotArea collapsedLevelsAreSubtotals="1" fieldPosition="0">
        <references count="2">
          <reference field="4294967294" count="1" selected="0">
            <x v="2"/>
          </reference>
          <reference field="2" count="1">
            <x v="39"/>
          </reference>
        </references>
      </pivotArea>
    </format>
    <format dxfId="477">
      <pivotArea collapsedLevelsAreSubtotals="1" fieldPosition="0">
        <references count="2">
          <reference field="4294967294" count="1" selected="0">
            <x v="2"/>
          </reference>
          <reference field="2" count="1">
            <x v="40"/>
          </reference>
        </references>
      </pivotArea>
    </format>
    <format dxfId="476">
      <pivotArea collapsedLevelsAreSubtotals="1" fieldPosition="0">
        <references count="2">
          <reference field="4294967294" count="1" selected="0">
            <x v="2"/>
          </reference>
          <reference field="2" count="1">
            <x v="42"/>
          </reference>
        </references>
      </pivotArea>
    </format>
    <format dxfId="475">
      <pivotArea collapsedLevelsAreSubtotals="1" fieldPosition="0">
        <references count="2">
          <reference field="4294967294" count="1" selected="0">
            <x v="2"/>
          </reference>
          <reference field="2" count="1">
            <x v="41"/>
          </reference>
        </references>
      </pivotArea>
    </format>
    <format dxfId="474">
      <pivotArea collapsedLevelsAreSubtotals="1" fieldPosition="0">
        <references count="2">
          <reference field="4294967294" count="1" selected="0">
            <x v="2"/>
          </reference>
          <reference field="2" count="1">
            <x v="44"/>
          </reference>
        </references>
      </pivotArea>
    </format>
    <format dxfId="473">
      <pivotArea collapsedLevelsAreSubtotals="1" fieldPosition="0">
        <references count="2">
          <reference field="4294967294" count="1" selected="0">
            <x v="2"/>
          </reference>
          <reference field="2" count="1">
            <x v="45"/>
          </reference>
        </references>
      </pivotArea>
    </format>
    <format dxfId="472">
      <pivotArea collapsedLevelsAreSubtotals="1" fieldPosition="0">
        <references count="2">
          <reference field="4294967294" count="1" selected="0">
            <x v="2"/>
          </reference>
          <reference field="2" count="1">
            <x v="46"/>
          </reference>
        </references>
      </pivotArea>
    </format>
    <format dxfId="471">
      <pivotArea collapsedLevelsAreSubtotals="1" fieldPosition="0">
        <references count="2">
          <reference field="4294967294" count="1" selected="0">
            <x v="2"/>
          </reference>
          <reference field="2" count="1">
            <x v="47"/>
          </reference>
        </references>
      </pivotArea>
    </format>
    <format dxfId="470">
      <pivotArea collapsedLevelsAreSubtotals="1" fieldPosition="0">
        <references count="2">
          <reference field="4294967294" count="1" selected="0">
            <x v="2"/>
          </reference>
          <reference field="2" count="1">
            <x v="48"/>
          </reference>
        </references>
      </pivotArea>
    </format>
    <format dxfId="469">
      <pivotArea collapsedLevelsAreSubtotals="1" fieldPosition="0">
        <references count="2">
          <reference field="4294967294" count="1" selected="0">
            <x v="2"/>
          </reference>
          <reference field="2" count="1">
            <x v="49"/>
          </reference>
        </references>
      </pivotArea>
    </format>
    <format dxfId="468">
      <pivotArea collapsedLevelsAreSubtotals="1" fieldPosition="0">
        <references count="2">
          <reference field="4294967294" count="1" selected="0">
            <x v="2"/>
          </reference>
          <reference field="2" count="1">
            <x v="49"/>
          </reference>
        </references>
      </pivotArea>
    </format>
    <format dxfId="467">
      <pivotArea collapsedLevelsAreSubtotals="1" fieldPosition="0">
        <references count="2">
          <reference field="4294967294" count="1" selected="0">
            <x v="2"/>
          </reference>
          <reference field="2" count="1">
            <x v="50"/>
          </reference>
        </references>
      </pivotArea>
    </format>
    <format dxfId="466">
      <pivotArea collapsedLevelsAreSubtotals="1" fieldPosition="0">
        <references count="3">
          <reference field="4294967294" count="1" selected="0">
            <x v="2"/>
          </reference>
          <reference field="1" count="1" selected="0">
            <x v="95"/>
          </reference>
          <reference field="2" count="1">
            <x v="51"/>
          </reference>
        </references>
      </pivotArea>
    </format>
    <format dxfId="465">
      <pivotArea collapsedLevelsAreSubtotals="1" fieldPosition="0">
        <references count="3">
          <reference field="4294967294" count="1" selected="0">
            <x v="2"/>
          </reference>
          <reference field="1" count="1" selected="0">
            <x v="95"/>
          </reference>
          <reference field="2" count="1">
            <x v="51"/>
          </reference>
        </references>
      </pivotArea>
    </format>
    <format dxfId="464">
      <pivotArea collapsedLevelsAreSubtotals="1" fieldPosition="0">
        <references count="2">
          <reference field="4294967294" count="1" selected="0">
            <x v="2"/>
          </reference>
          <reference field="2" count="1">
            <x v="51"/>
          </reference>
        </references>
      </pivotArea>
    </format>
    <format dxfId="463">
      <pivotArea collapsedLevelsAreSubtotals="1" fieldPosition="0">
        <references count="2">
          <reference field="4294967294" count="1" selected="0">
            <x v="2"/>
          </reference>
          <reference field="2" count="1">
            <x v="51"/>
          </reference>
        </references>
      </pivotArea>
    </format>
    <format dxfId="462">
      <pivotArea collapsedLevelsAreSubtotals="1" fieldPosition="0">
        <references count="2">
          <reference field="4294967294" count="1" selected="0">
            <x v="2"/>
          </reference>
          <reference field="2" count="1">
            <x v="52"/>
          </reference>
        </references>
      </pivotArea>
    </format>
    <format dxfId="461">
      <pivotArea collapsedLevelsAreSubtotals="1" fieldPosition="0">
        <references count="2">
          <reference field="4294967294" count="1" selected="0">
            <x v="2"/>
          </reference>
          <reference field="2" count="1">
            <x v="52"/>
          </reference>
        </references>
      </pivotArea>
    </format>
    <format dxfId="460">
      <pivotArea collapsedLevelsAreSubtotals="1" fieldPosition="0">
        <references count="2">
          <reference field="4294967294" count="1" selected="0">
            <x v="2"/>
          </reference>
          <reference field="2" count="1">
            <x v="53"/>
          </reference>
        </references>
      </pivotArea>
    </format>
    <format dxfId="459">
      <pivotArea collapsedLevelsAreSubtotals="1" fieldPosition="0">
        <references count="2">
          <reference field="4294967294" count="1" selected="0">
            <x v="2"/>
          </reference>
          <reference field="2" count="1">
            <x v="54"/>
          </reference>
        </references>
      </pivotArea>
    </format>
    <format dxfId="458">
      <pivotArea collapsedLevelsAreSubtotals="1" fieldPosition="0">
        <references count="2">
          <reference field="4294967294" count="1" selected="0">
            <x v="2"/>
          </reference>
          <reference field="2" count="1">
            <x v="54"/>
          </reference>
        </references>
      </pivotArea>
    </format>
    <format dxfId="457">
      <pivotArea collapsedLevelsAreSubtotals="1" fieldPosition="0">
        <references count="2">
          <reference field="4294967294" count="1" selected="0">
            <x v="2"/>
          </reference>
          <reference field="2" count="1">
            <x v="55"/>
          </reference>
        </references>
      </pivotArea>
    </format>
    <format dxfId="456">
      <pivotArea collapsedLevelsAreSubtotals="1" fieldPosition="0">
        <references count="2">
          <reference field="4294967294" count="1" selected="0">
            <x v="2"/>
          </reference>
          <reference field="2" count="1">
            <x v="56"/>
          </reference>
        </references>
      </pivotArea>
    </format>
    <format dxfId="455">
      <pivotArea type="all" dataOnly="0" outline="0" fieldPosition="0"/>
    </format>
    <format dxfId="454">
      <pivotArea outline="0" collapsedLevelsAreSubtotals="1" fieldPosition="0"/>
    </format>
    <format dxfId="453">
      <pivotArea dataOnly="0" labelOnly="1" fieldPosition="0">
        <references count="1">
          <reference field="2" count="0"/>
        </references>
      </pivotArea>
    </format>
    <format dxfId="452">
      <pivotArea dataOnly="0" labelOnly="1" grandRow="1" outline="0" fieldPosition="0"/>
    </format>
    <format dxfId="451">
      <pivotArea dataOnly="0" labelOnly="1" outline="0" fieldPosition="0">
        <references count="1">
          <reference field="4294967294" count="3">
            <x v="0"/>
            <x v="1"/>
            <x v="2"/>
          </reference>
        </references>
      </pivotArea>
    </format>
    <format dxfId="450">
      <pivotArea collapsedLevelsAreSubtotals="1" fieldPosition="0">
        <references count="2">
          <reference field="4294967294" count="1" selected="0">
            <x v="2"/>
          </reference>
          <reference field="2" count="1">
            <x v="57"/>
          </reference>
        </references>
      </pivotArea>
    </format>
    <format dxfId="449">
      <pivotArea collapsedLevelsAreSubtotals="1" fieldPosition="0">
        <references count="2">
          <reference field="4294967294" count="1" selected="0">
            <x v="2"/>
          </reference>
          <reference field="2" count="1">
            <x v="53"/>
          </reference>
        </references>
      </pivotArea>
    </format>
    <format dxfId="448">
      <pivotArea collapsedLevelsAreSubtotals="1" fieldPosition="0">
        <references count="2">
          <reference field="4294967294" count="1" selected="0">
            <x v="2"/>
          </reference>
          <reference field="2" count="1">
            <x v="58"/>
          </reference>
        </references>
      </pivotArea>
    </format>
    <format dxfId="447">
      <pivotArea collapsedLevelsAreSubtotals="1" fieldPosition="0">
        <references count="2">
          <reference field="4294967294" count="1" selected="0">
            <x v="2"/>
          </reference>
          <reference field="2" count="1">
            <x v="37"/>
          </reference>
        </references>
      </pivotArea>
    </format>
    <format dxfId="446">
      <pivotArea collapsedLevelsAreSubtotals="1" fieldPosition="0">
        <references count="2">
          <reference field="4294967294" count="1" selected="0">
            <x v="2"/>
          </reference>
          <reference field="2" count="1">
            <x v="59"/>
          </reference>
        </references>
      </pivotArea>
    </format>
    <format dxfId="445">
      <pivotArea collapsedLevelsAreSubtotals="1" fieldPosition="0">
        <references count="2">
          <reference field="4294967294" count="1" selected="0">
            <x v="2"/>
          </reference>
          <reference field="2" count="1">
            <x v="64"/>
          </reference>
        </references>
      </pivotArea>
    </format>
    <format dxfId="444">
      <pivotArea collapsedLevelsAreSubtotals="1" fieldPosition="0">
        <references count="2">
          <reference field="4294967294" count="1" selected="0">
            <x v="2"/>
          </reference>
          <reference field="2" count="1">
            <x v="65"/>
          </reference>
        </references>
      </pivotArea>
    </format>
    <format dxfId="443">
      <pivotArea collapsedLevelsAreSubtotals="1" fieldPosition="0">
        <references count="2">
          <reference field="4294967294" count="1" selected="0">
            <x v="2"/>
          </reference>
          <reference field="2" count="1">
            <x v="59"/>
          </reference>
        </references>
      </pivotArea>
    </format>
    <format dxfId="442">
      <pivotArea collapsedLevelsAreSubtotals="1" fieldPosition="0">
        <references count="2">
          <reference field="4294967294" count="1" selected="0">
            <x v="2"/>
          </reference>
          <reference field="2" count="1">
            <x v="64"/>
          </reference>
        </references>
      </pivotArea>
    </format>
    <format dxfId="441">
      <pivotArea collapsedLevelsAreSubtotals="1" fieldPosition="0">
        <references count="2">
          <reference field="4294967294" count="1" selected="0">
            <x v="2"/>
          </reference>
          <reference field="2" count="1">
            <x v="65"/>
          </reference>
        </references>
      </pivotArea>
    </format>
    <format dxfId="440">
      <pivotArea collapsedLevelsAreSubtotals="1" fieldPosition="0">
        <references count="2">
          <reference field="4294967294" count="1" selected="0">
            <x v="2"/>
          </reference>
          <reference field="2" count="1">
            <x v="63"/>
          </reference>
        </references>
      </pivotArea>
    </format>
    <format dxfId="439">
      <pivotArea collapsedLevelsAreSubtotals="1" fieldPosition="0">
        <references count="2">
          <reference field="4294967294" count="1" selected="0">
            <x v="2"/>
          </reference>
          <reference field="2" count="1">
            <x v="61"/>
          </reference>
        </references>
      </pivotArea>
    </format>
    <format dxfId="438">
      <pivotArea collapsedLevelsAreSubtotals="1" fieldPosition="0">
        <references count="2">
          <reference field="4294967294" count="1" selected="0">
            <x v="2"/>
          </reference>
          <reference field="2" count="1">
            <x v="62"/>
          </reference>
        </references>
      </pivotArea>
    </format>
    <format dxfId="437">
      <pivotArea collapsedLevelsAreSubtotals="1" fieldPosition="0">
        <references count="2">
          <reference field="4294967294" count="1" selected="0">
            <x v="2"/>
          </reference>
          <reference field="2" count="1">
            <x v="66"/>
          </reference>
        </references>
      </pivotArea>
    </format>
    <format dxfId="436">
      <pivotArea collapsedLevelsAreSubtotals="1" fieldPosition="0">
        <references count="2">
          <reference field="4294967294" count="1" selected="0">
            <x v="2"/>
          </reference>
          <reference field="2" count="1">
            <x v="66"/>
          </reference>
        </references>
      </pivotArea>
    </format>
    <format dxfId="435">
      <pivotArea collapsedLevelsAreSubtotals="1" fieldPosition="0">
        <references count="2">
          <reference field="4294967294" count="1" selected="0">
            <x v="2"/>
          </reference>
          <reference field="2" count="1">
            <x v="67"/>
          </reference>
        </references>
      </pivotArea>
    </format>
    <format dxfId="434">
      <pivotArea collapsedLevelsAreSubtotals="1" fieldPosition="0">
        <references count="2">
          <reference field="4294967294" count="1" selected="0">
            <x v="2"/>
          </reference>
          <reference field="2" count="1">
            <x v="68"/>
          </reference>
        </references>
      </pivotArea>
    </format>
    <format dxfId="433">
      <pivotArea collapsedLevelsAreSubtotals="1" fieldPosition="0">
        <references count="2">
          <reference field="4294967294" count="1" selected="0">
            <x v="2"/>
          </reference>
          <reference field="2" count="1">
            <x v="71"/>
          </reference>
        </references>
      </pivotArea>
    </format>
    <format dxfId="432">
      <pivotArea collapsedLevelsAreSubtotals="1" fieldPosition="0">
        <references count="2">
          <reference field="4294967294" count="1" selected="0">
            <x v="2"/>
          </reference>
          <reference field="2" count="1">
            <x v="72"/>
          </reference>
        </references>
      </pivotArea>
    </format>
    <format dxfId="431">
      <pivotArea collapsedLevelsAreSubtotals="1" fieldPosition="0">
        <references count="2">
          <reference field="4294967294" count="1" selected="0">
            <x v="2"/>
          </reference>
          <reference field="2" count="1">
            <x v="60"/>
          </reference>
        </references>
      </pivotArea>
    </format>
    <format dxfId="430">
      <pivotArea collapsedLevelsAreSubtotals="1" fieldPosition="0">
        <references count="2">
          <reference field="4294967294" count="1" selected="0">
            <x v="2"/>
          </reference>
          <reference field="2" count="1">
            <x v="7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9">
        <item x="249"/>
        <item m="1" x="2216"/>
        <item m="1" x="2171"/>
        <item m="1" x="2170"/>
        <item m="1" x="2184"/>
        <item m="1" x="2174"/>
        <item m="1" x="2136"/>
        <item m="1" x="2155"/>
        <item m="1" x="2162"/>
        <item m="1" x="2182"/>
        <item m="1" x="2161"/>
        <item m="1" x="2190"/>
        <item m="1" x="2198"/>
        <item m="1" x="2159"/>
        <item m="1" x="2205"/>
        <item m="1" x="2152"/>
        <item m="1" x="2210"/>
        <item m="1" x="2165"/>
        <item m="1" x="2125"/>
        <item m="1" x="2214"/>
        <item m="1" x="2217"/>
        <item m="1" x="2132"/>
        <item m="1" x="2173"/>
        <item m="1" x="2127"/>
        <item m="1" x="2128"/>
        <item m="1" x="2130"/>
        <item m="1" x="2144"/>
        <item m="1" x="2145"/>
        <item m="1" x="2191"/>
        <item m="1" x="2179"/>
        <item m="1" x="2180"/>
        <item m="1" x="2185"/>
        <item m="1" x="2196"/>
        <item m="1" x="2175"/>
        <item m="1" x="2137"/>
        <item m="1" x="2142"/>
        <item m="1" x="2149"/>
        <item m="1" x="2199"/>
        <item x="0"/>
        <item m="1" x="2186"/>
        <item m="1" x="2192"/>
        <item m="1" x="2150"/>
        <item x="1"/>
        <item m="1" x="2193"/>
        <item m="1" x="2212"/>
        <item x="2"/>
        <item x="3"/>
        <item m="1" x="2156"/>
        <item m="1" x="2207"/>
        <item m="1" x="2153"/>
        <item m="1" x="2203"/>
        <item m="1" x="2211"/>
        <item m="1" x="2215"/>
        <item x="4"/>
        <item m="1" x="2126"/>
        <item x="5"/>
        <item x="6"/>
        <item m="1" x="216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8"/>
        <item x="157"/>
        <item x="158"/>
        <item x="159"/>
        <item x="160"/>
        <item x="161"/>
        <item x="162"/>
        <item x="163"/>
        <item x="164"/>
        <item x="165"/>
        <item x="166"/>
        <item x="167"/>
        <item x="168"/>
        <item x="169"/>
        <item m="1" x="216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6"/>
        <item x="276"/>
        <item x="277"/>
        <item x="278"/>
        <item x="275"/>
        <item m="1" x="2163"/>
        <item x="279"/>
        <item x="280"/>
        <item x="281"/>
        <item x="282"/>
        <item x="283"/>
        <item x="284"/>
        <item x="285"/>
        <item x="286"/>
        <item x="287"/>
        <item x="288"/>
        <item x="289"/>
        <item x="290"/>
        <item x="291"/>
        <item x="292"/>
        <item x="293"/>
        <item x="294"/>
        <item x="295"/>
        <item x="296"/>
        <item m="1" x="2167"/>
        <item x="297"/>
        <item x="298"/>
        <item x="299"/>
        <item m="1" x="2169"/>
        <item x="300"/>
        <item x="302"/>
        <item x="303"/>
        <item x="301"/>
        <item x="304"/>
        <item x="305"/>
        <item x="306"/>
        <item x="307"/>
        <item x="308"/>
        <item x="309"/>
        <item x="310"/>
        <item x="311"/>
        <item x="312"/>
        <item m="1" x="2133"/>
        <item x="313"/>
        <item m="1" x="2135"/>
        <item x="314"/>
        <item x="315"/>
        <item x="316"/>
        <item x="317"/>
        <item x="318"/>
        <item x="319"/>
        <item x="320"/>
        <item x="321"/>
        <item m="1" x="2181"/>
        <item x="323"/>
        <item x="324"/>
        <item x="325"/>
        <item x="326"/>
        <item x="322"/>
        <item x="327"/>
        <item x="328"/>
        <item x="329"/>
        <item x="330"/>
        <item x="331"/>
        <item m="1" x="2172"/>
        <item x="332"/>
        <item m="1" x="2134"/>
        <item x="333"/>
        <item x="334"/>
        <item x="335"/>
        <item x="336"/>
        <item x="337"/>
        <item x="338"/>
        <item x="344"/>
        <item m="1" x="214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31"/>
        <item x="375"/>
        <item x="376"/>
        <item x="373"/>
        <item x="377"/>
        <item x="378"/>
        <item x="379"/>
        <item x="380"/>
        <item m="1" x="2176"/>
        <item x="381"/>
        <item x="382"/>
        <item x="383"/>
        <item x="384"/>
        <item x="385"/>
        <item x="386"/>
        <item x="387"/>
        <item x="388"/>
        <item x="389"/>
        <item x="390"/>
        <item x="391"/>
        <item x="392"/>
        <item x="393"/>
        <item x="394"/>
        <item x="395"/>
        <item x="396"/>
        <item x="397"/>
        <item x="399"/>
        <item x="400"/>
        <item x="401"/>
        <item x="398"/>
        <item x="402"/>
        <item m="1" x="2177"/>
        <item x="403"/>
        <item x="404"/>
        <item x="405"/>
        <item x="406"/>
        <item x="407"/>
        <item x="408"/>
        <item x="409"/>
        <item m="1" x="2143"/>
        <item x="410"/>
        <item x="411"/>
        <item x="421"/>
        <item x="412"/>
        <item x="413"/>
        <item x="414"/>
        <item x="415"/>
        <item x="416"/>
        <item x="417"/>
        <item m="1" x="2197"/>
        <item x="418"/>
        <item x="419"/>
        <item x="420"/>
        <item x="423"/>
        <item x="443"/>
        <item x="424"/>
        <item x="422"/>
        <item x="425"/>
        <item x="426"/>
        <item x="427"/>
        <item x="428"/>
        <item x="429"/>
        <item x="430"/>
        <item x="431"/>
        <item x="432"/>
        <item m="1" x="2189"/>
        <item x="433"/>
        <item x="434"/>
        <item x="435"/>
        <item x="436"/>
        <item x="438"/>
        <item x="437"/>
        <item x="439"/>
        <item x="440"/>
        <item x="442"/>
        <item x="441"/>
        <item x="445"/>
        <item x="446"/>
        <item x="447"/>
        <item x="444"/>
        <item x="448"/>
        <item x="449"/>
        <item x="450"/>
        <item x="451"/>
        <item x="452"/>
        <item x="453"/>
        <item x="454"/>
        <item x="455"/>
        <item x="456"/>
        <item x="457"/>
        <item m="1" x="2151"/>
        <item x="458"/>
        <item x="459"/>
        <item m="1" x="2200"/>
        <item x="460"/>
        <item x="461"/>
        <item x="462"/>
        <item x="463"/>
        <item m="1" x="2209"/>
        <item x="464"/>
        <item x="465"/>
        <item x="466"/>
        <item x="467"/>
        <item x="468"/>
        <item x="469"/>
        <item x="470"/>
        <item m="1" x="2188"/>
        <item x="471"/>
        <item x="472"/>
        <item x="473"/>
        <item x="474"/>
        <item x="475"/>
        <item x="476"/>
        <item x="477"/>
        <item x="478"/>
        <item x="479"/>
        <item x="480"/>
        <item x="481"/>
        <item x="482"/>
        <item x="483"/>
        <item x="484"/>
        <item m="1" x="2164"/>
        <item x="490"/>
        <item x="485"/>
        <item x="486"/>
        <item x="487"/>
        <item x="488"/>
        <item x="489"/>
        <item x="491"/>
        <item x="492"/>
        <item m="1" x="2157"/>
        <item m="1" x="2201"/>
        <item x="503"/>
        <item m="1" x="2204"/>
        <item x="493"/>
        <item x="494"/>
        <item x="504"/>
        <item x="495"/>
        <item x="496"/>
        <item x="497"/>
        <item x="498"/>
        <item x="499"/>
        <item x="500"/>
        <item x="501"/>
        <item x="502"/>
        <item x="505"/>
        <item x="506"/>
        <item x="507"/>
        <item x="508"/>
        <item m="1" x="215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23"/>
        <item x="564"/>
        <item x="565"/>
        <item x="566"/>
        <item x="567"/>
        <item x="568"/>
        <item x="569"/>
        <item x="570"/>
        <item x="571"/>
        <item x="572"/>
        <item x="573"/>
        <item x="574"/>
        <item m="1" x="212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40"/>
        <item x="698"/>
        <item x="708"/>
        <item x="709"/>
        <item x="710"/>
        <item x="699"/>
        <item x="700"/>
        <item x="701"/>
        <item x="702"/>
        <item x="703"/>
        <item x="704"/>
        <item x="705"/>
        <item x="706"/>
        <item x="707"/>
        <item x="711"/>
        <item x="726"/>
        <item x="727"/>
        <item x="734"/>
        <item x="712"/>
        <item x="728"/>
        <item x="729"/>
        <item m="1" x="218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6"/>
        <item x="753"/>
        <item m="1" x="2148"/>
        <item x="740"/>
        <item x="754"/>
        <item x="741"/>
        <item x="742"/>
        <item x="743"/>
        <item x="744"/>
        <item x="745"/>
        <item x="746"/>
        <item x="747"/>
        <item x="755"/>
        <item x="748"/>
        <item x="757"/>
        <item x="758"/>
        <item x="769"/>
        <item x="759"/>
        <item m="1" x="2195"/>
        <item x="760"/>
        <item x="761"/>
        <item x="770"/>
        <item m="1" x="2202"/>
        <item x="762"/>
        <item x="771"/>
        <item x="763"/>
        <item x="764"/>
        <item x="765"/>
        <item x="766"/>
        <item x="772"/>
        <item x="773"/>
        <item x="767"/>
        <item x="768"/>
        <item x="774"/>
        <item x="775"/>
        <item x="790"/>
        <item x="776"/>
        <item x="791"/>
        <item x="777"/>
        <item x="778"/>
        <item x="792"/>
        <item x="779"/>
        <item x="780"/>
        <item x="781"/>
        <item x="782"/>
        <item x="793"/>
        <item x="783"/>
        <item x="794"/>
        <item x="795"/>
        <item x="212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83"/>
        <item x="944"/>
        <item m="1" x="214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9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24"/>
        <item x="1583"/>
        <item x="1577"/>
        <item x="1578"/>
        <item x="1576"/>
        <item x="1579"/>
        <item x="1580"/>
        <item x="1586"/>
        <item x="1587"/>
        <item x="1581"/>
        <item x="1582"/>
        <item x="1588"/>
        <item x="1589"/>
        <item x="1590"/>
        <item x="1602"/>
        <item x="1612"/>
        <item m="1" x="213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1"/>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2">
        <item h="1" sd="0" x="60"/>
        <item h="1" sd="0" x="149"/>
        <item h="1" x="758"/>
        <item h="1" sd="0" m="1" x="800"/>
        <item h="1" sd="0" x="726"/>
        <item h="1" sd="0" m="1" x="873"/>
        <item h="1" sd="0" x="572"/>
        <item h="1" sd="0" m="1" x="972"/>
        <item h="1" sd="0" m="1" x="813"/>
        <item h="1" sd="0" x="464"/>
        <item h="1" sd="0" m="1" x="835"/>
        <item h="1" x="759"/>
        <item h="1" sd="0" x="18"/>
        <item h="1" sd="0" x="288"/>
        <item h="1" sd="0" m="1" x="1013"/>
        <item h="1" sd="0" x="146"/>
        <item h="1" sd="0" x="179"/>
        <item h="1" sd="0" x="490"/>
        <item h="1" sd="0" x="673"/>
        <item h="1" sd="0" m="1" x="1010"/>
        <item h="1" sd="0" x="641"/>
        <item h="1" sd="0" x="623"/>
        <item h="1" sd="0" x="100"/>
        <item h="1" sd="0" x="606"/>
        <item h="1" sd="0" m="1" x="819"/>
        <item h="1" sd="0" m="1" x="976"/>
        <item h="1" sd="0" x="137"/>
        <item h="1" sd="0" m="1" x="958"/>
        <item h="1" sd="0" x="231"/>
        <item h="1" sd="0" m="1" x="790"/>
        <item sd="0" x="761"/>
        <item h="1" sd="0" m="1" x="963"/>
        <item h="1" sd="0" m="1" x="852"/>
        <item h="1" sd="0" x="363"/>
        <item h="1" sd="0" x="510"/>
        <item sd="0" x="563"/>
        <item h="1" sd="0" x="651"/>
        <item h="1" x="738"/>
        <item h="1" sd="0" x="375"/>
        <item h="1" sd="0" x="379"/>
        <item h="1" sd="0" m="1" x="849"/>
        <item h="1" sd="0" x="720"/>
        <item h="1" sd="0" m="1" x="827"/>
        <item h="1" sd="0" m="1" x="880"/>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2"/>
        <item h="1" sd="0" x="325"/>
        <item h="1" sd="0" x="481"/>
        <item h="1" sd="0" m="1" x="1014"/>
        <item h="1" sd="0" m="1" x="910"/>
        <item h="1" sd="0" x="528"/>
        <item h="1" sd="0" x="630"/>
        <item h="1" sd="0" x="223"/>
        <item h="1" sd="0" m="1" x="802"/>
        <item h="1" sd="0" x="239"/>
        <item h="1" sd="0" x="521"/>
        <item h="1" sd="0" x="135"/>
        <item h="1" sd="0" x="140"/>
        <item h="1" sd="0" x="479"/>
        <item h="1" sd="0" m="1" x="987"/>
        <item h="1" sd="0" m="1" x="916"/>
        <item h="1" sd="0" x="219"/>
        <item h="1" sd="0" m="1" x="1026"/>
        <item h="1" sd="0" x="562"/>
        <item h="1" x="746"/>
        <item h="1" x="763"/>
        <item h="1" sd="0" x="713"/>
        <item h="1" sd="0" x="684"/>
        <item h="1" sd="0" x="93"/>
        <item h="1" sd="0" m="1" x="984"/>
        <item h="1" sd="0" x="399"/>
        <item h="1" sd="0" x="222"/>
        <item h="1" sd="0" m="1" x="815"/>
        <item h="1" sd="0" x="337"/>
        <item h="1" sd="0" x="207"/>
        <item h="1" sd="0" x="517"/>
        <item h="1" sd="0" x="489"/>
        <item h="1" sd="0" x="184"/>
        <item h="1" sd="0" x="152"/>
        <item h="1" sd="0" m="1" x="997"/>
        <item h="1" sd="0" x="40"/>
        <item h="1" sd="0" x="281"/>
        <item h="1" sd="0" x="170"/>
        <item h="1" sd="0" x="317"/>
        <item h="1" sd="0" x="358"/>
        <item h="1" sd="0" x="214"/>
        <item h="1" sd="0" x="370"/>
        <item h="1" sd="0" x="378"/>
        <item h="1" sd="0" x="279"/>
        <item h="1" sd="0" m="1" x="853"/>
        <item h="1" sd="0" x="156"/>
        <item h="1" sd="0" x="701"/>
        <item h="1" sd="0" x="639"/>
        <item h="1" sd="0" x="253"/>
        <item h="1" sd="0" m="1" x="973"/>
        <item h="1" sd="0" x="442"/>
        <item h="1" sd="0" m="1" x="781"/>
        <item h="1" sd="0" x="409"/>
        <item h="1" sd="0" x="365"/>
        <item h="1" sd="0" m="1" x="834"/>
        <item h="1" sd="0" m="1" x="798"/>
        <item sd="0" x="666"/>
        <item h="1" sd="0" x="556"/>
        <item h="1" sd="0" x="383"/>
        <item h="1" sd="0" x="259"/>
        <item h="1" sd="0" x="463"/>
        <item h="1" sd="0" x="252"/>
        <item h="1" sd="0" x="643"/>
        <item h="1" sd="0" x="537"/>
        <item h="1" sd="0" m="1" x="915"/>
        <item h="1" sd="0" x="577"/>
        <item h="1" sd="0" x="597"/>
        <item h="1" sd="0" x="12"/>
        <item h="1" sd="0" x="571"/>
        <item h="1" sd="0" m="1" x="986"/>
        <item h="1" sd="0" x="569"/>
        <item h="1" sd="0" x="352"/>
        <item h="1" sd="0" x="218"/>
        <item h="1" sd="0" x="371"/>
        <item h="1" sd="0" x="224"/>
        <item h="1" sd="0" x="63"/>
        <item h="1" sd="0" x="8"/>
        <item h="1" sd="0" x="102"/>
        <item h="1" sd="0" m="1" x="820"/>
        <item h="1" sd="0" m="1" x="1016"/>
        <item h="1" sd="0" x="550"/>
        <item h="1" sd="0" x="319"/>
        <item h="1" sd="0" m="1" x="826"/>
        <item h="1" sd="0" m="1" x="1027"/>
        <item h="1" sd="0" x="386"/>
        <item h="1" sd="0" x="634"/>
        <item h="1" sd="0" x="31"/>
        <item h="1" sd="0" x="55"/>
        <item h="1" sd="0" x="227"/>
        <item h="1" sd="0" x="453"/>
        <item h="1" sd="0" x="356"/>
        <item h="1" sd="0" x="161"/>
        <item h="1" sd="0" x="153"/>
        <item h="1" sd="0" x="653"/>
        <item h="1" sd="0" x="553"/>
        <item h="1" sd="0" x="706"/>
        <item h="1" sd="0" m="1" x="900"/>
        <item h="1" sd="0" x="133"/>
        <item h="1" sd="0" m="1" x="806"/>
        <item h="1" sd="0" m="1" x="799"/>
        <item h="1" sd="0" m="1" x="1002"/>
        <item h="1" sd="0" x="668"/>
        <item h="1" x="765"/>
        <item h="1" sd="0" x="681"/>
        <item h="1" sd="0" x="686"/>
        <item h="1" sd="0" x="46"/>
        <item h="1" sd="0" x="374"/>
        <item h="1" sd="0" m="1" x="808"/>
        <item h="1" sd="0" x="423"/>
        <item h="1" sd="0" x="574"/>
        <item h="1" sd="0" x="367"/>
        <item h="1" sd="0" x="270"/>
        <item h="1" sd="0" m="1" x="890"/>
        <item h="1" sd="0" m="1" x="855"/>
        <item h="1" sd="0" x="427"/>
        <item h="1" sd="0" x="411"/>
        <item h="1" sd="0" x="465"/>
        <item h="1" sd="0" m="1" x="891"/>
        <item h="1" sd="0" m="1" x="871"/>
        <item h="1" sd="0" m="1" x="983"/>
        <item h="1" sd="0" m="1" x="926"/>
        <item h="1" sd="0" m="1" x="887"/>
        <item h="1" sd="0" x="366"/>
        <item h="1" sd="0" x="437"/>
        <item h="1" sd="0" x="506"/>
        <item h="1" sd="0" x="632"/>
        <item h="1" sd="0" m="1" x="901"/>
        <item h="1" sd="0" x="567"/>
        <item h="1" sd="0" x="665"/>
        <item h="1" sd="0" x="534"/>
        <item h="1" sd="0" x="456"/>
        <item h="1" sd="0" x="318"/>
        <item h="1" sd="0" m="1" x="848"/>
        <item h="1" sd="0" x="698"/>
        <item h="1" sd="0" x="312"/>
        <item h="1" sd="0" x="273"/>
        <item h="1" sd="0" x="428"/>
        <item h="1" sd="0" x="519"/>
        <item h="1" sd="0" m="1" x="948"/>
        <item h="1" sd="0" x="396"/>
        <item h="1" x="754"/>
        <item h="1" sd="0" x="605"/>
        <item h="1" sd="0" x="402"/>
        <item h="1" sd="0" x="712"/>
        <item h="1" sd="0" x="201"/>
        <item h="1" sd="0" m="1" x="875"/>
        <item h="1" sd="0" x="160"/>
        <item h="1" sd="0" x="443"/>
        <item h="1" sd="0" m="1" x="980"/>
        <item h="1" sd="0" m="1" x="940"/>
        <item h="1" sd="0" m="1" x="833"/>
        <item h="1" x="749"/>
        <item h="1" sd="0" x="451"/>
        <item h="1" sd="0" x="538"/>
        <item h="1" sd="0" x="414"/>
        <item h="1" sd="0" x="413"/>
        <item h="1" sd="0" x="277"/>
        <item h="1" sd="0" x="467"/>
        <item h="1" sd="0" m="1" x="934"/>
        <item h="1" sd="0" x="225"/>
        <item h="1" sd="0" m="1" x="804"/>
        <item h="1" sd="0" m="1" x="807"/>
        <item h="1" sd="0" x="522"/>
        <item h="1" sd="0" x="468"/>
        <item h="1" sd="0" x="539"/>
        <item h="1" sd="0" x="633"/>
        <item h="1" sd="0" m="1" x="818"/>
        <item h="1" sd="0" x="292"/>
        <item h="1" sd="0" x="15"/>
        <item h="1" sd="0" m="1" x="846"/>
        <item h="1" sd="0" m="1" x="861"/>
        <item h="1" sd="0" x="662"/>
        <item h="1" sd="0" x="0"/>
        <item h="1" sd="0" x="232"/>
        <item h="1" sd="0" x="679"/>
        <item h="1" sd="0" x="213"/>
        <item h="1" sd="0" m="1" x="982"/>
        <item h="1" sd="0" x="316"/>
        <item h="1" x="752"/>
        <item h="1" sd="0" x="703"/>
        <item h="1" sd="0" x="513"/>
        <item h="1" sd="0" x="436"/>
        <item h="1" sd="0" x="449"/>
        <item h="1" sd="0" m="1" x="789"/>
        <item h="1" sd="0" x="291"/>
        <item h="1" x="741"/>
        <item h="1" sd="0" x="391"/>
        <item h="1" sd="0" x="333"/>
        <item h="1" x="745"/>
        <item sd="0" x="339"/>
        <item h="1" sd="0" x="275"/>
        <item h="1" sd="0" m="1" x="821"/>
        <item sd="0" x="174"/>
        <item h="1" sd="0" x="171"/>
        <item h="1" sd="0" x="233"/>
        <item h="1" sd="0" x="78"/>
        <item h="1" sd="0" m="1" x="881"/>
        <item h="1" sd="0" x="236"/>
        <item h="1" sd="0" x="58"/>
        <item h="1" sd="0" m="1" x="951"/>
        <item h="1" sd="0" x="474"/>
        <item h="1" sd="0" x="511"/>
        <item h="1" sd="0" x="408"/>
        <item h="1" sd="0" x="587"/>
        <item h="1" sd="0" x="240"/>
        <item h="1" sd="0" m="1" x="814"/>
        <item h="1" sd="0" x="182"/>
        <item h="1" sd="0" x="307"/>
        <item h="1" sd="0" m="1" x="824"/>
        <item h="1" sd="0" x="648"/>
        <item h="1" sd="0" x="290"/>
        <item h="1" sd="0" m="1" x="907"/>
        <item h="1" sd="0" m="1" x="969"/>
        <item h="1" sd="0" x="636"/>
        <item h="1" sd="0" x="499"/>
        <item h="1" sd="0" x="447"/>
        <item h="1" sd="0" x="132"/>
        <item h="1" sd="0" x="56"/>
        <item h="1" sd="0" x="126"/>
        <item h="1" sd="0" x="22"/>
        <item h="1" sd="0" x="187"/>
        <item h="1" sd="0" m="1" x="795"/>
        <item h="1" sd="0" m="1" x="1000"/>
        <item h="1" sd="0" m="1" x="801"/>
        <item h="1" sd="0" x="11"/>
        <item h="1" sd="0" x="670"/>
        <item h="1" sd="0" x="353"/>
        <item h="1" sd="0" x="542"/>
        <item h="1" sd="0" m="1" x="886"/>
        <item h="1" sd="0" x="124"/>
        <item h="1" sd="0" x="646"/>
        <item h="1" sd="0" m="1" x="1030"/>
        <item h="1" sd="0" x="77"/>
        <item h="1" sd="0" m="1" x="911"/>
        <item h="1" sd="0" x="435"/>
        <item h="1" sd="0" x="92"/>
        <item h="1" sd="0" x="35"/>
        <item h="1" sd="0" x="196"/>
        <item h="1" sd="0" m="1" x="1009"/>
        <item h="1" sd="0" x="1"/>
        <item h="1" sd="0" x="180"/>
        <item h="1" sd="0" x="430"/>
        <item h="1" sd="0" x="285"/>
        <item h="1" x="750"/>
        <item h="1" sd="0" x="581"/>
        <item h="1" sd="0" m="1" x="929"/>
        <item h="1" sd="0" x="42"/>
        <item h="1" sd="0" x="469"/>
        <item h="1" sd="0" x="440"/>
        <item h="1" sd="0" m="1" x="950"/>
        <item h="1" sd="0" m="1" x="919"/>
        <item h="1" sd="0" m="1" x="937"/>
        <item h="1" sd="0" m="1" x="869"/>
        <item h="1" sd="0" x="84"/>
        <item h="1" sd="0" x="106"/>
        <item h="1" sd="0" x="729"/>
        <item h="1" sd="0" m="1" x="780"/>
        <item h="1" sd="0" x="526"/>
        <item h="1" sd="0" x="592"/>
        <item h="1" sd="0" x="484"/>
        <item h="1" sd="0" x="336"/>
        <item h="1" sd="0" x="659"/>
        <item h="1" sd="0" x="669"/>
        <item h="1" sd="0" m="1" x="943"/>
        <item h="1" sd="0" x="560"/>
        <item h="1" sd="0" x="716"/>
        <item sd="0" x="711"/>
        <item sd="0" x="599"/>
        <item h="1" sd="0" m="1" x="782"/>
        <item h="1" sd="0" m="1" x="777"/>
        <item h="1" sd="0" m="1" x="930"/>
        <item h="1" sd="0" m="1" x="810"/>
        <item h="1" sd="0" x="515"/>
        <item h="1" sd="0" x="717"/>
        <item h="1" sd="0" x="677"/>
        <item h="1" sd="0" x="699"/>
        <item h="1" sd="0" m="1" x="960"/>
        <item h="1" sd="0" m="1" x="811"/>
        <item h="1" sd="0" x="16"/>
        <item h="1" sd="0" m="1" x="894"/>
        <item h="1" sd="0" x="407"/>
        <item h="1" sd="0" x="603"/>
        <item h="1" sd="0" m="1" x="939"/>
        <item h="1" sd="0" m="1" x="851"/>
        <item h="1" sd="0" x="280"/>
        <item h="1" sd="0" x="104"/>
        <item h="1" sd="0" x="332"/>
        <item h="1" sd="0" m="1" x="874"/>
        <item h="1" sd="0" x="348"/>
        <item h="1" sd="0" x="23"/>
        <item sd="0" x="694"/>
        <item h="1" sd="0" m="1" x="82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20"/>
        <item h="1" sd="0" m="1" x="995"/>
        <item h="1" sd="0" x="87"/>
        <item h="1" sd="0" x="501"/>
        <item h="1" sd="0" x="691"/>
        <item h="1" sd="0" x="450"/>
        <item h="1" sd="0" x="33"/>
        <item h="1" sd="0" x="19"/>
        <item h="1" sd="0" x="389"/>
        <item h="1" sd="0" m="1" x="784"/>
        <item h="1" sd="0" x="403"/>
        <item h="1" sd="0" x="20"/>
        <item h="1" sd="0" m="1" x="796"/>
        <item h="1" sd="0" x="584"/>
        <item h="1" sd="0" x="96"/>
        <item h="1" sd="0" x="555"/>
        <item h="1" sd="0" x="438"/>
        <item h="1" sd="0" m="1" x="823"/>
        <item h="1" sd="0" m="1" x="1012"/>
        <item h="1" sd="0" m="1" x="989"/>
        <item h="1" sd="0" m="1" x="862"/>
        <item h="1" sd="0" x="588"/>
        <item h="1" sd="0" x="120"/>
        <item h="1" sd="0" x="590"/>
        <item h="1" sd="0" x="131"/>
        <item h="1" sd="0" x="119"/>
        <item h="1" sd="0" m="1" x="941"/>
        <item h="1" sd="0" m="1" x="905"/>
        <item h="1" sd="0" m="1" x="932"/>
        <item h="1" sd="0" m="1" x="794"/>
        <item h="1" sd="0" m="1" x="917"/>
        <item h="1" sd="0" x="228"/>
        <item h="1" sd="0" x="39"/>
        <item h="1" sd="0" x="619"/>
        <item h="1" sd="0" x="108"/>
        <item h="1" sd="0" x="24"/>
        <item h="1" x="731"/>
        <item h="1" sd="0" x="139"/>
        <item h="1" sd="0" x="393"/>
        <item h="1" sd="0" m="1" x="999"/>
        <item h="1" sd="0" x="613"/>
        <item h="1" sd="0" x="17"/>
        <item h="1" sd="0" x="461"/>
        <item h="1" x="744"/>
        <item h="1" x="771"/>
        <item h="1" sd="0" x="441"/>
        <item h="1" sd="0" x="248"/>
        <item h="1" sd="0" x="48"/>
        <item h="1" sd="0" m="1" x="913"/>
        <item h="1" sd="0" m="1" x="974"/>
        <item h="1" sd="0" x="134"/>
        <item h="1" sd="0" x="596"/>
        <item h="1" sd="0" m="1" x="883"/>
        <item h="1" sd="0" x="69"/>
        <item h="1" sd="0" x="654"/>
        <item h="1" sd="0" m="1" x="947"/>
        <item h="1" sd="0" x="34"/>
        <item h="1" sd="0" x="206"/>
        <item h="1" sd="0" m="1" x="1015"/>
        <item h="1" sd="0" m="1" x="889"/>
        <item h="1" sd="0" m="1" x="908"/>
        <item h="1" sd="0" m="1" x="850"/>
        <item h="1" sd="0" x="268"/>
        <item h="1" sd="0" x="376"/>
        <item h="1" sd="0" x="331"/>
        <item h="1" sd="0" m="1" x="842"/>
        <item h="1" sd="0" x="360"/>
        <item h="1" sd="0" m="1" x="990"/>
        <item h="1" sd="0" x="89"/>
        <item h="1" sd="0" x="355"/>
        <item sd="0" x="642"/>
        <item h="1" sd="0" m="1" x="888"/>
        <item h="1" sd="0" x="168"/>
        <item h="1" sd="0" m="1" x="785"/>
        <item h="1" sd="0" m="1" x="778"/>
        <item h="1" sd="0" x="473"/>
        <item h="1" sd="0" x="272"/>
        <item h="1" sd="0" x="523"/>
        <item h="1" sd="0" x="51"/>
        <item h="1" sd="0" x="190"/>
        <item h="1" sd="0" x="625"/>
        <item h="1" sd="0" x="50"/>
        <item h="1" sd="0" x="79"/>
        <item h="1" sd="0" x="32"/>
        <item h="1" sd="0" m="1" x="977"/>
        <item h="1" sd="0" x="667"/>
        <item h="1" sd="0" x="188"/>
        <item h="1" x="767"/>
        <item h="1" sd="0" x="110"/>
        <item h="1" sd="0" m="1" x="996"/>
        <item h="1" sd="0" m="1" x="993"/>
        <item h="1" sd="0" m="1" x="898"/>
        <item h="1" sd="0" m="1" x="844"/>
        <item h="1" sd="0" m="1" x="893"/>
        <item h="1" sd="0" m="1" x="865"/>
        <item h="1" sd="0" x="226"/>
        <item h="1" sd="0" x="57"/>
        <item h="1" sd="0" m="1" x="896"/>
        <item h="1" sd="0" x="530"/>
        <item h="1" sd="0" x="554"/>
        <item h="1" x="736"/>
        <item h="1" sd="0" x="340"/>
        <item h="1" sd="0" x="604"/>
        <item h="1" sd="0" x="265"/>
        <item h="1" sd="0" x="448"/>
        <item h="1" sd="0" x="628"/>
        <item h="1" x="773"/>
        <item h="1" sd="0" m="1" x="935"/>
        <item h="1" sd="0" x="294"/>
        <item h="1" sd="0" m="1" x="923"/>
        <item h="1" sd="0" x="585"/>
        <item h="1" sd="0" x="583"/>
        <item h="1" sd="0" x="62"/>
        <item h="1" sd="0" x="295"/>
        <item h="1" sd="0" x="3"/>
        <item h="1" sd="0" x="151"/>
        <item h="1" sd="0" x="415"/>
        <item h="1" sd="0" x="503"/>
        <item h="1" sd="0" x="210"/>
        <item h="1" sd="0" x="54"/>
        <item h="1" sd="0" m="1" x="955"/>
        <item h="1" sd="0" m="1" x="938"/>
        <item h="1" sd="0" x="387"/>
        <item h="1" sd="0" m="1" x="797"/>
        <item h="1" sd="0" x="323"/>
        <item h="1" sd="0" x="715"/>
        <item h="1" sd="0" x="678"/>
        <item h="1" sd="0" m="1" x="831"/>
        <item h="1" sd="0" x="75"/>
        <item h="1" sd="0" x="476"/>
        <item h="1" sd="0" x="527"/>
        <item h="1" sd="0" m="1" x="860"/>
        <item h="1" sd="0" x="186"/>
        <item h="1" sd="0" x="486"/>
        <item h="1" sd="0" x="674"/>
        <item h="1" sd="0" x="429"/>
        <item h="1" sd="0" x="361"/>
        <item h="1" sd="0" x="368"/>
        <item sd="0" x="723"/>
        <item sd="0" x="769"/>
        <item h="1" sd="0" x="327"/>
        <item h="1" sd="0" x="195"/>
        <item h="1" sd="0" x="688"/>
        <item h="1" sd="0" x="566"/>
        <item h="1" sd="0" m="1" x="928"/>
        <item h="1" sd="0" m="1" x="968"/>
        <item h="1" sd="0" x="123"/>
        <item h="1" sd="0" x="497"/>
        <item sd="0" x="721"/>
        <item h="1" sd="0" m="1" x="857"/>
        <item h="1" sd="0" x="194"/>
        <item h="1" sd="0" x="557"/>
        <item h="1" sd="0" x="663"/>
        <item h="1" sd="0" x="121"/>
        <item h="1" x="775"/>
        <item h="1" sd="0" x="53"/>
        <item h="1" sd="0" x="472"/>
        <item h="1" sd="0" x="549"/>
        <item h="1" sd="0" x="565"/>
        <item h="1" sd="0" m="1" x="985"/>
        <item h="1" m="1" x="909"/>
        <item h="1" sd="0" x="278"/>
        <item h="1" x="753"/>
        <item h="1" sd="0" x="212"/>
        <item h="1" sd="0" m="1" x="866"/>
        <item h="1" sd="0" m="1" x="970"/>
        <item h="1" sd="0" m="1" x="961"/>
        <item h="1" sd="0" x="631"/>
        <item h="1" sd="0" m="1" x="1028"/>
        <item h="1" sd="0" m="1" x="812"/>
        <item h="1" sd="0" x="675"/>
        <item h="1" sd="0" m="1" x="1022"/>
        <item h="1" sd="0" x="692"/>
        <item h="1" sd="0" x="117"/>
        <item h="1" sd="0" x="111"/>
        <item h="1" sd="0" x="671"/>
        <item h="1" sd="0" x="502"/>
        <item h="1" sd="0" x="417"/>
        <item h="1" sd="0" x="81"/>
        <item h="1" sd="0" x="7"/>
        <item h="1" sd="0" x="235"/>
        <item h="1" sd="0" x="434"/>
        <item h="1" sd="0" x="287"/>
        <item h="1" sd="0" m="1" x="959"/>
        <item h="1" sd="0" m="1" x="1006"/>
        <item h="1" sd="0" x="491"/>
        <item h="1" sd="0" x="724"/>
        <item h="1" sd="0" x="2"/>
        <item h="1" sd="0" x="637"/>
        <item h="1" sd="0" m="1" x="1021"/>
        <item h="1" sd="0" m="1" x="879"/>
        <item h="1" sd="0" x="693"/>
        <item h="1" sd="0" x="536"/>
        <item h="1" sd="0" x="163"/>
        <item h="1" sd="0" x="431"/>
        <item h="1" sd="0" m="1" x="953"/>
        <item h="1" sd="0" x="650"/>
        <item h="1" sd="0" x="680"/>
        <item h="1" sd="0" x="478"/>
        <item h="1" sd="0" x="602"/>
        <item h="1" sd="0" m="1" x="839"/>
        <item h="1" sd="0" x="445"/>
        <item h="1" sd="0" m="1" x="825"/>
        <item h="1" sd="0" m="1" x="1029"/>
        <item h="1" sd="0" m="1" x="791"/>
        <item h="1" sd="0" m="1" x="788"/>
        <item h="1" sd="0" x="130"/>
        <item h="1" sd="0" x="88"/>
        <item h="1" sd="0" m="1" x="1024"/>
        <item h="1" sd="0" x="204"/>
        <item h="1" sd="0" x="72"/>
        <item h="1" sd="0" x="73"/>
        <item h="1" sd="0" x="28"/>
        <item h="1" sd="0" x="47"/>
        <item h="1" sd="0" x="181"/>
        <item h="1" sd="0" x="26"/>
        <item h="1" sd="0" x="86"/>
        <item h="1" sd="0" x="230"/>
        <item h="1" sd="0" m="1" x="895"/>
        <item h="1" sd="0" m="1" x="878"/>
        <item h="1" x="739"/>
        <item h="1" sd="0" m="1" x="914"/>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4"/>
        <item h="1" sd="0" x="178"/>
        <item h="1" sd="0" x="266"/>
        <item h="1" sd="0" x="364"/>
        <item h="1" sd="0" x="525"/>
        <item h="1" sd="0" x="98"/>
        <item h="1" sd="0" x="589"/>
        <item h="1" sd="0" x="165"/>
        <item h="1" sd="0" x="580"/>
        <item h="1" sd="0" x="66"/>
        <item sd="0" x="689"/>
        <item h="1" sd="0" x="5"/>
        <item h="1" sd="0" x="388"/>
        <item h="1" sd="0" x="545"/>
        <item h="1" sd="0" x="576"/>
        <item h="1" m="1" x="924"/>
        <item sd="0" x="635"/>
        <item h="1" sd="0" m="1" x="838"/>
        <item h="1" sd="0" x="359"/>
        <item h="1" sd="0" m="1" x="1019"/>
        <item h="1" sd="0" x="425"/>
        <item h="1" sd="0" x="269"/>
        <item h="1" sd="0" x="215"/>
        <item h="1" sd="0" x="349"/>
        <item h="1" sd="0" x="283"/>
        <item h="1" sd="0" x="185"/>
        <item h="1" sd="0" x="460"/>
        <item h="1" sd="0" x="220"/>
        <item h="1" sd="0" x="705"/>
        <item h="1" sd="0" x="598"/>
        <item h="1" sd="0" x="644"/>
        <item h="1" x="756"/>
        <item h="1" sd="0" x="624"/>
        <item h="1" sd="0" x="547"/>
        <item h="1" sd="0" m="1" x="1007"/>
        <item h="1" sd="0" m="1" x="783"/>
        <item h="1" sd="0" x="4"/>
        <item h="1" sd="0" x="377"/>
        <item h="1" sd="0" x="262"/>
        <item h="1" sd="0" x="454"/>
        <item h="1" sd="0" x="326"/>
        <item h="1" sd="0" x="173"/>
        <item h="1" sd="0" x="200"/>
        <item h="1" sd="0" m="1" x="822"/>
        <item h="1" sd="0" x="727"/>
        <item h="1" sd="0" x="495"/>
        <item h="1" sd="0" x="345"/>
        <item h="1" sd="0" x="719"/>
        <item h="1" sd="0" x="568"/>
        <item h="1" sd="0" x="640"/>
        <item h="1" sd="0" x="482"/>
        <item h="1" sd="0" x="728"/>
        <item h="1" sd="0" x="30"/>
        <item h="1" sd="0" m="1" x="956"/>
        <item h="1" sd="0" x="242"/>
        <item h="1" sd="0" x="591"/>
        <item h="1" sd="0" x="645"/>
        <item h="1" sd="0" m="1" x="885"/>
        <item h="1" sd="0" m="1" x="792"/>
        <item h="1" sd="0" x="695"/>
        <item h="1" sd="0" x="470"/>
        <item h="1" sd="0" x="243"/>
        <item h="1" sd="0" m="1" x="1001"/>
        <item h="1" sd="0" x="622"/>
        <item h="1" sd="0" x="398"/>
        <item h="1" sd="0" m="1" x="832"/>
        <item h="1" sd="0" m="1" x="1004"/>
        <item h="1" sd="0" m="1" x="903"/>
        <item h="1" sd="0" x="551"/>
        <item h="1" sd="0" x="303"/>
        <item h="1" sd="0" x="532"/>
        <item h="1" sd="0" x="37"/>
        <item h="1" sd="0" x="357"/>
        <item h="1" sd="0" x="487"/>
        <item h="1" sd="0" x="658"/>
        <item h="1" sd="0" x="687"/>
        <item h="1" sd="0" x="512"/>
        <item h="1" sd="0" m="1" x="897"/>
        <item h="1" sd="0" m="1" x="949"/>
        <item h="1" sd="0" x="115"/>
        <item h="1" sd="0" m="1" x="998"/>
        <item h="1" sd="0" m="1" x="803"/>
        <item h="1" sd="0" x="324"/>
        <item sd="0" x="518"/>
        <item h="1" sd="0" m="1" x="867"/>
        <item h="1" sd="0" x="128"/>
        <item h="1" sd="0" x="520"/>
        <item h="1" sd="0" m="1" x="1005"/>
        <item h="1" sd="0" m="1" x="981"/>
        <item h="1" sd="0" x="255"/>
        <item h="1" sd="0" x="199"/>
        <item h="1" sd="0" x="329"/>
        <item h="1" sd="0" x="297"/>
        <item h="1" sd="0" x="310"/>
        <item h="1" x="743"/>
        <item h="1" sd="0" x="83"/>
        <item h="1" sd="0" m="1" x="904"/>
        <item h="1" sd="0" x="600"/>
        <item h="1" sd="0" m="1" x="786"/>
        <item h="1" sd="0" x="80"/>
        <item h="1" sd="0" m="1" x="856"/>
        <item h="1" sd="0" m="1" x="994"/>
        <item h="1" sd="0" x="97"/>
        <item h="1" sd="0" x="564"/>
        <item h="1" sd="0" x="289"/>
        <item h="1" sd="0" m="1" x="944"/>
        <item h="1" sd="0" x="116"/>
        <item h="1" sd="0" x="209"/>
        <item h="1" sd="0" x="452"/>
        <item h="1" sd="0" x="685"/>
        <item h="1" sd="0" x="198"/>
        <item h="1" sd="0" x="401"/>
        <item h="1" sd="0" x="656"/>
        <item h="1" sd="0" x="150"/>
        <item h="1" sd="0" x="136"/>
        <item h="1" sd="0" m="1" x="884"/>
        <item h="1" sd="0" x="676"/>
        <item h="1" sd="0" m="1" x="816"/>
        <item h="1" sd="0" x="109"/>
        <item h="1" sd="0" x="397"/>
        <item sd="0" x="664"/>
        <item h="1" sd="0" x="498"/>
        <item h="1" sd="0" x="708"/>
        <item h="1" sd="0" x="649"/>
        <item h="1" sd="0" x="514"/>
        <item h="1" sd="0" x="558"/>
        <item h="1" sd="0" x="524"/>
        <item h="1" sd="0" m="1" x="863"/>
        <item h="1" sd="0" x="660"/>
        <item h="1" sd="0" m="1" x="965"/>
        <item h="1" x="334"/>
        <item sd="0" x="760"/>
        <item h="1" sd="0" x="730"/>
        <item h="1" sd="0" x="284"/>
        <item h="1" sd="0" x="296"/>
        <item h="1" sd="0" x="211"/>
        <item h="1" sd="0" x="582"/>
        <item h="1" sd="0" x="45"/>
        <item h="1" sd="0" m="1" x="945"/>
        <item h="1" sd="0" m="1" x="936"/>
        <item h="1" sd="0" x="507"/>
        <item h="1" sd="0" x="155"/>
        <item h="1" sd="0" m="1" x="966"/>
        <item h="1" sd="0" x="61"/>
        <item h="1" sd="0" x="129"/>
        <item h="1" sd="0" x="105"/>
        <item h="1" sd="0" x="614"/>
        <item sd="0" x="718"/>
        <item h="1" sd="0" m="1" x="809"/>
        <item h="1" sd="0" x="157"/>
        <item h="1" sd="0" x="14"/>
        <item h="1" sd="0" x="43"/>
        <item h="1" sd="0" x="250"/>
        <item h="1" sd="0" x="238"/>
        <item h="1" sd="0" x="103"/>
        <item h="1" sd="0" x="385"/>
        <item h="1" sd="0" x="70"/>
        <item h="1" sd="0" x="299"/>
        <item h="1" sd="0" x="127"/>
        <item h="1" sd="0" m="1" x="779"/>
        <item h="1" sd="0" x="193"/>
        <item h="1" sd="0" x="147"/>
        <item h="1" sd="0" m="1" x="899"/>
        <item h="1" sd="0" x="548"/>
        <item h="1" sd="0" m="1" x="920"/>
        <item h="1" sd="0" x="610"/>
        <item h="1" sd="0" x="405"/>
        <item sd="0" x="751"/>
        <item h="1" sd="0" m="1" x="854"/>
        <item h="1" m="1" x="836"/>
        <item h="1" x="594"/>
        <item h="1" sd="0" x="99"/>
        <item h="1" sd="0" x="344"/>
        <item h="1" sd="0" x="541"/>
        <item h="1" sd="0" x="690"/>
        <item h="1" sd="0" x="612"/>
        <item h="1" sd="0" x="221"/>
        <item h="1" sd="0" x="607"/>
        <item h="1" sd="0" m="1" x="1018"/>
        <item h="1" sd="0" m="1" x="1023"/>
        <item h="1" sd="0" x="271"/>
        <item h="1" sd="0" m="1" x="931"/>
        <item h="1" sd="0" x="166"/>
        <item h="1" sd="0" x="286"/>
        <item sd="0" x="611"/>
        <item h="1" sd="0" x="531"/>
        <item h="1" sd="0" x="621"/>
        <item h="1" sd="0" x="304"/>
        <item h="1" sd="0" m="1" x="892"/>
        <item h="1" sd="0" x="458"/>
        <item h="1" sd="0" x="439"/>
        <item h="1" sd="0" x="543"/>
        <item h="1" sd="0" x="609"/>
        <item h="1" sd="0" x="138"/>
        <item h="1" sd="0" x="41"/>
        <item h="1" sd="0" x="229"/>
        <item h="1" sd="0" x="420"/>
        <item h="1" sd="0" m="1" x="952"/>
        <item h="1" sd="0" x="617"/>
        <item h="1" sd="0" x="71"/>
        <item h="1" sd="0" x="64"/>
        <item h="1" sd="0" x="492"/>
        <item h="1" sd="0" m="1" x="876"/>
        <item h="1" sd="0" m="1" x="870"/>
        <item h="1" x="734"/>
        <item h="1" sd="0" x="432"/>
        <item h="1" x="748"/>
        <item h="1" sd="0" x="540"/>
        <item h="1" sd="0" x="455"/>
        <item h="1" sd="0" x="44"/>
        <item h="1" sd="0" x="114"/>
        <item h="1" sd="0" x="52"/>
        <item h="1" sd="0" x="142"/>
        <item h="1" sd="0" x="579"/>
        <item h="1" sd="0" x="82"/>
        <item h="1" sd="0" x="245"/>
        <item h="1" sd="0" x="457"/>
        <item h="1" sd="0" x="314"/>
        <item h="1" sd="0" m="1" x="991"/>
        <item h="1" sd="0" x="373"/>
        <item h="1" sd="0" m="1" x="962"/>
        <item h="1" x="770"/>
        <item h="1" sd="0" x="722"/>
        <item h="1" sd="0" x="418"/>
        <item h="1" sd="0" x="308"/>
        <item h="1" sd="0" m="1" x="921"/>
        <item h="1" sd="0" m="1" x="988"/>
        <item h="1" sd="0" x="122"/>
        <item h="1" sd="0" x="118"/>
        <item h="1" sd="0" x="661"/>
        <item h="1" sd="0" m="1" x="942"/>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7"/>
        <item h="1" sd="0" x="652"/>
        <item h="1" sd="0" x="647"/>
        <item h="1" sd="0" x="608"/>
        <item h="1" sd="0" x="328"/>
        <item h="1" sd="0" x="350"/>
        <item h="1" sd="0" x="254"/>
        <item h="1" sd="0" x="320"/>
        <item h="1" sd="0" x="620"/>
        <item h="1" sd="0" x="241"/>
        <item h="1" sd="0" x="158"/>
        <item h="1" sd="0" m="1" x="918"/>
        <item h="1" sd="0" x="475"/>
        <item h="1" sd="0" x="416"/>
        <item h="1" sd="0" m="1" x="882"/>
        <item h="1" sd="0" m="1" x="975"/>
        <item h="1" sd="0" m="1" x="787"/>
        <item h="1" sd="0" x="529"/>
        <item h="1" sd="0" x="704"/>
        <item h="1" sd="0" x="657"/>
        <item h="1" x="742"/>
        <item h="1" sd="0" m="1" x="840"/>
        <item h="1" sd="0" x="143"/>
        <item h="1" sd="0" x="683"/>
        <item h="1" sd="0" m="1" x="979"/>
        <item h="1" sd="0" x="276"/>
        <item h="1" sd="0" x="298"/>
        <item h="1" sd="0" x="424"/>
        <item h="1" sd="0" x="697"/>
        <item h="1" sd="0" x="346"/>
        <item h="1" sd="0" x="485"/>
        <item h="1" sd="0" x="306"/>
        <item h="1" sd="0" x="561"/>
        <item h="1" sd="0" m="1" x="1003"/>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7"/>
        <item h="1" sd="0" m="1" x="922"/>
        <item h="1" sd="0" x="578"/>
        <item h="1" sd="0" m="1" x="1025"/>
        <item h="1" sd="0" x="552"/>
        <item h="1" sd="0" m="1" x="877"/>
        <item h="1" sd="0" m="1" x="859"/>
        <item h="1" sd="0" m="1" x="858"/>
        <item h="1" sd="0" x="382"/>
        <item h="1" sd="0" x="90"/>
        <item h="1" sd="0" x="390"/>
        <item h="1" sd="0" x="202"/>
        <item h="1" sd="0" x="67"/>
        <item h="1" sd="0" m="1" x="954"/>
        <item h="1" sd="0" x="702"/>
        <item h="1" sd="0" x="65"/>
        <item h="1" sd="0" x="247"/>
        <item h="1" sd="0" m="1" x="829"/>
        <item h="1" sd="0" x="714"/>
        <item h="1" sd="0" x="216"/>
        <item h="1" sd="0" m="1" x="841"/>
        <item h="1" sd="0" x="141"/>
        <item h="1" sd="0" x="177"/>
        <item h="1" sd="0" x="305"/>
        <item h="1" sd="0" m="1" x="837"/>
        <item h="1" sd="0" x="426"/>
        <item h="1" sd="0" x="404"/>
        <item sd="0" x="655"/>
        <item h="1" x="740"/>
        <item h="1" sd="0" x="400"/>
        <item h="1" sd="0" x="347"/>
        <item h="1" sd="0" m="1" x="1017"/>
        <item h="1" sd="0" m="1" x="902"/>
        <item h="1" sd="0" x="293"/>
        <item h="1" sd="0" x="148"/>
        <item h="1" sd="0" x="354"/>
        <item h="1" sd="0" m="1" x="957"/>
        <item h="1" sd="0" x="27"/>
        <item h="1" sd="0" m="1" x="967"/>
        <item h="1" sd="0" x="707"/>
        <item h="1" sd="0" x="68"/>
        <item h="1" sd="0" x="6"/>
        <item h="1" sd="0" x="263"/>
        <item h="1" sd="0" x="154"/>
        <item h="1" x="766"/>
        <item h="1" sd="0" x="493"/>
        <item h="1" sd="0" x="494"/>
        <item sd="0" x="747"/>
        <item h="1" sd="0" x="164"/>
        <item h="1" sd="0" x="172"/>
        <item h="1" sd="0" x="601"/>
        <item h="1" sd="0" x="205"/>
        <item h="1" sd="0" x="351"/>
        <item h="1" sd="0" x="480"/>
        <item h="1" sd="0" m="1" x="843"/>
        <item h="1" sd="0" x="586"/>
        <item h="1" sd="0" x="412"/>
        <item h="1" sd="0" x="516"/>
        <item h="1" sd="0" x="29"/>
        <item h="1" sd="0" m="1" x="1011"/>
        <item h="1" sd="0" x="9"/>
        <item h="1" x="764"/>
        <item h="1" sd="0" x="335"/>
        <item h="1" sd="0" m="1" x="906"/>
        <item h="1" sd="0" m="1" x="933"/>
        <item h="1" sd="0" m="1" x="872"/>
        <item h="1" sd="0" x="234"/>
        <item h="1" sd="0" x="162"/>
        <item h="1" sd="0" x="410"/>
        <item h="1" sd="0" m="1" x="845"/>
        <item h="1" sd="0" x="629"/>
        <item h="1" sd="0" m="1" x="978"/>
        <item h="1" sd="0" m="1" x="1008"/>
        <item h="1" sd="0" x="477"/>
        <item h="1" sd="0" x="544"/>
        <item h="1" sd="0" x="546"/>
        <item h="1" sd="0" m="1" x="830"/>
        <item h="1" sd="0" x="615"/>
        <item h="1" sd="0" x="682"/>
        <item h="1" sd="0" m="1" x="992"/>
        <item h="1" sd="0" x="300"/>
        <item h="1" sd="0" x="167"/>
        <item h="1" sd="0" x="76"/>
        <item h="1" sd="0" x="444"/>
        <item h="1" sd="0" m="1" x="971"/>
        <item h="1" sd="0" x="342"/>
        <item sd="0" x="737"/>
        <item h="1" x="772"/>
        <item h="1" sd="0" x="341"/>
        <item h="1" sd="0" m="1" x="805"/>
        <item h="1" sd="0" m="1" x="868"/>
        <item h="1" sd="0" x="618"/>
        <item h="1" sd="0" m="1" x="946"/>
        <item h="1" sd="0" m="1" x="925"/>
        <item h="1" sd="0" x="380"/>
        <item h="1" sd="0" x="433"/>
        <item h="1" sd="0" m="1" x="964"/>
        <item h="1" sd="0" x="113"/>
        <item h="1" x="774"/>
        <item h="1" sd="0" x="559"/>
        <item h="1" sd="0" x="251"/>
        <item h="1" sd="0" x="176"/>
        <item h="1" sd="0" x="446"/>
        <item h="1" sd="0" x="372"/>
        <item h="1" sd="0" x="246"/>
        <item h="1" x="735"/>
        <item h="1" sd="0" m="1" x="793"/>
        <item h="1" sd="0" x="257"/>
        <item h="1" sd="0" x="95"/>
        <item h="1" x="776"/>
        <item sd="0" x="338"/>
        <item h="1" sd="0" x="36"/>
        <item h="1" sd="0" m="1" x="847"/>
        <item h="1" sd="0" x="381"/>
        <item h="1" sd="0" x="21"/>
        <item t="default" sd="0"/>
      </items>
    </pivotField>
    <pivotField axis="axisPage" showAll="0">
      <items count="928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7"/>
        <item x="9180"/>
        <item x="9157"/>
        <item x="9173"/>
        <item x="9162"/>
        <item x="9163"/>
        <item x="9164"/>
        <item x="9165"/>
        <item x="9166"/>
        <item x="9167"/>
        <item x="9117"/>
        <item x="9118"/>
        <item x="9119"/>
        <item x="9120"/>
        <item x="9121"/>
        <item x="9122"/>
        <item x="9176"/>
        <item x="9178"/>
        <item x="9179"/>
        <item x="9181"/>
        <item x="9270"/>
        <item x="9271"/>
        <item x="9273"/>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62"/>
        <item x="9263"/>
        <item x="9264"/>
        <item x="9055"/>
        <item x="9183"/>
        <item x="9185"/>
        <item x="9194"/>
        <item x="9205"/>
        <item x="9206"/>
        <item x="9207"/>
        <item x="9208"/>
        <item x="9209"/>
        <item x="9210"/>
        <item x="9211"/>
        <item x="9212"/>
        <item x="9213"/>
        <item x="9214"/>
        <item x="9218"/>
        <item x="9216"/>
        <item x="9217"/>
        <item x="9219"/>
        <item x="9220"/>
        <item x="9221"/>
        <item x="9274"/>
        <item x="9265"/>
        <item x="9275"/>
        <item x="9276"/>
        <item x="9222"/>
        <item x="9223"/>
        <item x="9224"/>
        <item x="9225"/>
        <item x="9226"/>
        <item x="9227"/>
        <item x="9229"/>
        <item x="9266"/>
        <item x="9267"/>
        <item x="9268"/>
        <item x="9277"/>
        <item x="9278"/>
        <item x="9279"/>
        <item x="9280"/>
        <item x="9281"/>
        <item x="9228"/>
        <item x="9230"/>
        <item x="9231"/>
        <item x="9232"/>
        <item x="9233"/>
        <item x="9234"/>
        <item x="9235"/>
        <item x="9236"/>
        <item x="9237"/>
        <item x="9238"/>
        <item x="9239"/>
        <item x="9240"/>
        <item x="9241"/>
        <item x="9242"/>
        <item x="9243"/>
        <item x="9244"/>
        <item x="9246"/>
        <item x="9272"/>
        <item x="9215"/>
        <item x="9282"/>
        <item x="9284"/>
        <item x="9160"/>
        <item x="9161"/>
        <item x="9245"/>
        <item x="9247"/>
        <item x="9248"/>
        <item x="9249"/>
        <item x="9250"/>
        <item x="9251"/>
        <item x="9252"/>
        <item x="9253"/>
        <item x="9254"/>
        <item x="9255"/>
        <item x="9256"/>
        <item x="9257"/>
        <item x="9258"/>
        <item x="9259"/>
        <item x="9260"/>
        <item x="9261"/>
        <item x="9269"/>
        <item x="9283"/>
        <item x="9285"/>
        <item x="9286"/>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29">
      <pivotArea type="all" dataOnly="0" outline="0" fieldPosition="0"/>
    </format>
    <format dxfId="428">
      <pivotArea outline="0" collapsedLevelsAreSubtotals="1" fieldPosition="0"/>
    </format>
    <format dxfId="427">
      <pivotArea dataOnly="0" labelOnly="1" outline="0" fieldPosition="0">
        <references count="1">
          <reference field="4294967294" count="3">
            <x v="0"/>
            <x v="1"/>
            <x v="2"/>
          </reference>
        </references>
      </pivotArea>
    </format>
    <format dxfId="426">
      <pivotArea type="all" dataOnly="0" outline="0" fieldPosition="0"/>
    </format>
    <format dxfId="425">
      <pivotArea outline="0" collapsedLevelsAreSubtotals="1" fieldPosition="0"/>
    </format>
    <format dxfId="424">
      <pivotArea field="1" type="button" dataOnly="0" labelOnly="1" outline="0" axis="axisRow" fieldPosition="1"/>
    </format>
    <format dxfId="4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21">
      <pivotArea dataOnly="0" labelOnly="1" grandRow="1" outline="0" fieldPosition="0"/>
    </format>
    <format dxfId="420">
      <pivotArea dataOnly="0" labelOnly="1" outline="0" fieldPosition="0">
        <references count="1">
          <reference field="4294967294" count="3">
            <x v="0"/>
            <x v="1"/>
            <x v="2"/>
          </reference>
        </references>
      </pivotArea>
    </format>
    <format dxfId="419">
      <pivotArea type="all" dataOnly="0" outline="0" fieldPosition="0"/>
    </format>
    <format dxfId="418">
      <pivotArea outline="0" collapsedLevelsAreSubtotals="1" fieldPosition="0"/>
    </format>
    <format dxfId="417">
      <pivotArea field="1" type="button" dataOnly="0" labelOnly="1" outline="0" axis="axisRow" fieldPosition="1"/>
    </format>
    <format dxfId="4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4">
      <pivotArea dataOnly="0" labelOnly="1" grandRow="1" outline="0" fieldPosition="0"/>
    </format>
    <format dxfId="413">
      <pivotArea dataOnly="0" labelOnly="1" outline="0" fieldPosition="0">
        <references count="1">
          <reference field="4294967294" count="3">
            <x v="0"/>
            <x v="1"/>
            <x v="2"/>
          </reference>
        </references>
      </pivotArea>
    </format>
    <format dxfId="412">
      <pivotArea type="all" dataOnly="0" outline="0" fieldPosition="0"/>
    </format>
    <format dxfId="411">
      <pivotArea outline="0" collapsedLevelsAreSubtotals="1" fieldPosition="0"/>
    </format>
    <format dxfId="410">
      <pivotArea field="1" type="button" dataOnly="0" labelOnly="1" outline="0" axis="axisRow" fieldPosition="1"/>
    </format>
    <format dxfId="4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07">
      <pivotArea dataOnly="0" labelOnly="1" grandRow="1" outline="0" fieldPosition="0"/>
    </format>
    <format dxfId="406">
      <pivotArea dataOnly="0" labelOnly="1" outline="0" fieldPosition="0">
        <references count="1">
          <reference field="4294967294" count="3">
            <x v="0"/>
            <x v="1"/>
            <x v="2"/>
          </reference>
        </references>
      </pivotArea>
    </format>
    <format dxfId="405">
      <pivotArea dataOnly="0" labelOnly="1" outline="0" fieldPosition="0">
        <references count="1">
          <reference field="4294967294" count="1">
            <x v="2"/>
          </reference>
        </references>
      </pivotArea>
    </format>
    <format dxfId="404">
      <pivotArea dataOnly="0" labelOnly="1" outline="0" fieldPosition="0">
        <references count="1">
          <reference field="4294967294" count="1">
            <x v="2"/>
          </reference>
        </references>
      </pivotArea>
    </format>
    <format dxfId="403">
      <pivotArea dataOnly="0" labelOnly="1" outline="0" fieldPosition="0">
        <references count="1">
          <reference field="4294967294" count="2">
            <x v="0"/>
            <x v="1"/>
          </reference>
        </references>
      </pivotArea>
    </format>
    <format dxfId="402">
      <pivotArea dataOnly="0" labelOnly="1" outline="0" fieldPosition="0">
        <references count="1">
          <reference field="4294967294" count="2">
            <x v="0"/>
            <x v="1"/>
          </reference>
        </references>
      </pivotArea>
    </format>
    <format dxfId="401">
      <pivotArea dataOnly="0" labelOnly="1" outline="0" fieldPosition="0">
        <references count="1">
          <reference field="4294967294" count="2">
            <x v="0"/>
            <x v="1"/>
          </reference>
        </references>
      </pivotArea>
    </format>
    <format dxfId="400">
      <pivotArea dataOnly="0" labelOnly="1" outline="0" fieldPosition="0">
        <references count="1">
          <reference field="4294967294" count="2">
            <x v="0"/>
            <x v="1"/>
          </reference>
        </references>
      </pivotArea>
    </format>
    <format dxfId="399">
      <pivotArea field="1" type="button" dataOnly="0" labelOnly="1" outline="0" axis="axisRow" fieldPosition="1"/>
    </format>
    <format dxfId="398">
      <pivotArea field="1" type="button" dataOnly="0" labelOnly="1" outline="0" axis="axisRow" fieldPosition="1"/>
    </format>
    <format dxfId="397">
      <pivotArea field="1" type="button" dataOnly="0" labelOnly="1" outline="0" axis="axisRow" fieldPosition="1"/>
    </format>
    <format dxfId="396">
      <pivotArea dataOnly="0" labelOnly="1" outline="0" fieldPosition="0">
        <references count="1">
          <reference field="4294967294" count="3">
            <x v="0"/>
            <x v="1"/>
            <x v="2"/>
          </reference>
        </references>
      </pivotArea>
    </format>
    <format dxfId="395">
      <pivotArea field="1" type="button" dataOnly="0" labelOnly="1" outline="0" axis="axisRow" fieldPosition="1"/>
    </format>
    <format dxfId="394">
      <pivotArea dataOnly="0" labelOnly="1" outline="0" fieldPosition="0">
        <references count="1">
          <reference field="4294967294" count="3">
            <x v="0"/>
            <x v="1"/>
            <x v="2"/>
          </reference>
        </references>
      </pivotArea>
    </format>
    <format dxfId="393">
      <pivotArea outline="0" collapsedLevelsAreSubtotals="1" fieldPosition="0"/>
    </format>
    <format dxfId="3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90">
      <pivotArea dataOnly="0" labelOnly="1" grandRow="1" outline="0" fieldPosition="0"/>
    </format>
    <format dxfId="389">
      <pivotArea collapsedLevelsAreSubtotals="1" fieldPosition="0">
        <references count="1">
          <reference field="1" count="1">
            <x v="67"/>
          </reference>
        </references>
      </pivotArea>
    </format>
    <format dxfId="388">
      <pivotArea collapsedLevelsAreSubtotals="1" fieldPosition="0">
        <references count="1">
          <reference field="1" count="1">
            <x v="68"/>
          </reference>
        </references>
      </pivotArea>
    </format>
    <format dxfId="387">
      <pivotArea collapsedLevelsAreSubtotals="1" fieldPosition="0">
        <references count="1">
          <reference field="1" count="1">
            <x v="69"/>
          </reference>
        </references>
      </pivotArea>
    </format>
    <format dxfId="386">
      <pivotArea collapsedLevelsAreSubtotals="1" fieldPosition="0">
        <references count="1">
          <reference field="1" count="1">
            <x v="70"/>
          </reference>
        </references>
      </pivotArea>
    </format>
    <format dxfId="385">
      <pivotArea collapsedLevelsAreSubtotals="1" fieldPosition="0">
        <references count="1">
          <reference field="1" count="1">
            <x v="71"/>
          </reference>
        </references>
      </pivotArea>
    </format>
    <format dxfId="384">
      <pivotArea collapsedLevelsAreSubtotals="1" fieldPosition="0">
        <references count="1">
          <reference field="1" count="1">
            <x v="72"/>
          </reference>
        </references>
      </pivotArea>
    </format>
    <format dxfId="383">
      <pivotArea collapsedLevelsAreSubtotals="1" fieldPosition="0">
        <references count="1">
          <reference field="1" count="1">
            <x v="73"/>
          </reference>
        </references>
      </pivotArea>
    </format>
    <format dxfId="382">
      <pivotArea collapsedLevelsAreSubtotals="1" fieldPosition="0">
        <references count="1">
          <reference field="1" count="1">
            <x v="74"/>
          </reference>
        </references>
      </pivotArea>
    </format>
    <format dxfId="381">
      <pivotArea collapsedLevelsAreSubtotals="1" fieldPosition="0">
        <references count="1">
          <reference field="1" count="1">
            <x v="75"/>
          </reference>
        </references>
      </pivotArea>
    </format>
    <format dxfId="380">
      <pivotArea collapsedLevelsAreSubtotals="1" fieldPosition="0">
        <references count="1">
          <reference field="1" count="1">
            <x v="76"/>
          </reference>
        </references>
      </pivotArea>
    </format>
    <format dxfId="379">
      <pivotArea collapsedLevelsAreSubtotals="1" fieldPosition="0">
        <references count="1">
          <reference field="1" count="1">
            <x v="77"/>
          </reference>
        </references>
      </pivotArea>
    </format>
    <format dxfId="378">
      <pivotArea collapsedLevelsAreSubtotals="1" fieldPosition="0">
        <references count="1">
          <reference field="1" count="1">
            <x v="78"/>
          </reference>
        </references>
      </pivotArea>
    </format>
    <format dxfId="377">
      <pivotArea collapsedLevelsAreSubtotals="1" fieldPosition="0">
        <references count="1">
          <reference field="1" count="1">
            <x v="79"/>
          </reference>
        </references>
      </pivotArea>
    </format>
    <format dxfId="376">
      <pivotArea collapsedLevelsAreSubtotals="1" fieldPosition="0">
        <references count="1">
          <reference field="1" count="1">
            <x v="80"/>
          </reference>
        </references>
      </pivotArea>
    </format>
    <format dxfId="375">
      <pivotArea collapsedLevelsAreSubtotals="1" fieldPosition="0">
        <references count="1">
          <reference field="1" count="1">
            <x v="81"/>
          </reference>
        </references>
      </pivotArea>
    </format>
    <format dxfId="374">
      <pivotArea collapsedLevelsAreSubtotals="1" fieldPosition="0">
        <references count="1">
          <reference field="1" count="1">
            <x v="82"/>
          </reference>
        </references>
      </pivotArea>
    </format>
    <format dxfId="373">
      <pivotArea collapsedLevelsAreSubtotals="1" fieldPosition="0">
        <references count="1">
          <reference field="1" count="1">
            <x v="83"/>
          </reference>
        </references>
      </pivotArea>
    </format>
    <format dxfId="372">
      <pivotArea collapsedLevelsAreSubtotals="1" fieldPosition="0">
        <references count="1">
          <reference field="1" count="1">
            <x v="84"/>
          </reference>
        </references>
      </pivotArea>
    </format>
    <format dxfId="371">
      <pivotArea collapsedLevelsAreSubtotals="1" fieldPosition="0">
        <references count="1">
          <reference field="1" count="1">
            <x v="85"/>
          </reference>
        </references>
      </pivotArea>
    </format>
    <format dxfId="370">
      <pivotArea collapsedLevelsAreSubtotals="1" fieldPosition="0">
        <references count="1">
          <reference field="1" count="1">
            <x v="86"/>
          </reference>
        </references>
      </pivotArea>
    </format>
    <format dxfId="369">
      <pivotArea collapsedLevelsAreSubtotals="1" fieldPosition="0">
        <references count="1">
          <reference field="1" count="1">
            <x v="87"/>
          </reference>
        </references>
      </pivotArea>
    </format>
    <format dxfId="368">
      <pivotArea collapsedLevelsAreSubtotals="1" fieldPosition="0">
        <references count="1">
          <reference field="1" count="1">
            <x v="88"/>
          </reference>
        </references>
      </pivotArea>
    </format>
    <format dxfId="367">
      <pivotArea collapsedLevelsAreSubtotals="1" fieldPosition="0">
        <references count="1">
          <reference field="1" count="1">
            <x v="89"/>
          </reference>
        </references>
      </pivotArea>
    </format>
    <format dxfId="366">
      <pivotArea collapsedLevelsAreSubtotals="1" fieldPosition="0">
        <references count="1">
          <reference field="1" count="1">
            <x v="90"/>
          </reference>
        </references>
      </pivotArea>
    </format>
    <format dxfId="365">
      <pivotArea collapsedLevelsAreSubtotals="1" fieldPosition="0">
        <references count="1">
          <reference field="1" count="1">
            <x v="91"/>
          </reference>
        </references>
      </pivotArea>
    </format>
    <format dxfId="364">
      <pivotArea collapsedLevelsAreSubtotals="1" fieldPosition="0">
        <references count="1">
          <reference field="1" count="1">
            <x v="92"/>
          </reference>
        </references>
      </pivotArea>
    </format>
    <format dxfId="363">
      <pivotArea collapsedLevelsAreSubtotals="1" fieldPosition="0">
        <references count="1">
          <reference field="1" count="1">
            <x v="93"/>
          </reference>
        </references>
      </pivotArea>
    </format>
    <format dxfId="362">
      <pivotArea collapsedLevelsAreSubtotals="1" fieldPosition="0">
        <references count="1">
          <reference field="1" count="1">
            <x v="94"/>
          </reference>
        </references>
      </pivotArea>
    </format>
    <format dxfId="361">
      <pivotArea collapsedLevelsAreSubtotals="1" fieldPosition="0">
        <references count="1">
          <reference field="1" count="1">
            <x v="95"/>
          </reference>
        </references>
      </pivotArea>
    </format>
    <format dxfId="360">
      <pivotArea collapsedLevelsAreSubtotals="1" fieldPosition="0">
        <references count="1">
          <reference field="1" count="1">
            <x v="96"/>
          </reference>
        </references>
      </pivotArea>
    </format>
    <format dxfId="359">
      <pivotArea collapsedLevelsAreSubtotals="1" fieldPosition="0">
        <references count="1">
          <reference field="1" count="1">
            <x v="97"/>
          </reference>
        </references>
      </pivotArea>
    </format>
    <format dxfId="358">
      <pivotArea collapsedLevelsAreSubtotals="1" fieldPosition="0">
        <references count="1">
          <reference field="1" count="1">
            <x v="98"/>
          </reference>
        </references>
      </pivotArea>
    </format>
    <format dxfId="357">
      <pivotArea collapsedLevelsAreSubtotals="1" fieldPosition="0">
        <references count="1">
          <reference field="1" count="1">
            <x v="99"/>
          </reference>
        </references>
      </pivotArea>
    </format>
    <format dxfId="356">
      <pivotArea collapsedLevelsAreSubtotals="1" fieldPosition="0">
        <references count="1">
          <reference field="1" count="1">
            <x v="100"/>
          </reference>
        </references>
      </pivotArea>
    </format>
    <format dxfId="355">
      <pivotArea collapsedLevelsAreSubtotals="1" fieldPosition="0">
        <references count="1">
          <reference field="1" count="1">
            <x v="101"/>
          </reference>
        </references>
      </pivotArea>
    </format>
    <format dxfId="354">
      <pivotArea collapsedLevelsAreSubtotals="1" fieldPosition="0">
        <references count="1">
          <reference field="1" count="1">
            <x v="102"/>
          </reference>
        </references>
      </pivotArea>
    </format>
    <format dxfId="353">
      <pivotArea collapsedLevelsAreSubtotals="1" fieldPosition="0">
        <references count="1">
          <reference field="1" count="1">
            <x v="103"/>
          </reference>
        </references>
      </pivotArea>
    </format>
    <format dxfId="352">
      <pivotArea collapsedLevelsAreSubtotals="1" fieldPosition="0">
        <references count="1">
          <reference field="1" count="1">
            <x v="104"/>
          </reference>
        </references>
      </pivotArea>
    </format>
    <format dxfId="351">
      <pivotArea collapsedLevelsAreSubtotals="1" fieldPosition="0">
        <references count="1">
          <reference field="1" count="1">
            <x v="105"/>
          </reference>
        </references>
      </pivotArea>
    </format>
    <format dxfId="350">
      <pivotArea collapsedLevelsAreSubtotals="1" fieldPosition="0">
        <references count="1">
          <reference field="1" count="1">
            <x v="106"/>
          </reference>
        </references>
      </pivotArea>
    </format>
    <format dxfId="349">
      <pivotArea collapsedLevelsAreSubtotals="1" fieldPosition="0">
        <references count="1">
          <reference field="1" count="1">
            <x v="107"/>
          </reference>
        </references>
      </pivotArea>
    </format>
    <format dxfId="348">
      <pivotArea collapsedLevelsAreSubtotals="1" fieldPosition="0">
        <references count="1">
          <reference field="1" count="1">
            <x v="108"/>
          </reference>
        </references>
      </pivotArea>
    </format>
    <format dxfId="347">
      <pivotArea collapsedLevelsAreSubtotals="1" fieldPosition="0">
        <references count="1">
          <reference field="1" count="1">
            <x v="109"/>
          </reference>
        </references>
      </pivotArea>
    </format>
    <format dxfId="346">
      <pivotArea collapsedLevelsAreSubtotals="1" fieldPosition="0">
        <references count="1">
          <reference field="1" count="1">
            <x v="110"/>
          </reference>
        </references>
      </pivotArea>
    </format>
    <format dxfId="345">
      <pivotArea collapsedLevelsAreSubtotals="1" fieldPosition="0">
        <references count="1">
          <reference field="1" count="1">
            <x v="111"/>
          </reference>
        </references>
      </pivotArea>
    </format>
    <format dxfId="344">
      <pivotArea collapsedLevelsAreSubtotals="1" fieldPosition="0">
        <references count="1">
          <reference field="1" count="1">
            <x v="112"/>
          </reference>
        </references>
      </pivotArea>
    </format>
    <format dxfId="343">
      <pivotArea collapsedLevelsAreSubtotals="1" fieldPosition="0">
        <references count="1">
          <reference field="1" count="1">
            <x v="113"/>
          </reference>
        </references>
      </pivotArea>
    </format>
    <format dxfId="342">
      <pivotArea collapsedLevelsAreSubtotals="1" fieldPosition="0">
        <references count="1">
          <reference field="1" count="1">
            <x v="114"/>
          </reference>
        </references>
      </pivotArea>
    </format>
    <format dxfId="341">
      <pivotArea collapsedLevelsAreSubtotals="1" fieldPosition="0">
        <references count="1">
          <reference field="1" count="1">
            <x v="115"/>
          </reference>
        </references>
      </pivotArea>
    </format>
    <format dxfId="340">
      <pivotArea collapsedLevelsAreSubtotals="1" fieldPosition="0">
        <references count="1">
          <reference field="1" count="1">
            <x v="116"/>
          </reference>
        </references>
      </pivotArea>
    </format>
    <format dxfId="339">
      <pivotArea collapsedLevelsAreSubtotals="1" fieldPosition="0">
        <references count="1">
          <reference field="1" count="1">
            <x v="117"/>
          </reference>
        </references>
      </pivotArea>
    </format>
    <format dxfId="338">
      <pivotArea collapsedLevelsAreSubtotals="1" fieldPosition="0">
        <references count="1">
          <reference field="1" count="1">
            <x v="118"/>
          </reference>
        </references>
      </pivotArea>
    </format>
    <format dxfId="337">
      <pivotArea collapsedLevelsAreSubtotals="1" fieldPosition="0">
        <references count="1">
          <reference field="1" count="1">
            <x v="119"/>
          </reference>
        </references>
      </pivotArea>
    </format>
    <format dxfId="336">
      <pivotArea collapsedLevelsAreSubtotals="1" fieldPosition="0">
        <references count="1">
          <reference field="1" count="1">
            <x v="120"/>
          </reference>
        </references>
      </pivotArea>
    </format>
    <format dxfId="335">
      <pivotArea collapsedLevelsAreSubtotals="1" fieldPosition="0">
        <references count="1">
          <reference field="1" count="1">
            <x v="121"/>
          </reference>
        </references>
      </pivotArea>
    </format>
    <format dxfId="3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33">
      <pivotArea dataOnly="0" labelOnly="1" fieldPosition="0">
        <references count="1">
          <reference field="1" count="5">
            <x v="117"/>
            <x v="118"/>
            <x v="119"/>
            <x v="120"/>
            <x v="121"/>
          </reference>
        </references>
      </pivotArea>
    </format>
    <format dxfId="332">
      <pivotArea dataOnly="0" labelOnly="1" outline="0" fieldPosition="0">
        <references count="1">
          <reference field="4294967294" count="1">
            <x v="2"/>
          </reference>
        </references>
      </pivotArea>
    </format>
    <format dxfId="331">
      <pivotArea dataOnly="0" labelOnly="1" fieldPosition="0">
        <references count="1">
          <reference field="1" count="7">
            <x v="122"/>
            <x v="123"/>
            <x v="124"/>
            <x v="125"/>
            <x v="126"/>
            <x v="127"/>
            <x v="129"/>
          </reference>
        </references>
      </pivotArea>
    </format>
    <format dxfId="330">
      <pivotArea dataOnly="0" labelOnly="1" fieldPosition="0">
        <references count="1">
          <reference field="1" count="7">
            <x v="122"/>
            <x v="123"/>
            <x v="124"/>
            <x v="125"/>
            <x v="126"/>
            <x v="127"/>
            <x v="129"/>
          </reference>
        </references>
      </pivotArea>
    </format>
    <format dxfId="329">
      <pivotArea collapsedLevelsAreSubtotals="1" fieldPosition="0">
        <references count="1">
          <reference field="1" count="1">
            <x v="122"/>
          </reference>
        </references>
      </pivotArea>
    </format>
    <format dxfId="328">
      <pivotArea collapsedLevelsAreSubtotals="1" fieldPosition="0">
        <references count="1">
          <reference field="1" count="1">
            <x v="123"/>
          </reference>
        </references>
      </pivotArea>
    </format>
    <format dxfId="327">
      <pivotArea collapsedLevelsAreSubtotals="1" fieldPosition="0">
        <references count="1">
          <reference field="1" count="1">
            <x v="124"/>
          </reference>
        </references>
      </pivotArea>
    </format>
    <format dxfId="326">
      <pivotArea collapsedLevelsAreSubtotals="1" fieldPosition="0">
        <references count="1">
          <reference field="1" count="1">
            <x v="125"/>
          </reference>
        </references>
      </pivotArea>
    </format>
    <format dxfId="325">
      <pivotArea collapsedLevelsAreSubtotals="1" fieldPosition="0">
        <references count="1">
          <reference field="1" count="1">
            <x v="126"/>
          </reference>
        </references>
      </pivotArea>
    </format>
    <format dxfId="324">
      <pivotArea collapsedLevelsAreSubtotals="1" fieldPosition="0">
        <references count="1">
          <reference field="1" count="1">
            <x v="127"/>
          </reference>
        </references>
      </pivotArea>
    </format>
    <format dxfId="323">
      <pivotArea collapsedLevelsAreSubtotals="1" fieldPosition="0">
        <references count="1">
          <reference field="1" count="1">
            <x v="129"/>
          </reference>
        </references>
      </pivotArea>
    </format>
    <format dxfId="322">
      <pivotArea dataOnly="0" labelOnly="1" fieldPosition="0">
        <references count="1">
          <reference field="1" count="4">
            <x v="18"/>
            <x v="19"/>
            <x v="30"/>
            <x v="31"/>
          </reference>
        </references>
      </pivotArea>
    </format>
    <format dxfId="321">
      <pivotArea dataOnly="0" labelOnly="1" fieldPosition="0">
        <references count="1">
          <reference field="1" count="3">
            <x v="17"/>
            <x v="32"/>
            <x v="33"/>
          </reference>
        </references>
      </pivotArea>
    </format>
    <format dxfId="320">
      <pivotArea dataOnly="0" labelOnly="1" fieldPosition="0">
        <references count="1">
          <reference field="1" count="2">
            <x v="18"/>
            <x v="19"/>
          </reference>
        </references>
      </pivotArea>
    </format>
    <format dxfId="319">
      <pivotArea dataOnly="0" labelOnly="1" fieldPosition="0">
        <references count="1">
          <reference field="1" count="1">
            <x v="17"/>
          </reference>
        </references>
      </pivotArea>
    </format>
    <format dxfId="318">
      <pivotArea collapsedLevelsAreSubtotals="1" fieldPosition="0">
        <references count="1">
          <reference field="1" count="1">
            <x v="37"/>
          </reference>
        </references>
      </pivotArea>
    </format>
    <format dxfId="317">
      <pivotArea collapsedLevelsAreSubtotals="1" fieldPosition="0">
        <references count="1">
          <reference field="1" count="1">
            <x v="38"/>
          </reference>
        </references>
      </pivotArea>
    </format>
    <format dxfId="316">
      <pivotArea collapsedLevelsAreSubtotals="1" fieldPosition="0">
        <references count="1">
          <reference field="1" count="1">
            <x v="39"/>
          </reference>
        </references>
      </pivotArea>
    </format>
    <format dxfId="315">
      <pivotArea collapsedLevelsAreSubtotals="1" fieldPosition="0">
        <references count="1">
          <reference field="1" count="1">
            <x v="40"/>
          </reference>
        </references>
      </pivotArea>
    </format>
    <format dxfId="314">
      <pivotArea collapsedLevelsAreSubtotals="1" fieldPosition="0">
        <references count="1">
          <reference field="1" count="1">
            <x v="41"/>
          </reference>
        </references>
      </pivotArea>
    </format>
    <format dxfId="313">
      <pivotArea collapsedLevelsAreSubtotals="1" fieldPosition="0">
        <references count="1">
          <reference field="1" count="1">
            <x v="42"/>
          </reference>
        </references>
      </pivotArea>
    </format>
    <format dxfId="312">
      <pivotArea collapsedLevelsAreSubtotals="1" fieldPosition="0">
        <references count="1">
          <reference field="1" count="1">
            <x v="43"/>
          </reference>
        </references>
      </pivotArea>
    </format>
    <format dxfId="311">
      <pivotArea collapsedLevelsAreSubtotals="1" fieldPosition="0">
        <references count="1">
          <reference field="1" count="1">
            <x v="44"/>
          </reference>
        </references>
      </pivotArea>
    </format>
    <format dxfId="310">
      <pivotArea collapsedLevelsAreSubtotals="1" fieldPosition="0">
        <references count="1">
          <reference field="1" count="1">
            <x v="45"/>
          </reference>
        </references>
      </pivotArea>
    </format>
    <format dxfId="309">
      <pivotArea collapsedLevelsAreSubtotals="1" fieldPosition="0">
        <references count="1">
          <reference field="1" count="1">
            <x v="46"/>
          </reference>
        </references>
      </pivotArea>
    </format>
    <format dxfId="308">
      <pivotArea collapsedLevelsAreSubtotals="1" fieldPosition="0">
        <references count="1">
          <reference field="1" count="1">
            <x v="47"/>
          </reference>
        </references>
      </pivotArea>
    </format>
    <format dxfId="307">
      <pivotArea collapsedLevelsAreSubtotals="1" fieldPosition="0">
        <references count="1">
          <reference field="1" count="1">
            <x v="48"/>
          </reference>
        </references>
      </pivotArea>
    </format>
    <format dxfId="306">
      <pivotArea collapsedLevelsAreSubtotals="1" fieldPosition="0">
        <references count="1">
          <reference field="1" count="1">
            <x v="49"/>
          </reference>
        </references>
      </pivotArea>
    </format>
    <format dxfId="305">
      <pivotArea collapsedLevelsAreSubtotals="1" fieldPosition="0">
        <references count="1">
          <reference field="1" count="1">
            <x v="50"/>
          </reference>
        </references>
      </pivotArea>
    </format>
    <format dxfId="304">
      <pivotArea collapsedLevelsAreSubtotals="1" fieldPosition="0">
        <references count="1">
          <reference field="1" count="1">
            <x v="51"/>
          </reference>
        </references>
      </pivotArea>
    </format>
    <format dxfId="303">
      <pivotArea collapsedLevelsAreSubtotals="1" fieldPosition="0">
        <references count="1">
          <reference field="1" count="1">
            <x v="52"/>
          </reference>
        </references>
      </pivotArea>
    </format>
    <format dxfId="302">
      <pivotArea collapsedLevelsAreSubtotals="1" fieldPosition="0">
        <references count="1">
          <reference field="1" count="1">
            <x v="53"/>
          </reference>
        </references>
      </pivotArea>
    </format>
    <format dxfId="301">
      <pivotArea collapsedLevelsAreSubtotals="1" fieldPosition="0">
        <references count="1">
          <reference field="1" count="1">
            <x v="54"/>
          </reference>
        </references>
      </pivotArea>
    </format>
    <format dxfId="300">
      <pivotArea collapsedLevelsAreSubtotals="1" fieldPosition="0">
        <references count="1">
          <reference field="1" count="1">
            <x v="55"/>
          </reference>
        </references>
      </pivotArea>
    </format>
    <format dxfId="299">
      <pivotArea collapsedLevelsAreSubtotals="1" fieldPosition="0">
        <references count="1">
          <reference field="1" count="1">
            <x v="56"/>
          </reference>
        </references>
      </pivotArea>
    </format>
    <format dxfId="298">
      <pivotArea collapsedLevelsAreSubtotals="1" fieldPosition="0">
        <references count="1">
          <reference field="1" count="1">
            <x v="57"/>
          </reference>
        </references>
      </pivotArea>
    </format>
    <format dxfId="297">
      <pivotArea collapsedLevelsAreSubtotals="1" fieldPosition="0">
        <references count="1">
          <reference field="1" count="1">
            <x v="58"/>
          </reference>
        </references>
      </pivotArea>
    </format>
    <format dxfId="296">
      <pivotArea collapsedLevelsAreSubtotals="1" fieldPosition="0">
        <references count="1">
          <reference field="1" count="1">
            <x v="59"/>
          </reference>
        </references>
      </pivotArea>
    </format>
    <format dxfId="295">
      <pivotArea collapsedLevelsAreSubtotals="1" fieldPosition="0">
        <references count="1">
          <reference field="1" count="1">
            <x v="60"/>
          </reference>
        </references>
      </pivotArea>
    </format>
    <format dxfId="294">
      <pivotArea collapsedLevelsAreSubtotals="1" fieldPosition="0">
        <references count="1">
          <reference field="1" count="1">
            <x v="61"/>
          </reference>
        </references>
      </pivotArea>
    </format>
    <format dxfId="293">
      <pivotArea collapsedLevelsAreSubtotals="1" fieldPosition="0">
        <references count="1">
          <reference field="1" count="1">
            <x v="62"/>
          </reference>
        </references>
      </pivotArea>
    </format>
    <format dxfId="292">
      <pivotArea collapsedLevelsAreSubtotals="1" fieldPosition="0">
        <references count="1">
          <reference field="1" count="1">
            <x v="63"/>
          </reference>
        </references>
      </pivotArea>
    </format>
    <format dxfId="291">
      <pivotArea collapsedLevelsAreSubtotals="1" fieldPosition="0">
        <references count="1">
          <reference field="1" count="1">
            <x v="64"/>
          </reference>
        </references>
      </pivotArea>
    </format>
    <format dxfId="290">
      <pivotArea collapsedLevelsAreSubtotals="1" fieldPosition="0">
        <references count="1">
          <reference field="1" count="1">
            <x v="65"/>
          </reference>
        </references>
      </pivotArea>
    </format>
    <format dxfId="289">
      <pivotArea collapsedLevelsAreSubtotals="1" fieldPosition="0">
        <references count="1">
          <reference field="1" count="1">
            <x v="66"/>
          </reference>
        </references>
      </pivotArea>
    </format>
    <format dxfId="2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87">
      <pivotArea collapsedLevelsAreSubtotals="1" fieldPosition="0">
        <references count="2">
          <reference field="4294967294" count="2" selected="0">
            <x v="0"/>
            <x v="1"/>
          </reference>
          <reference field="1" count="1">
            <x v="130"/>
          </reference>
        </references>
      </pivotArea>
    </format>
    <format dxfId="286">
      <pivotArea collapsedLevelsAreSubtotals="1" fieldPosition="0">
        <references count="2">
          <reference field="4294967294" count="2" selected="0">
            <x v="0"/>
            <x v="1"/>
          </reference>
          <reference field="1" count="1">
            <x v="131"/>
          </reference>
        </references>
      </pivotArea>
    </format>
    <format dxfId="285">
      <pivotArea collapsedLevelsAreSubtotals="1" fieldPosition="0">
        <references count="2">
          <reference field="4294967294" count="2" selected="0">
            <x v="0"/>
            <x v="1"/>
          </reference>
          <reference field="1" count="1">
            <x v="134"/>
          </reference>
        </references>
      </pivotArea>
    </format>
    <format dxfId="284">
      <pivotArea collapsedLevelsAreSubtotals="1" fieldPosition="0">
        <references count="2">
          <reference field="4294967294" count="2" selected="0">
            <x v="0"/>
            <x v="1"/>
          </reference>
          <reference field="1" count="1">
            <x v="135"/>
          </reference>
        </references>
      </pivotArea>
    </format>
    <format dxfId="283">
      <pivotArea collapsedLevelsAreSubtotals="1" fieldPosition="0">
        <references count="2">
          <reference field="4294967294" count="2" selected="0">
            <x v="0"/>
            <x v="1"/>
          </reference>
          <reference field="1" count="1">
            <x v="136"/>
          </reference>
        </references>
      </pivotArea>
    </format>
    <format dxfId="282">
      <pivotArea collapsedLevelsAreSubtotals="1" fieldPosition="0">
        <references count="2">
          <reference field="4294967294" count="2" selected="0">
            <x v="0"/>
            <x v="1"/>
          </reference>
          <reference field="1" count="1">
            <x v="137"/>
          </reference>
        </references>
      </pivotArea>
    </format>
    <format dxfId="281">
      <pivotArea collapsedLevelsAreSubtotals="1" fieldPosition="0">
        <references count="2">
          <reference field="4294967294" count="2" selected="0">
            <x v="0"/>
            <x v="1"/>
          </reference>
          <reference field="1" count="1">
            <x v="138"/>
          </reference>
        </references>
      </pivotArea>
    </format>
    <format dxfId="280">
      <pivotArea collapsedLevelsAreSubtotals="1" fieldPosition="0">
        <references count="2">
          <reference field="4294967294" count="2" selected="0">
            <x v="0"/>
            <x v="1"/>
          </reference>
          <reference field="1" count="1">
            <x v="141"/>
          </reference>
        </references>
      </pivotArea>
    </format>
    <format dxfId="279">
      <pivotArea dataOnly="0" labelOnly="1" fieldPosition="0">
        <references count="1">
          <reference field="1" count="8">
            <x v="130"/>
            <x v="131"/>
            <x v="134"/>
            <x v="135"/>
            <x v="136"/>
            <x v="137"/>
            <x v="138"/>
            <x v="141"/>
          </reference>
        </references>
      </pivotArea>
    </format>
    <format dxfId="278">
      <pivotArea collapsedLevelsAreSubtotals="1" fieldPosition="0">
        <references count="2">
          <reference field="4294967294" count="1" selected="0">
            <x v="2"/>
          </reference>
          <reference field="1" count="1">
            <x v="130"/>
          </reference>
        </references>
      </pivotArea>
    </format>
    <format dxfId="277">
      <pivotArea collapsedLevelsAreSubtotals="1" fieldPosition="0">
        <references count="2">
          <reference field="4294967294" count="1" selected="0">
            <x v="2"/>
          </reference>
          <reference field="1" count="1">
            <x v="131"/>
          </reference>
        </references>
      </pivotArea>
    </format>
    <format dxfId="276">
      <pivotArea collapsedLevelsAreSubtotals="1" fieldPosition="0">
        <references count="2">
          <reference field="4294967294" count="1" selected="0">
            <x v="2"/>
          </reference>
          <reference field="1" count="1">
            <x v="134"/>
          </reference>
        </references>
      </pivotArea>
    </format>
    <format dxfId="275">
      <pivotArea collapsedLevelsAreSubtotals="1" fieldPosition="0">
        <references count="2">
          <reference field="4294967294" count="1" selected="0">
            <x v="2"/>
          </reference>
          <reference field="1" count="1">
            <x v="135"/>
          </reference>
        </references>
      </pivotArea>
    </format>
    <format dxfId="274">
      <pivotArea collapsedLevelsAreSubtotals="1" fieldPosition="0">
        <references count="2">
          <reference field="4294967294" count="1" selected="0">
            <x v="2"/>
          </reference>
          <reference field="1" count="1">
            <x v="136"/>
          </reference>
        </references>
      </pivotArea>
    </format>
    <format dxfId="273">
      <pivotArea collapsedLevelsAreSubtotals="1" fieldPosition="0">
        <references count="2">
          <reference field="4294967294" count="1" selected="0">
            <x v="2"/>
          </reference>
          <reference field="1" count="1">
            <x v="137"/>
          </reference>
        </references>
      </pivotArea>
    </format>
    <format dxfId="272">
      <pivotArea collapsedLevelsAreSubtotals="1" fieldPosition="0">
        <references count="2">
          <reference field="4294967294" count="1" selected="0">
            <x v="2"/>
          </reference>
          <reference field="1" count="1">
            <x v="138"/>
          </reference>
        </references>
      </pivotArea>
    </format>
    <format dxfId="271">
      <pivotArea collapsedLevelsAreSubtotals="1" fieldPosition="0">
        <references count="2">
          <reference field="4294967294" count="1" selected="0">
            <x v="2"/>
          </reference>
          <reference field="1" count="1">
            <x v="141"/>
          </reference>
        </references>
      </pivotArea>
    </format>
    <format dxfId="270">
      <pivotArea collapsedLevelsAreSubtotals="1" fieldPosition="0">
        <references count="2">
          <reference field="1" count="2">
            <x v="39"/>
            <x v="103"/>
          </reference>
          <reference field="2" count="1" selected="0">
            <x v="694"/>
          </reference>
        </references>
      </pivotArea>
    </format>
    <format dxfId="269">
      <pivotArea dataOnly="0" labelOnly="1" fieldPosition="0">
        <references count="2">
          <reference field="1" count="2">
            <x v="39"/>
            <x v="103"/>
          </reference>
          <reference field="2" count="1" selected="0">
            <x v="694"/>
          </reference>
        </references>
      </pivotArea>
    </format>
    <format dxfId="268">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3">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6"/>
        <item m="1" x="1247"/>
        <item m="1" x="1271"/>
        <item x="247"/>
        <item x="235"/>
        <item x="233"/>
        <item x="234"/>
        <item x="236"/>
        <item x="237"/>
        <item x="214"/>
        <item x="238"/>
        <item x="239"/>
        <item x="240"/>
        <item x="241"/>
        <item x="242"/>
        <item x="248"/>
        <item x="249"/>
        <item x="250"/>
        <item x="251"/>
        <item x="263"/>
        <item x="252"/>
        <item x="253"/>
        <item x="254"/>
        <item x="255"/>
        <item x="256"/>
        <item m="1" x="1272"/>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7"/>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60"/>
        <item x="326"/>
        <item x="327"/>
        <item x="328"/>
        <item x="329"/>
        <item x="330"/>
        <item x="331"/>
        <item x="161"/>
        <item x="333"/>
        <item x="334"/>
        <item x="335"/>
        <item x="336"/>
        <item x="337"/>
        <item x="338"/>
        <item x="339"/>
        <item x="340"/>
        <item x="419"/>
        <item x="341"/>
        <item x="342"/>
        <item x="343"/>
        <item x="344"/>
        <item x="345"/>
        <item m="1" x="1265"/>
        <item x="347"/>
        <item x="346"/>
        <item x="348"/>
        <item m="1" x="1256"/>
        <item x="356"/>
        <item x="353"/>
        <item x="352"/>
        <item m="1" x="1278"/>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9"/>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6"/>
        <item m="1" x="1267"/>
        <item x="420"/>
        <item x="422"/>
        <item x="423"/>
        <item x="428"/>
        <item x="431"/>
        <item x="424"/>
        <item x="425"/>
        <item x="426"/>
        <item x="427"/>
        <item x="429"/>
        <item x="430"/>
        <item x="432"/>
        <item x="433"/>
        <item x="434"/>
        <item x="435"/>
        <item m="1" x="1273"/>
        <item m="1" x="1268"/>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80"/>
        <item x="472"/>
        <item m="1" x="1251"/>
        <item x="473"/>
        <item x="474"/>
        <item x="476"/>
        <item m="1" x="1274"/>
        <item x="475"/>
        <item x="477"/>
        <item x="478"/>
        <item x="479"/>
        <item x="480"/>
        <item x="481"/>
        <item x="482"/>
        <item x="483"/>
        <item x="484"/>
        <item x="485"/>
        <item x="486"/>
        <item x="487"/>
        <item x="488"/>
        <item x="489"/>
        <item x="490"/>
        <item x="491"/>
        <item x="492"/>
        <item x="493"/>
        <item x="494"/>
        <item x="495"/>
        <item x="496"/>
        <item x="497"/>
        <item x="498"/>
        <item x="499"/>
        <item m="1" x="1262"/>
        <item x="500"/>
        <item x="501"/>
        <item x="502"/>
        <item m="1" x="1261"/>
        <item x="503"/>
        <item m="1" x="1264"/>
        <item x="504"/>
        <item m="1" x="1276"/>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70"/>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3"/>
        <item x="769"/>
        <item x="768"/>
        <item x="770"/>
        <item x="771"/>
        <item x="772"/>
        <item x="773"/>
        <item x="774"/>
        <item x="775"/>
        <item x="776"/>
        <item x="777"/>
        <item x="778"/>
        <item x="779"/>
        <item x="780"/>
        <item x="781"/>
        <item x="782"/>
        <item x="783"/>
        <item x="784"/>
        <item m="1" x="1255"/>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9"/>
        <item m="1" x="1249"/>
        <item x="823"/>
        <item x="824"/>
        <item x="825"/>
        <item m="1" x="1258"/>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50"/>
        <item x="861"/>
        <item m="1" x="1248"/>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4"/>
        <item x="914"/>
        <item x="909"/>
        <item m="1" x="1252"/>
        <item x="922"/>
        <item m="1" x="1277"/>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5"/>
        <item x="939"/>
        <item m="1" x="1263"/>
        <item x="934"/>
        <item x="923"/>
        <item x="941"/>
        <item x="944"/>
        <item x="952"/>
        <item x="951"/>
        <item x="953"/>
        <item x="950"/>
        <item x="945"/>
        <item x="955"/>
        <item x="954"/>
        <item x="949"/>
        <item m="1" x="1279"/>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81"/>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x="1245"/>
        <item x="1244"/>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4"/>
        <item sd="0" m="1" x="128"/>
        <item sd="0" x="115"/>
        <item sd="0" x="103"/>
        <item sd="0" x="104"/>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3"/>
        <item x="26"/>
        <item x="27"/>
        <item m="1" x="64"/>
        <item m="1" x="72"/>
        <item x="28"/>
        <item x="29"/>
        <item m="1" x="62"/>
        <item x="30"/>
        <item x="33"/>
        <item x="34"/>
        <item x="37"/>
        <item x="36"/>
        <item m="1" x="66"/>
        <item m="1" x="61"/>
        <item m="1" x="68"/>
        <item x="40"/>
        <item x="38"/>
        <item x="41"/>
        <item m="1" x="60"/>
        <item x="42"/>
        <item x="43"/>
        <item x="45"/>
        <item x="46"/>
        <item x="44"/>
        <item x="39"/>
        <item x="47"/>
        <item m="1" x="70"/>
        <item x="48"/>
        <item m="1" x="67"/>
        <item x="51"/>
        <item x="50"/>
        <item x="32"/>
        <item x="54"/>
        <item m="1" x="69"/>
        <item x="55"/>
        <item x="56"/>
        <item x="57"/>
        <item m="1" x="59"/>
        <item x="58"/>
        <item m="1" x="71"/>
        <item m="1" x="65"/>
        <item x="49"/>
        <item x="53"/>
        <item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36"/>
    </i>
    <i r="1">
      <x v="10"/>
    </i>
    <i r="1">
      <x v="52"/>
    </i>
    <i r="1">
      <x v="4"/>
    </i>
    <i r="1">
      <x v="7"/>
    </i>
    <i>
      <x v="128"/>
    </i>
    <i>
      <x v="119"/>
    </i>
    <i>
      <x v="6"/>
    </i>
    <i>
      <x v="103"/>
    </i>
    <i>
      <x v="104"/>
    </i>
    <i>
      <x v="111"/>
    </i>
    <i>
      <x v="134"/>
    </i>
    <i r="1">
      <x v="30"/>
    </i>
    <i>
      <x v="98"/>
    </i>
    <i>
      <x v="118"/>
    </i>
    <i>
      <x v="56"/>
    </i>
    <i>
      <x v="69"/>
    </i>
    <i>
      <x v="1"/>
    </i>
    <i>
      <x v="131"/>
    </i>
    <i>
      <x v="137"/>
    </i>
    <i r="1">
      <x v="52"/>
    </i>
    <i>
      <x v="130"/>
    </i>
    <i>
      <x v="135"/>
    </i>
    <i r="1">
      <x v="52"/>
    </i>
    <i>
      <x v="133"/>
    </i>
    <i r="1">
      <x v="9"/>
    </i>
    <i r="1">
      <x v="52"/>
    </i>
    <i r="1">
      <x v="7"/>
    </i>
    <i>
      <x v="105"/>
    </i>
    <i>
      <x v="116"/>
    </i>
    <i>
      <x v="114"/>
    </i>
    <i>
      <x v="100"/>
    </i>
    <i>
      <x v="126"/>
    </i>
    <i>
      <x v="124"/>
    </i>
    <i>
      <x v="71"/>
    </i>
    <i>
      <x v="77"/>
    </i>
    <i>
      <x v="78"/>
    </i>
    <i>
      <x v="7"/>
    </i>
    <i>
      <x v="85"/>
    </i>
    <i>
      <x v="15"/>
    </i>
    <i>
      <x v="34"/>
    </i>
    <i>
      <x v="95"/>
    </i>
    <i>
      <x v="35"/>
    </i>
    <i>
      <x v="10"/>
    </i>
    <i>
      <x v="36"/>
    </i>
    <i>
      <x v="30"/>
    </i>
    <i>
      <x v="37"/>
    </i>
    <i>
      <x v="89"/>
    </i>
    <i>
      <x v="38"/>
    </i>
    <i>
      <x v="99"/>
    </i>
    <i>
      <x v="39"/>
    </i>
    <i>
      <x v="110"/>
    </i>
    <i>
      <x v="40"/>
    </i>
    <i>
      <x v="13"/>
    </i>
    <i>
      <x v="41"/>
    </i>
    <i>
      <x v="18"/>
    </i>
    <i>
      <x v="42"/>
    </i>
    <i>
      <x v="83"/>
    </i>
    <i>
      <x v="43"/>
    </i>
    <i>
      <x v="87"/>
    </i>
    <i>
      <x v="44"/>
    </i>
    <i>
      <x v="92"/>
    </i>
    <i>
      <x v="45"/>
    </i>
    <i>
      <x v="97"/>
    </i>
    <i>
      <x v="47"/>
    </i>
    <i>
      <x v="101"/>
    </i>
    <i>
      <x v="48"/>
    </i>
    <i>
      <x v="23"/>
    </i>
    <i>
      <x v="49"/>
    </i>
    <i>
      <x v="113"/>
    </i>
    <i r="1">
      <x v="52"/>
    </i>
    <i r="1">
      <x v="4"/>
    </i>
    <i r="1">
      <x v="63"/>
    </i>
    <i r="1">
      <x v="10"/>
    </i>
    <i r="1">
      <x v="22"/>
    </i>
    <i>
      <x v="50"/>
    </i>
    <i>
      <x v="11"/>
    </i>
    <i>
      <x v="51"/>
    </i>
    <i>
      <x v="14"/>
    </i>
    <i>
      <x v="52"/>
    </i>
    <i>
      <x v="17"/>
    </i>
    <i>
      <x v="53"/>
    </i>
    <i>
      <x v="29"/>
    </i>
    <i>
      <x v="54"/>
    </i>
    <i>
      <x v="82"/>
    </i>
    <i>
      <x v="55"/>
    </i>
    <i>
      <x v="84"/>
    </i>
    <i>
      <x v="3"/>
    </i>
    <i>
      <x v="86"/>
    </i>
    <i>
      <x v="57"/>
    </i>
    <i>
      <x v="88"/>
    </i>
    <i>
      <x v="58"/>
    </i>
    <i>
      <x v="91"/>
    </i>
    <i>
      <x v="59"/>
    </i>
    <i>
      <x v="94"/>
    </i>
    <i>
      <x v="60"/>
    </i>
    <i>
      <x v="96"/>
    </i>
    <i>
      <x v="4"/>
    </i>
    <i>
      <x v="2"/>
    </i>
    <i>
      <x v="62"/>
    </i>
    <i>
      <x v="22"/>
    </i>
    <i>
      <x/>
    </i>
    <i>
      <x v="102"/>
    </i>
    <i>
      <x v="64"/>
    </i>
    <i>
      <x v="8"/>
    </i>
    <i>
      <x v="65"/>
    </i>
    <i>
      <x v="106"/>
    </i>
    <i>
      <x v="66"/>
    </i>
    <i>
      <x v="9"/>
    </i>
    <i>
      <x v="67"/>
    </i>
    <i>
      <x v="24"/>
    </i>
    <i>
      <x v="68"/>
    </i>
    <i>
      <x v="25"/>
    </i>
    <i>
      <x v="5"/>
    </i>
    <i>
      <x v="12"/>
    </i>
    <i>
      <x v="70"/>
    </i>
    <i>
      <x v="26"/>
    </i>
    <i>
      <x v="21"/>
    </i>
    <i>
      <x v="27"/>
    </i>
    <i>
      <x v="73"/>
    </i>
    <i>
      <x v="16"/>
    </i>
    <i>
      <x v="74"/>
    </i>
    <i>
      <x v="28"/>
    </i>
    <i>
      <x v="75"/>
    </i>
    <i>
      <x v="19"/>
    </i>
    <i>
      <x v="76"/>
    </i>
    <i>
      <x v="20"/>
    </i>
    <i>
      <x v="31"/>
    </i>
    <i>
      <x v="33"/>
    </i>
    <i>
      <x v="32"/>
    </i>
    <i>
      <x v="61"/>
    </i>
    <i>
      <x v="63"/>
    </i>
    <i>
      <x v="122"/>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67">
      <pivotArea collapsedLevelsAreSubtotals="1" fieldPosition="0">
        <references count="1">
          <reference field="2" count="1">
            <x v="9"/>
          </reference>
        </references>
      </pivotArea>
    </format>
    <format dxfId="266">
      <pivotArea collapsedLevelsAreSubtotals="1" fieldPosition="0">
        <references count="1">
          <reference field="2" count="1">
            <x v="4"/>
          </reference>
        </references>
      </pivotArea>
    </format>
    <format dxfId="265">
      <pivotArea grandRow="1" outline="0" collapsedLevelsAreSubtotals="1" fieldPosition="0"/>
    </format>
    <format dxfId="264">
      <pivotArea dataOnly="0" labelOnly="1" grandRow="1" outline="0" fieldPosition="0"/>
    </format>
    <format dxfId="263">
      <pivotArea grandRow="1" outline="0" collapsedLevelsAreSubtotals="1" fieldPosition="0"/>
    </format>
    <format dxfId="262">
      <pivotArea dataOnly="0" labelOnly="1" grandRow="1" outline="0" fieldPosition="0"/>
    </format>
    <format dxfId="261">
      <pivotArea grandRow="1" outline="0" collapsedLevelsAreSubtotals="1" fieldPosition="0"/>
    </format>
    <format dxfId="260">
      <pivotArea dataOnly="0" labelOnly="1" grandRow="1" outline="0" fieldPosition="0"/>
    </format>
    <format dxfId="259">
      <pivotArea outline="0" collapsedLevelsAreSubtotals="1" fieldPosition="0">
        <references count="1">
          <reference field="4294967294" count="1" selected="0">
            <x v="0"/>
          </reference>
        </references>
      </pivotArea>
    </format>
    <format dxfId="258">
      <pivotArea dataOnly="0" labelOnly="1" outline="0" fieldPosition="0">
        <references count="1">
          <reference field="0" count="0"/>
        </references>
      </pivotArea>
    </format>
    <format dxfId="257">
      <pivotArea dataOnly="0" labelOnly="1" outline="0" fieldPosition="0">
        <references count="1">
          <reference field="4294967294" count="1">
            <x v="0"/>
          </reference>
        </references>
      </pivotArea>
    </format>
    <format dxfId="256">
      <pivotArea outline="0" collapsedLevelsAreSubtotals="1" fieldPosition="0">
        <references count="1">
          <reference field="4294967294" count="1" selected="0">
            <x v="1"/>
          </reference>
        </references>
      </pivotArea>
    </format>
    <format dxfId="255">
      <pivotArea dataOnly="0" labelOnly="1" outline="0" fieldPosition="0">
        <references count="1">
          <reference field="4294967294" count="1">
            <x v="1"/>
          </reference>
        </references>
      </pivotArea>
    </format>
    <format dxfId="254">
      <pivotArea outline="0" collapsedLevelsAreSubtotals="1" fieldPosition="0">
        <references count="1">
          <reference field="4294967294" count="1" selected="0">
            <x v="2"/>
          </reference>
        </references>
      </pivotArea>
    </format>
    <format dxfId="253">
      <pivotArea dataOnly="0" labelOnly="1" outline="0" fieldPosition="0">
        <references count="1">
          <reference field="4294967294" count="1">
            <x v="2"/>
          </reference>
        </references>
      </pivotArea>
    </format>
    <format dxfId="252">
      <pivotArea grandRow="1" outline="0" collapsedLevelsAreSubtotals="1" fieldPosition="0"/>
    </format>
    <format dxfId="251">
      <pivotArea dataOnly="0" labelOnly="1" grandRow="1" outline="0" fieldPosition="0"/>
    </format>
    <format dxfId="250">
      <pivotArea type="all" dataOnly="0" outline="0" fieldPosition="0"/>
    </format>
    <format dxfId="249">
      <pivotArea grandRow="1" outline="0" collapsedLevelsAreSubtotals="1" fieldPosition="0"/>
    </format>
    <format dxfId="248">
      <pivotArea dataOnly="0" labelOnly="1" grandRow="1" outline="0" fieldPosition="0"/>
    </format>
    <format dxfId="247">
      <pivotArea collapsedLevelsAreSubtotals="1" fieldPosition="0">
        <references count="2">
          <reference field="4294967294" count="1" selected="0">
            <x v="2"/>
          </reference>
          <reference field="1" count="1">
            <x v="22"/>
          </reference>
        </references>
      </pivotArea>
    </format>
    <format dxfId="246">
      <pivotArea collapsedLevelsAreSubtotals="1" fieldPosition="0">
        <references count="3">
          <reference field="4294967294" count="1" selected="0">
            <x v="2"/>
          </reference>
          <reference field="1" count="1">
            <x v="22"/>
          </reference>
          <reference field="2" count="1" selected="0">
            <x v="7"/>
          </reference>
        </references>
      </pivotArea>
    </format>
    <format dxfId="245">
      <pivotArea dataOnly="0" labelOnly="1" outline="0" fieldPosition="0">
        <references count="1">
          <reference field="4294967294" count="3">
            <x v="0"/>
            <x v="1"/>
            <x v="2"/>
          </reference>
        </references>
      </pivotArea>
    </format>
    <format dxfId="244">
      <pivotArea dataOnly="0" labelOnly="1" outline="0" fieldPosition="0">
        <references count="1">
          <reference field="4294967294" count="1">
            <x v="0"/>
          </reference>
        </references>
      </pivotArea>
    </format>
    <format dxfId="243">
      <pivotArea dataOnly="0" labelOnly="1" outline="0" fieldPosition="0">
        <references count="1">
          <reference field="4294967294" count="1">
            <x v="1"/>
          </reference>
        </references>
      </pivotArea>
    </format>
    <format dxfId="242">
      <pivotArea dataOnly="0" labelOnly="1" outline="0" fieldPosition="0">
        <references count="1">
          <reference field="4294967294" count="1">
            <x v="1"/>
          </reference>
        </references>
      </pivotArea>
    </format>
    <format dxfId="241">
      <pivotArea dataOnly="0" labelOnly="1" outline="0" fieldPosition="0">
        <references count="1">
          <reference field="4294967294" count="1">
            <x v="2"/>
          </reference>
        </references>
      </pivotArea>
    </format>
    <format dxfId="240">
      <pivotArea dataOnly="0" labelOnly="1" fieldPosition="0">
        <references count="1">
          <reference field="2" count="0"/>
        </references>
      </pivotArea>
    </format>
    <format dxfId="239">
      <pivotArea collapsedLevelsAreSubtotals="1" fieldPosition="0">
        <references count="2">
          <reference field="4294967294" count="1" selected="0">
            <x v="2"/>
          </reference>
          <reference field="2" count="1">
            <x v="4"/>
          </reference>
        </references>
      </pivotArea>
    </format>
    <format dxfId="238">
      <pivotArea collapsedLevelsAreSubtotals="1" fieldPosition="0">
        <references count="2">
          <reference field="4294967294" count="1" selected="0">
            <x v="2"/>
          </reference>
          <reference field="2" count="1">
            <x v="9"/>
          </reference>
        </references>
      </pivotArea>
    </format>
    <format dxfId="237">
      <pivotArea collapsedLevelsAreSubtotals="1" fieldPosition="0">
        <references count="2">
          <reference field="4294967294" count="1" selected="0">
            <x v="2"/>
          </reference>
          <reference field="2" count="1">
            <x v="14"/>
          </reference>
        </references>
      </pivotArea>
    </format>
    <format dxfId="236">
      <pivotArea collapsedLevelsAreSubtotals="1" fieldPosition="0">
        <references count="3">
          <reference field="4294967294" count="1" selected="0">
            <x v="2"/>
          </reference>
          <reference field="1" count="3">
            <x v="3"/>
            <x v="37"/>
            <x v="41"/>
          </reference>
          <reference field="2" count="1" selected="0">
            <x v="14"/>
          </reference>
        </references>
      </pivotArea>
    </format>
    <format dxfId="235">
      <pivotArea collapsedLevelsAreSubtotals="1" fieldPosition="0">
        <references count="3">
          <reference field="4294967294" count="1" selected="0">
            <x v="2"/>
          </reference>
          <reference field="1" count="1">
            <x v="6"/>
          </reference>
          <reference field="2" count="1" selected="0">
            <x v="14"/>
          </reference>
        </references>
      </pivotArea>
    </format>
    <format dxfId="234">
      <pivotArea collapsedLevelsAreSubtotals="1" fieldPosition="0">
        <references count="3">
          <reference field="4294967294" count="1" selected="0">
            <x v="2"/>
          </reference>
          <reference field="1" count="1">
            <x v="27"/>
          </reference>
          <reference field="2" count="1" selected="0">
            <x v="14"/>
          </reference>
        </references>
      </pivotArea>
    </format>
    <format dxfId="233">
      <pivotArea collapsedLevelsAreSubtotals="1" fieldPosition="0">
        <references count="1">
          <reference field="2" count="1">
            <x v="0"/>
          </reference>
        </references>
      </pivotArea>
    </format>
    <format dxfId="232">
      <pivotArea collapsedLevelsAreSubtotals="1" fieldPosition="0">
        <references count="1">
          <reference field="2" count="1">
            <x v="14"/>
          </reference>
        </references>
      </pivotArea>
    </format>
    <format dxfId="231">
      <pivotArea collapsedLevelsAreSubtotals="1" fieldPosition="0">
        <references count="1">
          <reference field="2" count="1">
            <x v="9"/>
          </reference>
        </references>
      </pivotArea>
    </format>
    <format dxfId="230">
      <pivotArea collapsedLevelsAreSubtotals="1" fieldPosition="0">
        <references count="1">
          <reference field="2" count="1">
            <x v="5"/>
          </reference>
        </references>
      </pivotArea>
    </format>
    <format dxfId="229">
      <pivotArea collapsedLevelsAreSubtotals="1" fieldPosition="0">
        <references count="1">
          <reference field="2" count="1">
            <x v="17"/>
          </reference>
        </references>
      </pivotArea>
    </format>
    <format dxfId="228">
      <pivotArea collapsedLevelsAreSubtotals="1" fieldPosition="0">
        <references count="1">
          <reference field="2" count="1">
            <x v="2"/>
          </reference>
        </references>
      </pivotArea>
    </format>
    <format dxfId="227">
      <pivotArea collapsedLevelsAreSubtotals="1" fieldPosition="0">
        <references count="1">
          <reference field="2" count="1">
            <x v="10"/>
          </reference>
        </references>
      </pivotArea>
    </format>
    <format dxfId="226">
      <pivotArea collapsedLevelsAreSubtotals="1" fieldPosition="0">
        <references count="1">
          <reference field="2" count="1">
            <x v="1"/>
          </reference>
        </references>
      </pivotArea>
    </format>
    <format dxfId="225">
      <pivotArea collapsedLevelsAreSubtotals="1" fieldPosition="0">
        <references count="1">
          <reference field="2" count="1">
            <x v="13"/>
          </reference>
        </references>
      </pivotArea>
    </format>
    <format dxfId="224">
      <pivotArea collapsedLevelsAreSubtotals="1" fieldPosition="0">
        <references count="1">
          <reference field="2" count="1">
            <x v="4"/>
          </reference>
        </references>
      </pivotArea>
    </format>
    <format dxfId="223">
      <pivotArea collapsedLevelsAreSubtotals="1" fieldPosition="0">
        <references count="1">
          <reference field="2" count="1">
            <x v="8"/>
          </reference>
        </references>
      </pivotArea>
    </format>
    <format dxfId="222">
      <pivotArea collapsedLevelsAreSubtotals="1" fieldPosition="0">
        <references count="1">
          <reference field="2" count="1">
            <x v="3"/>
          </reference>
        </references>
      </pivotArea>
    </format>
    <format dxfId="221">
      <pivotArea collapsedLevelsAreSubtotals="1" fieldPosition="0">
        <references count="1">
          <reference field="2" count="1">
            <x v="12"/>
          </reference>
        </references>
      </pivotArea>
    </format>
    <format dxfId="220">
      <pivotArea collapsedLevelsAreSubtotals="1" fieldPosition="0">
        <references count="1">
          <reference field="2" count="1">
            <x v="6"/>
          </reference>
        </references>
      </pivotArea>
    </format>
    <format dxfId="219">
      <pivotArea collapsedLevelsAreSubtotals="1" fieldPosition="0">
        <references count="1">
          <reference field="2" count="1">
            <x v="11"/>
          </reference>
        </references>
      </pivotArea>
    </format>
    <format dxfId="218">
      <pivotArea collapsedLevelsAreSubtotals="1" fieldPosition="0">
        <references count="1">
          <reference field="2" count="1">
            <x v="20"/>
          </reference>
        </references>
      </pivotArea>
    </format>
    <format dxfId="217">
      <pivotArea collapsedLevelsAreSubtotals="1" fieldPosition="0">
        <references count="2">
          <reference field="1" count="1">
            <x v="6"/>
          </reference>
          <reference field="2" count="1" selected="0">
            <x v="20"/>
          </reference>
        </references>
      </pivotArea>
    </format>
    <format dxfId="216">
      <pivotArea collapsedLevelsAreSubtotals="1" fieldPosition="0">
        <references count="1">
          <reference field="2" count="1">
            <x v="7"/>
          </reference>
        </references>
      </pivotArea>
    </format>
    <format dxfId="215">
      <pivotArea collapsedLevelsAreSubtotals="1" fieldPosition="0">
        <references count="1">
          <reference field="2" count="1">
            <x v="16"/>
          </reference>
        </references>
      </pivotArea>
    </format>
    <format dxfId="214">
      <pivotArea collapsedLevelsAreSubtotals="1" fieldPosition="0">
        <references count="1">
          <reference field="2" count="1">
            <x v="19"/>
          </reference>
        </references>
      </pivotArea>
    </format>
    <format dxfId="213">
      <pivotArea collapsedLevelsAreSubtotals="1" fieldPosition="0">
        <references count="1">
          <reference field="2" count="1">
            <x v="18"/>
          </reference>
        </references>
      </pivotArea>
    </format>
    <format dxfId="212">
      <pivotArea collapsedLevelsAreSubtotals="1" fieldPosition="0">
        <references count="1">
          <reference field="2" count="1">
            <x v="15"/>
          </reference>
        </references>
      </pivotArea>
    </format>
    <format dxfId="211">
      <pivotArea collapsedLevelsAreSubtotals="1" fieldPosition="0">
        <references count="1">
          <reference field="2" count="1">
            <x v="21"/>
          </reference>
        </references>
      </pivotArea>
    </format>
    <format dxfId="2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0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08">
      <pivotArea dataOnly="0" labelOnly="1" fieldPosition="0">
        <references count="1">
          <reference field="1" count="1">
            <x v="79"/>
          </reference>
        </references>
      </pivotArea>
    </format>
    <format dxfId="207">
      <pivotArea dataOnly="0" labelOnly="1" fieldPosition="0">
        <references count="1">
          <reference field="1" count="1">
            <x v="79"/>
          </reference>
        </references>
      </pivotArea>
    </format>
    <format dxfId="206">
      <pivotArea type="all" dataOnly="0" outline="0" fieldPosition="0"/>
    </format>
    <format dxfId="205">
      <pivotArea outline="0" collapsedLevelsAreSubtotals="1" fieldPosition="0"/>
    </format>
    <format dxfId="20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0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2">
      <pivotArea dataOnly="0" labelOnly="1" fieldPosition="0">
        <references count="1">
          <reference field="1" count="16">
            <x v="0"/>
            <x v="12"/>
            <x v="14"/>
            <x v="15"/>
            <x v="17"/>
            <x v="19"/>
            <x v="27"/>
            <x v="47"/>
            <x v="58"/>
            <x v="59"/>
            <x v="62"/>
            <x v="63"/>
            <x v="64"/>
            <x v="65"/>
            <x v="66"/>
            <x v="67"/>
          </reference>
        </references>
      </pivotArea>
    </format>
    <format dxfId="201">
      <pivotArea dataOnly="0" labelOnly="1" grandRow="1" outline="0" fieldPosition="0"/>
    </format>
    <format dxfId="20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45283</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940"/>
  <sheetViews>
    <sheetView tabSelected="1" zoomScale="140" zoomScaleNormal="140" workbookViewId="0">
      <pane ySplit="1" topLeftCell="A17929" activePane="bottomLeft" state="frozen"/>
      <selection pane="bottomLeft" activeCell="D17943" sqref="D17943"/>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8" t="s">
        <v>9006</v>
      </c>
      <c r="D15589" s="907" t="s">
        <v>10410</v>
      </c>
      <c r="E15589" s="687">
        <v>150000</v>
      </c>
      <c r="F15589" s="60"/>
      <c r="G15589" s="60">
        <f t="shared" si="249"/>
        <v>-150000</v>
      </c>
      <c r="H15589" s="718" t="s">
        <v>10426</v>
      </c>
    </row>
    <row r="15590" spans="1:8" ht="15" x14ac:dyDescent="0.2">
      <c r="A15590" s="747">
        <v>45104</v>
      </c>
      <c r="B15590" s="65" t="s">
        <v>9877</v>
      </c>
      <c r="C15590" s="978"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8"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2" t="s">
        <v>10928</v>
      </c>
      <c r="E16515" s="494"/>
      <c r="F16515" s="494">
        <v>5000000</v>
      </c>
      <c r="G16515" s="498">
        <f t="shared" ref="G16515:G16516" si="270">F16515-E16515</f>
        <v>5000000</v>
      </c>
      <c r="H16515" s="1073" t="s">
        <v>10740</v>
      </c>
    </row>
    <row r="16516" spans="1:10" ht="15" x14ac:dyDescent="0.2">
      <c r="A16516" s="743">
        <v>45160</v>
      </c>
      <c r="B16516" s="136" t="s">
        <v>9769</v>
      </c>
      <c r="C16516" s="497" t="s">
        <v>561</v>
      </c>
      <c r="D16516" s="817" t="s">
        <v>10678</v>
      </c>
      <c r="E16516" s="182">
        <v>50000</v>
      </c>
      <c r="F16516" s="494"/>
      <c r="G16516" s="498">
        <f t="shared" si="270"/>
        <v>-50000</v>
      </c>
      <c r="H16516" s="1073"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4"/>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3"/>
    </row>
    <row r="16528" spans="1:10" ht="15" x14ac:dyDescent="0.2">
      <c r="A16528" s="747">
        <v>45170</v>
      </c>
      <c r="B16528" s="65" t="s">
        <v>103</v>
      </c>
      <c r="C16528" s="65" t="s">
        <v>394</v>
      </c>
      <c r="D16528" s="189" t="s">
        <v>10321</v>
      </c>
      <c r="E16528" s="132">
        <v>3000</v>
      </c>
      <c r="F16528" s="60"/>
      <c r="G16528" s="60">
        <f t="shared" si="275"/>
        <v>-3000</v>
      </c>
      <c r="H16528" s="718" t="s">
        <v>11069</v>
      </c>
      <c r="J16528" s="1113"/>
    </row>
    <row r="16529" spans="1:10" ht="15" x14ac:dyDescent="0.2">
      <c r="A16529" s="747">
        <v>45171</v>
      </c>
      <c r="B16529" s="65" t="s">
        <v>16</v>
      </c>
      <c r="C16529" s="65" t="s">
        <v>394</v>
      </c>
      <c r="D16529" s="189" t="s">
        <v>11078</v>
      </c>
      <c r="E16529" s="132">
        <v>4000</v>
      </c>
      <c r="F16529" s="60"/>
      <c r="G16529" s="60">
        <f t="shared" si="275"/>
        <v>-4000</v>
      </c>
      <c r="H16529" s="718" t="s">
        <v>11069</v>
      </c>
      <c r="J16529" s="1113"/>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3"/>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3"/>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3"/>
    </row>
    <row r="16653" spans="1:10" ht="15" x14ac:dyDescent="0.2">
      <c r="A16653" s="747">
        <v>45182</v>
      </c>
      <c r="B16653" s="65" t="s">
        <v>11022</v>
      </c>
      <c r="C16653" s="65" t="s">
        <v>5791</v>
      </c>
      <c r="D16653" s="189" t="s">
        <v>11206</v>
      </c>
      <c r="E16653" s="132">
        <v>10000</v>
      </c>
      <c r="F16653" s="60"/>
      <c r="G16653" s="60">
        <f t="shared" si="275"/>
        <v>-10000</v>
      </c>
      <c r="H16653" s="718" t="s">
        <v>11069</v>
      </c>
      <c r="J16653" s="1113"/>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3"/>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3"/>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3"/>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3"/>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3"/>
    </row>
    <row r="16917" spans="1:10" ht="15" x14ac:dyDescent="0.2">
      <c r="A16917" s="743">
        <v>45174</v>
      </c>
      <c r="B16917" s="94" t="s">
        <v>9463</v>
      </c>
      <c r="C16917" s="97" t="s">
        <v>561</v>
      </c>
      <c r="D16917" s="908" t="s">
        <v>11071</v>
      </c>
      <c r="E16917" s="95"/>
      <c r="F16917" s="95">
        <v>938219</v>
      </c>
      <c r="G16917" s="182">
        <f t="shared" si="296"/>
        <v>938219</v>
      </c>
      <c r="H16917" s="715" t="s">
        <v>11069</v>
      </c>
      <c r="J16917" s="1113"/>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3"/>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3"/>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4" t="s">
        <v>11457</v>
      </c>
      <c r="E17046" s="639">
        <v>27500</v>
      </c>
      <c r="F17046" s="60"/>
      <c r="G17046" s="132">
        <f t="shared" si="313"/>
        <v>-27500</v>
      </c>
      <c r="H17046" s="718" t="s">
        <v>11364</v>
      </c>
    </row>
    <row r="17047" spans="1:8" ht="15" x14ac:dyDescent="0.2">
      <c r="A17047" s="747">
        <v>45211</v>
      </c>
      <c r="B17047" s="43" t="s">
        <v>11122</v>
      </c>
      <c r="C17047" s="575" t="s">
        <v>1362</v>
      </c>
      <c r="D17047" s="1074" t="s">
        <v>11457</v>
      </c>
      <c r="E17047" s="639">
        <f>7250+7000</f>
        <v>14250</v>
      </c>
      <c r="F17047" s="60"/>
      <c r="G17047" s="132">
        <f t="shared" si="313"/>
        <v>-14250</v>
      </c>
      <c r="H17047" s="718" t="s">
        <v>11364</v>
      </c>
    </row>
    <row r="17048" spans="1:8" ht="15" x14ac:dyDescent="0.2">
      <c r="A17048" s="747">
        <v>45211</v>
      </c>
      <c r="B17048" s="43" t="s">
        <v>10582</v>
      </c>
      <c r="C17048" s="575" t="s">
        <v>1362</v>
      </c>
      <c r="D17048" s="1074" t="s">
        <v>11457</v>
      </c>
      <c r="E17048" s="639">
        <v>6650</v>
      </c>
      <c r="F17048" s="60"/>
      <c r="G17048" s="132">
        <f t="shared" si="313"/>
        <v>-6650</v>
      </c>
      <c r="H17048" s="718" t="s">
        <v>11364</v>
      </c>
    </row>
    <row r="17049" spans="1:8" ht="15" x14ac:dyDescent="0.2">
      <c r="A17049" s="747">
        <v>45211</v>
      </c>
      <c r="B17049" s="43" t="s">
        <v>10582</v>
      </c>
      <c r="C17049" s="575" t="s">
        <v>1362</v>
      </c>
      <c r="D17049" s="1074"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4" t="s">
        <v>11657</v>
      </c>
      <c r="E17246" s="748">
        <v>4800</v>
      </c>
      <c r="F17246" s="60"/>
      <c r="G17246" s="132">
        <f t="shared" si="336"/>
        <v>-4800</v>
      </c>
      <c r="H17246" s="718" t="s">
        <v>11364</v>
      </c>
    </row>
    <row r="17247" spans="1:8" ht="15" x14ac:dyDescent="0.2">
      <c r="A17247" s="747">
        <v>45229</v>
      </c>
      <c r="B17247" s="43" t="s">
        <v>11022</v>
      </c>
      <c r="C17247" s="643" t="s">
        <v>11108</v>
      </c>
      <c r="D17247" s="1084" t="s">
        <v>11657</v>
      </c>
      <c r="E17247" s="748">
        <v>4800</v>
      </c>
      <c r="F17247" s="60"/>
      <c r="G17247" s="132">
        <f t="shared" si="336"/>
        <v>-4800</v>
      </c>
      <c r="H17247" s="718" t="s">
        <v>11364</v>
      </c>
    </row>
    <row r="17248" spans="1:8" ht="15" x14ac:dyDescent="0.2">
      <c r="A17248" s="747">
        <v>45229</v>
      </c>
      <c r="B17248" s="43" t="s">
        <v>10342</v>
      </c>
      <c r="C17248" s="643" t="s">
        <v>11108</v>
      </c>
      <c r="D17248" s="1084"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11999</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11876</v>
      </c>
      <c r="E17520" s="60">
        <v>735690</v>
      </c>
      <c r="F17520" s="60"/>
      <c r="G17520" s="132">
        <f t="shared" si="370"/>
        <v>-735690</v>
      </c>
      <c r="H17520" s="718" t="s">
        <v>11645</v>
      </c>
    </row>
    <row r="17521" spans="1:8" ht="15" x14ac:dyDescent="0.2">
      <c r="A17521" s="747">
        <v>45248</v>
      </c>
      <c r="B17521" s="43" t="s">
        <v>10342</v>
      </c>
      <c r="C17521" s="65" t="s">
        <v>11877</v>
      </c>
      <c r="D17521" s="807" t="s">
        <v>11878</v>
      </c>
      <c r="E17521" s="60">
        <v>16000</v>
      </c>
      <c r="F17521" s="60"/>
      <c r="G17521" s="132">
        <f t="shared" si="370"/>
        <v>-16000</v>
      </c>
      <c r="H17521" s="718" t="s">
        <v>11645</v>
      </c>
    </row>
    <row r="17522" spans="1:8" ht="15" x14ac:dyDescent="0.2">
      <c r="A17522" s="747">
        <v>45248</v>
      </c>
      <c r="B17522" s="43" t="s">
        <v>11758</v>
      </c>
      <c r="C17522" s="560" t="s">
        <v>11108</v>
      </c>
      <c r="D17522" s="920" t="s">
        <v>11879</v>
      </c>
      <c r="E17522" s="592">
        <v>61333</v>
      </c>
      <c r="F17522" s="60"/>
      <c r="G17522" s="132">
        <f t="shared" si="370"/>
        <v>-61333</v>
      </c>
      <c r="H17522" s="718" t="s">
        <v>11645</v>
      </c>
    </row>
    <row r="17523" spans="1:8" ht="15" x14ac:dyDescent="0.2">
      <c r="A17523" s="747">
        <v>45248</v>
      </c>
      <c r="B17523" s="43" t="s">
        <v>11022</v>
      </c>
      <c r="C17523" s="560" t="s">
        <v>11108</v>
      </c>
      <c r="D17523" s="920" t="s">
        <v>11879</v>
      </c>
      <c r="E17523" s="592">
        <v>61333</v>
      </c>
      <c r="F17523" s="60"/>
      <c r="G17523" s="132">
        <f t="shared" si="370"/>
        <v>-61333</v>
      </c>
      <c r="H17523" s="718" t="s">
        <v>11645</v>
      </c>
    </row>
    <row r="17524" spans="1:8" ht="15" x14ac:dyDescent="0.2">
      <c r="A17524" s="747">
        <v>45248</v>
      </c>
      <c r="B17524" s="43" t="s">
        <v>10342</v>
      </c>
      <c r="C17524" s="560" t="s">
        <v>11108</v>
      </c>
      <c r="D17524" s="920" t="s">
        <v>11879</v>
      </c>
      <c r="E17524" s="592">
        <v>61334</v>
      </c>
      <c r="F17524" s="60"/>
      <c r="G17524" s="132">
        <f t="shared" si="370"/>
        <v>-61334</v>
      </c>
      <c r="H17524" s="718" t="s">
        <v>11645</v>
      </c>
    </row>
    <row r="17525" spans="1:8" ht="15" x14ac:dyDescent="0.2">
      <c r="A17525" s="747">
        <v>45248</v>
      </c>
      <c r="B17525" s="43" t="s">
        <v>11022</v>
      </c>
      <c r="C17525" s="65" t="s">
        <v>11108</v>
      </c>
      <c r="D17525" s="807" t="s">
        <v>11880</v>
      </c>
      <c r="E17525" s="60">
        <v>6000</v>
      </c>
      <c r="F17525" s="60"/>
      <c r="G17525" s="132">
        <f t="shared" si="370"/>
        <v>-6000</v>
      </c>
      <c r="H17525" s="718" t="s">
        <v>11645</v>
      </c>
    </row>
    <row r="17526" spans="1:8" ht="15" x14ac:dyDescent="0.2">
      <c r="A17526" s="747">
        <v>45248</v>
      </c>
      <c r="B17526" s="43" t="s">
        <v>11758</v>
      </c>
      <c r="C17526" s="560" t="s">
        <v>11108</v>
      </c>
      <c r="D17526" s="920" t="s">
        <v>11881</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11881</v>
      </c>
      <c r="E17527" s="592">
        <v>19667</v>
      </c>
      <c r="F17527" s="60"/>
      <c r="G17527" s="132">
        <f t="shared" si="371"/>
        <v>-19667</v>
      </c>
      <c r="H17527" s="718" t="s">
        <v>11645</v>
      </c>
    </row>
    <row r="17528" spans="1:8" ht="15" x14ac:dyDescent="0.2">
      <c r="A17528" s="747">
        <v>45248</v>
      </c>
      <c r="B17528" s="43" t="s">
        <v>10342</v>
      </c>
      <c r="C17528" s="560" t="s">
        <v>11108</v>
      </c>
      <c r="D17528" s="920" t="s">
        <v>11881</v>
      </c>
      <c r="E17528" s="592">
        <v>19666</v>
      </c>
      <c r="F17528" s="60"/>
      <c r="G17528" s="132">
        <f t="shared" si="371"/>
        <v>-19666</v>
      </c>
      <c r="H17528" s="718" t="s">
        <v>11645</v>
      </c>
    </row>
    <row r="17529" spans="1:8" ht="15" x14ac:dyDescent="0.2">
      <c r="A17529" s="747">
        <v>45248</v>
      </c>
      <c r="B17529" s="43" t="s">
        <v>11633</v>
      </c>
      <c r="C17529" s="65" t="s">
        <v>11882</v>
      </c>
      <c r="D17529" s="807" t="s">
        <v>6543</v>
      </c>
      <c r="E17529" s="60">
        <v>8900</v>
      </c>
      <c r="F17529" s="60"/>
      <c r="G17529" s="132">
        <f t="shared" si="371"/>
        <v>-8900</v>
      </c>
      <c r="H17529" s="718" t="s">
        <v>11645</v>
      </c>
    </row>
    <row r="17530" spans="1:8" ht="15" x14ac:dyDescent="0.2">
      <c r="A17530" s="747">
        <v>45250</v>
      </c>
      <c r="B17530" s="43" t="s">
        <v>9463</v>
      </c>
      <c r="C17530" s="560" t="s">
        <v>11886</v>
      </c>
      <c r="D17530" s="920" t="s">
        <v>11885</v>
      </c>
      <c r="E17530" s="592">
        <v>234213</v>
      </c>
      <c r="F17530" s="60"/>
      <c r="G17530" s="132">
        <f t="shared" ref="G17530:G17534" si="372">F17530-E17530</f>
        <v>-234213</v>
      </c>
      <c r="H17530" s="718" t="s">
        <v>11645</v>
      </c>
    </row>
    <row r="17531" spans="1:8" ht="15" x14ac:dyDescent="0.2">
      <c r="A17531" s="747">
        <v>45250</v>
      </c>
      <c r="B17531" s="43" t="s">
        <v>11211</v>
      </c>
      <c r="C17531" s="560" t="s">
        <v>11886</v>
      </c>
      <c r="D17531" s="920" t="s">
        <v>11885</v>
      </c>
      <c r="E17531" s="592">
        <v>163580</v>
      </c>
      <c r="F17531" s="60"/>
      <c r="G17531" s="132">
        <f t="shared" ref="G17531:G17532" si="373">F17531-E17531</f>
        <v>-163580</v>
      </c>
      <c r="H17531" s="718" t="s">
        <v>11645</v>
      </c>
    </row>
    <row r="17532" spans="1:8" ht="15" x14ac:dyDescent="0.2">
      <c r="A17532" s="747">
        <v>45250</v>
      </c>
      <c r="B17532" s="43" t="s">
        <v>10096</v>
      </c>
      <c r="C17532" s="560" t="s">
        <v>11886</v>
      </c>
      <c r="D17532" s="920" t="s">
        <v>11885</v>
      </c>
      <c r="E17532" s="592">
        <v>102207</v>
      </c>
      <c r="F17532" s="60"/>
      <c r="G17532" s="132">
        <f t="shared" si="373"/>
        <v>-102207</v>
      </c>
      <c r="H17532" s="718" t="s">
        <v>11645</v>
      </c>
    </row>
    <row r="17533" spans="1:8" ht="15" x14ac:dyDescent="0.2">
      <c r="A17533" s="747">
        <v>45250</v>
      </c>
      <c r="B17533" s="43" t="s">
        <v>103</v>
      </c>
      <c r="C17533" s="65" t="s">
        <v>103</v>
      </c>
      <c r="D17533" s="807" t="s">
        <v>11883</v>
      </c>
      <c r="E17533" s="60">
        <v>5000</v>
      </c>
      <c r="F17533" s="60"/>
      <c r="G17533" s="132">
        <f t="shared" si="372"/>
        <v>-5000</v>
      </c>
      <c r="H17533" s="718" t="s">
        <v>11645</v>
      </c>
    </row>
    <row r="17534" spans="1:8" ht="15" x14ac:dyDescent="0.2">
      <c r="A17534" s="747">
        <v>45250</v>
      </c>
      <c r="B17534" s="43" t="s">
        <v>11022</v>
      </c>
      <c r="C17534" s="65" t="s">
        <v>11108</v>
      </c>
      <c r="D17534" s="807" t="s">
        <v>11884</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11887</v>
      </c>
      <c r="E17537" s="60">
        <v>760000</v>
      </c>
      <c r="F17537" s="60"/>
      <c r="G17537" s="132">
        <f t="shared" si="374"/>
        <v>-760000</v>
      </c>
      <c r="H17537" s="718" t="s">
        <v>11645</v>
      </c>
    </row>
    <row r="17538" spans="1:8" ht="15" x14ac:dyDescent="0.2">
      <c r="A17538" s="747">
        <v>45250</v>
      </c>
      <c r="B17538" s="43" t="s">
        <v>11022</v>
      </c>
      <c r="C17538" s="65" t="s">
        <v>11408</v>
      </c>
      <c r="D17538" s="807" t="s">
        <v>11887</v>
      </c>
      <c r="E17538" s="60">
        <v>50000</v>
      </c>
      <c r="F17538" s="60"/>
      <c r="G17538" s="132">
        <f t="shared" si="374"/>
        <v>-50000</v>
      </c>
      <c r="H17538" s="718" t="s">
        <v>11645</v>
      </c>
    </row>
    <row r="17539" spans="1:8" ht="15" x14ac:dyDescent="0.2">
      <c r="A17539" s="747">
        <v>45250</v>
      </c>
      <c r="B17539" s="43" t="s">
        <v>11568</v>
      </c>
      <c r="C17539" s="65" t="s">
        <v>11682</v>
      </c>
      <c r="D17539" s="807" t="s">
        <v>11903</v>
      </c>
      <c r="E17539" s="60">
        <v>50000</v>
      </c>
      <c r="F17539" s="60"/>
      <c r="G17539" s="132">
        <f t="shared" si="374"/>
        <v>-50000</v>
      </c>
      <c r="H17539" s="718" t="s">
        <v>11645</v>
      </c>
    </row>
    <row r="17540" spans="1:8" ht="15" x14ac:dyDescent="0.2">
      <c r="A17540" s="747">
        <v>45250</v>
      </c>
      <c r="B17540" s="43" t="s">
        <v>3979</v>
      </c>
      <c r="C17540" s="560" t="s">
        <v>302</v>
      </c>
      <c r="D17540" s="920" t="s">
        <v>11888</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11888</v>
      </c>
      <c r="E17541" s="592">
        <v>130000</v>
      </c>
      <c r="F17541" s="60"/>
      <c r="G17541" s="132">
        <f t="shared" si="375"/>
        <v>-130000</v>
      </c>
      <c r="H17541" s="718" t="s">
        <v>11645</v>
      </c>
    </row>
    <row r="17542" spans="1:8" ht="15" x14ac:dyDescent="0.2">
      <c r="A17542" s="747">
        <v>45250</v>
      </c>
      <c r="B17542" s="43" t="s">
        <v>37</v>
      </c>
      <c r="C17542" s="560" t="s">
        <v>302</v>
      </c>
      <c r="D17542" s="920" t="s">
        <v>11888</v>
      </c>
      <c r="E17542" s="592">
        <v>130000</v>
      </c>
      <c r="F17542" s="60"/>
      <c r="G17542" s="132">
        <f t="shared" si="375"/>
        <v>-130000</v>
      </c>
      <c r="H17542" s="718" t="s">
        <v>11645</v>
      </c>
    </row>
    <row r="17543" spans="1:8" ht="15" x14ac:dyDescent="0.2">
      <c r="A17543" s="747">
        <v>45251</v>
      </c>
      <c r="B17543" s="43" t="s">
        <v>25</v>
      </c>
      <c r="C17543" s="65" t="s">
        <v>7669</v>
      </c>
      <c r="D17543" s="807" t="s">
        <v>11889</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11890</v>
      </c>
      <c r="E17544" s="60">
        <v>15000</v>
      </c>
      <c r="F17544" s="60"/>
      <c r="G17544" s="132">
        <f t="shared" si="376"/>
        <v>-15000</v>
      </c>
      <c r="H17544" s="718" t="s">
        <v>11645</v>
      </c>
    </row>
    <row r="17545" spans="1:8" ht="15" x14ac:dyDescent="0.2">
      <c r="A17545" s="747">
        <v>45251</v>
      </c>
      <c r="B17545" s="43" t="s">
        <v>10342</v>
      </c>
      <c r="C17545" s="65" t="s">
        <v>288</v>
      </c>
      <c r="D17545" s="807" t="s">
        <v>11890</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11890</v>
      </c>
      <c r="E17546" s="60">
        <v>15000</v>
      </c>
      <c r="F17546" s="60"/>
      <c r="G17546" s="132">
        <f t="shared" si="377"/>
        <v>-15000</v>
      </c>
      <c r="H17546" s="718" t="s">
        <v>11645</v>
      </c>
    </row>
    <row r="17547" spans="1:8" ht="15" x14ac:dyDescent="0.2">
      <c r="A17547" s="747">
        <v>45251</v>
      </c>
      <c r="B17547" s="43" t="s">
        <v>11022</v>
      </c>
      <c r="C17547" s="65" t="s">
        <v>2819</v>
      </c>
      <c r="D17547" s="807" t="s">
        <v>11891</v>
      </c>
      <c r="E17547" s="60">
        <v>5000</v>
      </c>
      <c r="F17547" s="60"/>
      <c r="G17547" s="132">
        <f t="shared" si="377"/>
        <v>-5000</v>
      </c>
      <c r="H17547" s="718" t="s">
        <v>11645</v>
      </c>
    </row>
    <row r="17548" spans="1:8" ht="15" x14ac:dyDescent="0.2">
      <c r="A17548" s="747">
        <v>45251</v>
      </c>
      <c r="B17548" s="43" t="s">
        <v>10342</v>
      </c>
      <c r="C17548" s="65" t="s">
        <v>2819</v>
      </c>
      <c r="D17548" s="807" t="s">
        <v>11891</v>
      </c>
      <c r="E17548" s="60">
        <v>5000</v>
      </c>
      <c r="F17548" s="60"/>
      <c r="G17548" s="132">
        <f t="shared" si="377"/>
        <v>-5000</v>
      </c>
      <c r="H17548" s="718" t="s">
        <v>11645</v>
      </c>
    </row>
    <row r="17549" spans="1:8" ht="15" x14ac:dyDescent="0.2">
      <c r="A17549" s="747">
        <v>45251</v>
      </c>
      <c r="B17549" s="43" t="s">
        <v>9463</v>
      </c>
      <c r="C17549" s="65" t="s">
        <v>2819</v>
      </c>
      <c r="D17549" s="807" t="s">
        <v>11891</v>
      </c>
      <c r="E17549" s="60">
        <v>5000</v>
      </c>
      <c r="F17549" s="60"/>
      <c r="G17549" s="132">
        <f t="shared" si="377"/>
        <v>-5000</v>
      </c>
      <c r="H17549" s="718" t="s">
        <v>11645</v>
      </c>
    </row>
    <row r="17550" spans="1:8" ht="15" x14ac:dyDescent="0.2">
      <c r="A17550" s="747">
        <v>45251</v>
      </c>
      <c r="B17550" s="43" t="s">
        <v>11022</v>
      </c>
      <c r="C17550" s="65" t="s">
        <v>11108</v>
      </c>
      <c r="D17550" s="807" t="s">
        <v>11892</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11893</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11894</v>
      </c>
      <c r="E17555" s="60">
        <v>5000</v>
      </c>
      <c r="F17555" s="60"/>
      <c r="G17555" s="132">
        <f t="shared" si="378"/>
        <v>-5000</v>
      </c>
      <c r="H17555" s="718" t="s">
        <v>11645</v>
      </c>
    </row>
    <row r="17556" spans="1:8" ht="15" x14ac:dyDescent="0.2">
      <c r="A17556" s="747">
        <v>45251</v>
      </c>
      <c r="B17556" s="43" t="s">
        <v>11207</v>
      </c>
      <c r="C17556" s="65" t="s">
        <v>11895</v>
      </c>
      <c r="D17556" s="807" t="s">
        <v>11896</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11900</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11900</v>
      </c>
      <c r="E17560" s="592">
        <v>247020</v>
      </c>
      <c r="F17560" s="60"/>
      <c r="G17560" s="132">
        <f t="shared" si="379"/>
        <v>-247020</v>
      </c>
      <c r="H17560" s="718" t="s">
        <v>11645</v>
      </c>
    </row>
    <row r="17561" spans="1:8" ht="15" x14ac:dyDescent="0.2">
      <c r="A17561" s="747">
        <v>45251</v>
      </c>
      <c r="B17561" s="43" t="s">
        <v>11023</v>
      </c>
      <c r="C17561" s="560" t="s">
        <v>258</v>
      </c>
      <c r="D17561" s="920" t="s">
        <v>11900</v>
      </c>
      <c r="E17561" s="592">
        <v>145320</v>
      </c>
      <c r="F17561" s="60"/>
      <c r="G17561" s="132">
        <f t="shared" si="379"/>
        <v>-145320</v>
      </c>
      <c r="H17561" s="718" t="s">
        <v>11645</v>
      </c>
    </row>
    <row r="17562" spans="1:8" ht="15" x14ac:dyDescent="0.2">
      <c r="A17562" s="747">
        <v>45252</v>
      </c>
      <c r="B17562" s="43" t="s">
        <v>11022</v>
      </c>
      <c r="C17562" s="65" t="s">
        <v>11897</v>
      </c>
      <c r="D17562" s="807" t="s">
        <v>11898</v>
      </c>
      <c r="E17562" s="60">
        <v>50000</v>
      </c>
      <c r="F17562" s="60"/>
      <c r="G17562" s="132">
        <f t="shared" si="378"/>
        <v>-50000</v>
      </c>
      <c r="H17562" s="718" t="s">
        <v>11645</v>
      </c>
    </row>
    <row r="17563" spans="1:8" ht="15" x14ac:dyDescent="0.2">
      <c r="A17563" s="747">
        <v>45252</v>
      </c>
      <c r="B17563" s="43" t="s">
        <v>103</v>
      </c>
      <c r="C17563" s="65" t="s">
        <v>799</v>
      </c>
      <c r="D17563" s="807" t="s">
        <v>11899</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11903</v>
      </c>
      <c r="E17566" s="60">
        <v>20000</v>
      </c>
      <c r="F17566" s="60"/>
      <c r="G17566" s="132">
        <f t="shared" si="380"/>
        <v>-20000</v>
      </c>
      <c r="H17566" s="718" t="s">
        <v>11645</v>
      </c>
    </row>
    <row r="17567" spans="1:8" ht="15" x14ac:dyDescent="0.2">
      <c r="A17567" s="747">
        <v>45252</v>
      </c>
      <c r="B17567" s="43" t="s">
        <v>11568</v>
      </c>
      <c r="C17567" s="65" t="s">
        <v>11108</v>
      </c>
      <c r="D17567" s="807" t="s">
        <v>11904</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11938</v>
      </c>
      <c r="E17569" s="60">
        <v>2400</v>
      </c>
      <c r="F17569" s="60"/>
      <c r="G17569" s="132">
        <f t="shared" si="381"/>
        <v>-2400</v>
      </c>
      <c r="H17569" s="718" t="s">
        <v>11645</v>
      </c>
    </row>
    <row r="17570" spans="1:8" ht="15" x14ac:dyDescent="0.2">
      <c r="A17570" s="747">
        <v>45252</v>
      </c>
      <c r="B17570" s="43" t="s">
        <v>11746</v>
      </c>
      <c r="C17570" s="65" t="s">
        <v>11108</v>
      </c>
      <c r="D17570" s="807" t="s">
        <v>11939</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11877</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11940</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11894</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11894</v>
      </c>
      <c r="E17581" s="60">
        <v>5000</v>
      </c>
      <c r="F17581" s="60"/>
      <c r="G17581" s="132">
        <f t="shared" si="383"/>
        <v>-5000</v>
      </c>
      <c r="H17581" s="718" t="s">
        <v>11645</v>
      </c>
    </row>
    <row r="17582" spans="1:8" ht="15" x14ac:dyDescent="0.2">
      <c r="A17582" s="747">
        <v>45255</v>
      </c>
      <c r="B17582" s="43" t="s">
        <v>11941</v>
      </c>
      <c r="C17582" s="65" t="s">
        <v>11108</v>
      </c>
      <c r="D17582" s="807" t="s">
        <v>11942</v>
      </c>
      <c r="E17582" s="60">
        <v>4400</v>
      </c>
      <c r="F17582" s="60"/>
      <c r="G17582" s="132">
        <f t="shared" si="383"/>
        <v>-4400</v>
      </c>
      <c r="H17582" s="718" t="s">
        <v>11645</v>
      </c>
    </row>
    <row r="17583" spans="1:8" ht="15" x14ac:dyDescent="0.2">
      <c r="A17583" s="747">
        <v>45255</v>
      </c>
      <c r="B17583" s="43" t="s">
        <v>11207</v>
      </c>
      <c r="C17583" s="65" t="s">
        <v>394</v>
      </c>
      <c r="D17583" s="807" t="s">
        <v>11943</v>
      </c>
      <c r="E17583" s="60">
        <v>4000</v>
      </c>
      <c r="F17583" s="60"/>
      <c r="G17583" s="132">
        <f t="shared" si="383"/>
        <v>-4000</v>
      </c>
      <c r="H17583" s="718" t="s">
        <v>11645</v>
      </c>
    </row>
    <row r="17584" spans="1:8" ht="15" x14ac:dyDescent="0.2">
      <c r="A17584" s="747">
        <v>45255</v>
      </c>
      <c r="B17584" s="43" t="s">
        <v>11758</v>
      </c>
      <c r="C17584" s="65" t="s">
        <v>11108</v>
      </c>
      <c r="D17584" s="807" t="s">
        <v>11939</v>
      </c>
      <c r="E17584" s="60">
        <v>5000</v>
      </c>
      <c r="F17584" s="60"/>
      <c r="G17584" s="132">
        <f t="shared" si="383"/>
        <v>-5000</v>
      </c>
      <c r="H17584" s="718" t="s">
        <v>11645</v>
      </c>
    </row>
    <row r="17585" spans="1:8" ht="15" x14ac:dyDescent="0.2">
      <c r="A17585" s="747">
        <v>45255</v>
      </c>
      <c r="B17585" s="43" t="s">
        <v>11207</v>
      </c>
      <c r="C17585" s="65" t="s">
        <v>394</v>
      </c>
      <c r="D17585" s="807" t="s">
        <v>11944</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11894</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11894</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11957</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11958</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11959</v>
      </c>
      <c r="E17601" s="60">
        <v>2800</v>
      </c>
      <c r="F17601" s="60"/>
      <c r="G17601" s="132">
        <f t="shared" si="386"/>
        <v>-2800</v>
      </c>
      <c r="H17601" s="718" t="s">
        <v>11645</v>
      </c>
    </row>
    <row r="17602" spans="1:8" ht="15" x14ac:dyDescent="0.2">
      <c r="A17602" s="747">
        <v>45260</v>
      </c>
      <c r="B17602" s="65" t="s">
        <v>11207</v>
      </c>
      <c r="C17602" s="1120" t="s">
        <v>799</v>
      </c>
      <c r="D17602" s="1121" t="s">
        <v>11126</v>
      </c>
      <c r="E17602" s="1122">
        <v>25000</v>
      </c>
      <c r="F17602" s="60"/>
      <c r="G17602" s="132">
        <f t="shared" si="386"/>
        <v>-25000</v>
      </c>
      <c r="H17602" s="718" t="s">
        <v>11645</v>
      </c>
    </row>
    <row r="17603" spans="1:8" ht="15" x14ac:dyDescent="0.2">
      <c r="A17603" s="747">
        <v>45260</v>
      </c>
      <c r="B17603" s="65" t="s">
        <v>10096</v>
      </c>
      <c r="C17603" s="1120" t="s">
        <v>799</v>
      </c>
      <c r="D17603" s="1121" t="s">
        <v>11126</v>
      </c>
      <c r="E17603" s="1122">
        <v>25000</v>
      </c>
      <c r="F17603" s="60"/>
      <c r="G17603" s="132">
        <f t="shared" si="386"/>
        <v>-25000</v>
      </c>
      <c r="H17603" s="718" t="s">
        <v>11645</v>
      </c>
    </row>
    <row r="17604" spans="1:8" ht="15" x14ac:dyDescent="0.2">
      <c r="A17604" s="747">
        <v>45260</v>
      </c>
      <c r="B17604" s="65" t="s">
        <v>11853</v>
      </c>
      <c r="C17604" s="1120" t="s">
        <v>799</v>
      </c>
      <c r="D17604" s="1121" t="s">
        <v>11127</v>
      </c>
      <c r="E17604" s="1122">
        <v>25000</v>
      </c>
      <c r="F17604" s="60"/>
      <c r="G17604" s="132">
        <f t="shared" si="386"/>
        <v>-25000</v>
      </c>
      <c r="H17604" s="718" t="s">
        <v>11645</v>
      </c>
    </row>
    <row r="17605" spans="1:8" ht="15" x14ac:dyDescent="0.2">
      <c r="A17605" s="747">
        <v>45260</v>
      </c>
      <c r="B17605" s="65" t="s">
        <v>11022</v>
      </c>
      <c r="C17605" s="1120" t="s">
        <v>799</v>
      </c>
      <c r="D17605" s="1121" t="s">
        <v>11127</v>
      </c>
      <c r="E17605" s="1122">
        <v>25000</v>
      </c>
      <c r="F17605" s="60"/>
      <c r="G17605" s="132">
        <f t="shared" si="386"/>
        <v>-25000</v>
      </c>
      <c r="H17605" s="718" t="s">
        <v>11645</v>
      </c>
    </row>
    <row r="17606" spans="1:8" ht="15" x14ac:dyDescent="0.2">
      <c r="A17606" s="747">
        <v>45260</v>
      </c>
      <c r="B17606" s="65" t="s">
        <v>25</v>
      </c>
      <c r="C17606" s="1120" t="s">
        <v>799</v>
      </c>
      <c r="D17606" s="1121" t="s">
        <v>11237</v>
      </c>
      <c r="E17606" s="1122">
        <v>80000</v>
      </c>
      <c r="F17606" s="60"/>
      <c r="G17606" s="132">
        <f t="shared" si="386"/>
        <v>-80000</v>
      </c>
      <c r="H17606" s="718" t="s">
        <v>11645</v>
      </c>
    </row>
    <row r="17607" spans="1:8" ht="15" x14ac:dyDescent="0.2">
      <c r="A17607" s="747">
        <v>45260</v>
      </c>
      <c r="B17607" s="65" t="s">
        <v>11758</v>
      </c>
      <c r="C17607" s="1120" t="s">
        <v>799</v>
      </c>
      <c r="D17607" s="1121" t="s">
        <v>10863</v>
      </c>
      <c r="E17607" s="1122">
        <v>100040</v>
      </c>
      <c r="F17607" s="132"/>
      <c r="G17607" s="132">
        <f t="shared" si="386"/>
        <v>-100040</v>
      </c>
      <c r="H17607" s="718" t="s">
        <v>11645</v>
      </c>
    </row>
    <row r="17608" spans="1:8" ht="15" x14ac:dyDescent="0.2">
      <c r="A17608" s="747">
        <v>45260</v>
      </c>
      <c r="B17608" s="65" t="s">
        <v>103</v>
      </c>
      <c r="C17608" s="1120" t="s">
        <v>799</v>
      </c>
      <c r="D17608" s="1121" t="s">
        <v>10247</v>
      </c>
      <c r="E17608" s="1122">
        <v>336170</v>
      </c>
      <c r="F17608" s="132"/>
      <c r="G17608" s="132">
        <f t="shared" si="386"/>
        <v>-336170</v>
      </c>
      <c r="H17608" s="718" t="s">
        <v>11645</v>
      </c>
    </row>
    <row r="17609" spans="1:8" ht="15" x14ac:dyDescent="0.2">
      <c r="A17609" s="747">
        <v>45260</v>
      </c>
      <c r="B17609" s="65" t="s">
        <v>103</v>
      </c>
      <c r="C17609" s="1120" t="s">
        <v>799</v>
      </c>
      <c r="D17609" s="1121" t="s">
        <v>11151</v>
      </c>
      <c r="E17609" s="1122">
        <v>41880</v>
      </c>
      <c r="F17609" s="132"/>
      <c r="G17609" s="132">
        <f t="shared" si="386"/>
        <v>-41880</v>
      </c>
      <c r="H17609" s="718" t="s">
        <v>11645</v>
      </c>
    </row>
    <row r="17610" spans="1:8" ht="15" x14ac:dyDescent="0.2">
      <c r="A17610" s="747">
        <v>45260</v>
      </c>
      <c r="B17610" s="65" t="s">
        <v>37</v>
      </c>
      <c r="C17610" s="1120" t="s">
        <v>799</v>
      </c>
      <c r="D17610" s="1121" t="s">
        <v>11971</v>
      </c>
      <c r="E17610" s="1122">
        <v>132130</v>
      </c>
      <c r="F17610" s="132"/>
      <c r="G17610" s="132">
        <f t="shared" ref="G17610:G17619" si="387">F17610-E17610</f>
        <v>-132130</v>
      </c>
      <c r="H17610" s="718" t="s">
        <v>11645</v>
      </c>
    </row>
    <row r="17611" spans="1:8" ht="15" x14ac:dyDescent="0.2">
      <c r="A17611" s="747">
        <v>45260</v>
      </c>
      <c r="B17611" s="65" t="s">
        <v>11022</v>
      </c>
      <c r="C17611" s="1120" t="s">
        <v>799</v>
      </c>
      <c r="D17611" s="1121" t="s">
        <v>11972</v>
      </c>
      <c r="E17611" s="1122">
        <v>23500</v>
      </c>
      <c r="F17611" s="132"/>
      <c r="G17611" s="132">
        <f t="shared" si="387"/>
        <v>-23500</v>
      </c>
      <c r="H17611" s="718" t="s">
        <v>11645</v>
      </c>
    </row>
    <row r="17612" spans="1:8" ht="15" x14ac:dyDescent="0.2">
      <c r="A17612" s="747">
        <v>45260</v>
      </c>
      <c r="B17612" s="65" t="s">
        <v>9463</v>
      </c>
      <c r="C17612" s="1120" t="s">
        <v>799</v>
      </c>
      <c r="D17612" s="1121" t="s">
        <v>11973</v>
      </c>
      <c r="E17612" s="1122">
        <v>40480</v>
      </c>
      <c r="F17612" s="132"/>
      <c r="G17612" s="132">
        <f t="shared" si="387"/>
        <v>-40480</v>
      </c>
      <c r="H17612" s="718" t="s">
        <v>11645</v>
      </c>
    </row>
    <row r="17613" spans="1:8" ht="15" x14ac:dyDescent="0.2">
      <c r="A17613" s="747">
        <v>45260</v>
      </c>
      <c r="B17613" s="65" t="s">
        <v>10096</v>
      </c>
      <c r="C17613" s="1120" t="s">
        <v>799</v>
      </c>
      <c r="D17613" s="1121" t="s">
        <v>11974</v>
      </c>
      <c r="E17613" s="1122">
        <v>57750</v>
      </c>
      <c r="F17613" s="132"/>
      <c r="G17613" s="132">
        <f t="shared" si="387"/>
        <v>-57750</v>
      </c>
      <c r="H17613" s="718" t="s">
        <v>11645</v>
      </c>
    </row>
    <row r="17614" spans="1:8" ht="15" x14ac:dyDescent="0.2">
      <c r="A17614" s="747">
        <v>45260</v>
      </c>
      <c r="B17614" s="65" t="s">
        <v>11758</v>
      </c>
      <c r="C17614" s="1120" t="s">
        <v>799</v>
      </c>
      <c r="D17614" s="1121" t="s">
        <v>11975</v>
      </c>
      <c r="E17614" s="1122">
        <v>65000</v>
      </c>
      <c r="F17614" s="132"/>
      <c r="G17614" s="132">
        <f t="shared" si="387"/>
        <v>-65000</v>
      </c>
      <c r="H17614" s="718" t="s">
        <v>11645</v>
      </c>
    </row>
    <row r="17615" spans="1:8" ht="15" x14ac:dyDescent="0.2">
      <c r="A17615" s="747">
        <v>45260</v>
      </c>
      <c r="B17615" s="65" t="s">
        <v>10096</v>
      </c>
      <c r="C17615" s="1120" t="s">
        <v>799</v>
      </c>
      <c r="D17615" s="1121" t="s">
        <v>11976</v>
      </c>
      <c r="E17615" s="1122">
        <v>50210</v>
      </c>
      <c r="F17615" s="132"/>
      <c r="G17615" s="132">
        <f t="shared" si="387"/>
        <v>-50210</v>
      </c>
      <c r="H17615" s="718" t="s">
        <v>11645</v>
      </c>
    </row>
    <row r="17616" spans="1:8" ht="15" x14ac:dyDescent="0.2">
      <c r="A17616" s="747">
        <v>45260</v>
      </c>
      <c r="B17616" s="65" t="s">
        <v>3979</v>
      </c>
      <c r="C17616" s="1120" t="s">
        <v>799</v>
      </c>
      <c r="D17616" s="1121" t="s">
        <v>11977</v>
      </c>
      <c r="E17616" s="1122">
        <v>93060</v>
      </c>
      <c r="F17616" s="132"/>
      <c r="G17616" s="132">
        <f t="shared" si="387"/>
        <v>-93060</v>
      </c>
      <c r="H17616" s="718" t="s">
        <v>11645</v>
      </c>
    </row>
    <row r="17617" spans="1:8" ht="15" x14ac:dyDescent="0.2">
      <c r="A17617" s="747">
        <v>45260</v>
      </c>
      <c r="B17617" s="65" t="s">
        <v>10096</v>
      </c>
      <c r="C17617" s="1120" t="s">
        <v>799</v>
      </c>
      <c r="D17617" s="1121" t="s">
        <v>11978</v>
      </c>
      <c r="E17617" s="1122">
        <v>17130</v>
      </c>
      <c r="F17617" s="132"/>
      <c r="G17617" s="132">
        <f t="shared" si="387"/>
        <v>-17130</v>
      </c>
      <c r="H17617" s="718" t="s">
        <v>11645</v>
      </c>
    </row>
    <row r="17618" spans="1:8" ht="15" x14ac:dyDescent="0.2">
      <c r="A17618" s="747">
        <v>45260</v>
      </c>
      <c r="B17618" s="65" t="s">
        <v>11863</v>
      </c>
      <c r="C17618" s="1120" t="s">
        <v>799</v>
      </c>
      <c r="D17618" s="1121" t="s">
        <v>11979</v>
      </c>
      <c r="E17618" s="1122">
        <v>380484</v>
      </c>
      <c r="F17618" s="132"/>
      <c r="G17618" s="132">
        <f t="shared" si="387"/>
        <v>-380484</v>
      </c>
      <c r="H17618" s="718" t="s">
        <v>11645</v>
      </c>
    </row>
    <row r="17619" spans="1:8" ht="15" x14ac:dyDescent="0.2">
      <c r="A17619" s="747">
        <v>45260</v>
      </c>
      <c r="B17619" s="65" t="s">
        <v>10096</v>
      </c>
      <c r="C17619" s="1120" t="s">
        <v>799</v>
      </c>
      <c r="D17619" s="1121" t="s">
        <v>11980</v>
      </c>
      <c r="E17619" s="1122">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11921</v>
      </c>
      <c r="E17650" s="561">
        <v>53100</v>
      </c>
      <c r="F17650" s="242"/>
      <c r="G17650" s="242">
        <f t="shared" si="388"/>
        <v>-53100</v>
      </c>
      <c r="H17650" s="722" t="s">
        <v>11645</v>
      </c>
    </row>
    <row r="17651" spans="1:8" ht="19.5" customHeight="1" x14ac:dyDescent="0.2">
      <c r="A17651" s="746">
        <v>45247</v>
      </c>
      <c r="B17651" s="180" t="s">
        <v>11022</v>
      </c>
      <c r="C17651" s="560" t="s">
        <v>11094</v>
      </c>
      <c r="D17651" s="753" t="s">
        <v>11921</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11901</v>
      </c>
      <c r="D17661" s="234" t="s">
        <v>11902</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12103</v>
      </c>
      <c r="E17663" s="561">
        <v>70000</v>
      </c>
      <c r="F17663" s="242"/>
      <c r="G17663" s="242">
        <f t="shared" si="389"/>
        <v>-70000</v>
      </c>
      <c r="H17663" s="722" t="s">
        <v>11645</v>
      </c>
    </row>
    <row r="17664" spans="1:8" ht="19.5" customHeight="1" x14ac:dyDescent="0.2">
      <c r="A17664" s="746">
        <v>45251</v>
      </c>
      <c r="B17664" s="180" t="s">
        <v>10342</v>
      </c>
      <c r="C17664" s="560" t="s">
        <v>6843</v>
      </c>
      <c r="D17664" s="753" t="s">
        <v>12103</v>
      </c>
      <c r="E17664" s="561">
        <v>133000</v>
      </c>
      <c r="F17664" s="242"/>
      <c r="G17664" s="242">
        <f t="shared" si="389"/>
        <v>-133000</v>
      </c>
      <c r="H17664" s="722" t="s">
        <v>11645</v>
      </c>
    </row>
    <row r="17665" spans="1:8" ht="19.5" customHeight="1" x14ac:dyDescent="0.2">
      <c r="A17665" s="746">
        <v>45251</v>
      </c>
      <c r="B17665" s="180" t="s">
        <v>10342</v>
      </c>
      <c r="C17665" s="180" t="s">
        <v>6843</v>
      </c>
      <c r="D17665" s="234" t="s">
        <v>12104</v>
      </c>
      <c r="E17665" s="242">
        <v>150000</v>
      </c>
      <c r="F17665" s="242"/>
      <c r="G17665" s="242">
        <f t="shared" si="389"/>
        <v>-150000</v>
      </c>
      <c r="H17665" s="722" t="s">
        <v>11645</v>
      </c>
    </row>
    <row r="17666" spans="1:8" ht="19.5" customHeight="1" x14ac:dyDescent="0.2">
      <c r="A17666" s="746">
        <v>45254</v>
      </c>
      <c r="B17666" s="180" t="s">
        <v>3979</v>
      </c>
      <c r="C17666" s="180" t="s">
        <v>11924</v>
      </c>
      <c r="D17666" s="234" t="s">
        <v>11923</v>
      </c>
      <c r="E17666" s="242">
        <v>120000</v>
      </c>
      <c r="F17666" s="242"/>
      <c r="G17666" s="242">
        <f t="shared" si="389"/>
        <v>-120000</v>
      </c>
      <c r="H17666" s="722" t="s">
        <v>11645</v>
      </c>
    </row>
    <row r="17667" spans="1:8" ht="19.5" customHeight="1" x14ac:dyDescent="0.2">
      <c r="A17667" s="746">
        <v>45255</v>
      </c>
      <c r="B17667" s="180" t="s">
        <v>11758</v>
      </c>
      <c r="C17667" s="180" t="s">
        <v>7538</v>
      </c>
      <c r="D17667" s="234" t="s">
        <v>11925</v>
      </c>
      <c r="E17667" s="242">
        <v>850000</v>
      </c>
      <c r="F17667" s="242"/>
      <c r="G17667" s="242">
        <f t="shared" si="389"/>
        <v>-850000</v>
      </c>
      <c r="H17667" s="722" t="s">
        <v>11645</v>
      </c>
    </row>
    <row r="17668" spans="1:8" ht="19.5" customHeight="1" x14ac:dyDescent="0.2">
      <c r="A17668" s="746">
        <v>45258</v>
      </c>
      <c r="B17668" s="180" t="s">
        <v>10342</v>
      </c>
      <c r="C17668" s="180" t="s">
        <v>11590</v>
      </c>
      <c r="D17668" s="234" t="s">
        <v>11934</v>
      </c>
      <c r="E17668" s="242">
        <v>130000</v>
      </c>
      <c r="F17668" s="242"/>
      <c r="G17668" s="242">
        <f t="shared" si="389"/>
        <v>-130000</v>
      </c>
      <c r="H17668" s="722" t="s">
        <v>11645</v>
      </c>
    </row>
    <row r="17669" spans="1:8" ht="19.5" customHeight="1" x14ac:dyDescent="0.2">
      <c r="A17669" s="746">
        <v>45258</v>
      </c>
      <c r="B17669" s="180" t="s">
        <v>11427</v>
      </c>
      <c r="C17669" s="180" t="s">
        <v>10173</v>
      </c>
      <c r="D17669" s="234" t="s">
        <v>11935</v>
      </c>
      <c r="E17669" s="242">
        <v>40000</v>
      </c>
      <c r="F17669" s="242"/>
      <c r="G17669" s="242">
        <f t="shared" si="389"/>
        <v>-40000</v>
      </c>
      <c r="H17669" s="722" t="s">
        <v>11645</v>
      </c>
    </row>
    <row r="17670" spans="1:8" ht="19.5" customHeight="1" x14ac:dyDescent="0.2">
      <c r="A17670" s="746">
        <v>45258</v>
      </c>
      <c r="B17670" s="180" t="s">
        <v>25</v>
      </c>
      <c r="C17670" s="560" t="s">
        <v>8230</v>
      </c>
      <c r="D17670" s="753" t="s">
        <v>11936</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11936</v>
      </c>
      <c r="E17671" s="561">
        <v>39665</v>
      </c>
      <c r="F17671" s="242"/>
      <c r="G17671" s="242">
        <f t="shared" si="390"/>
        <v>-39665</v>
      </c>
      <c r="H17671" s="722" t="s">
        <v>11645</v>
      </c>
    </row>
    <row r="17672" spans="1:8" ht="19.5" customHeight="1" x14ac:dyDescent="0.2">
      <c r="A17672" s="746">
        <v>45258</v>
      </c>
      <c r="B17672" s="180" t="s">
        <v>11758</v>
      </c>
      <c r="C17672" s="180" t="s">
        <v>1205</v>
      </c>
      <c r="D17672" s="234" t="s">
        <v>11937</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11937</v>
      </c>
      <c r="E17673" s="242">
        <v>500000</v>
      </c>
      <c r="F17673" s="242"/>
      <c r="G17673" s="242">
        <f t="shared" si="391"/>
        <v>-500000</v>
      </c>
      <c r="H17673" s="722" t="s">
        <v>11645</v>
      </c>
    </row>
    <row r="17674" spans="1:8" ht="19.5" customHeight="1" x14ac:dyDescent="0.2">
      <c r="A17674" s="746">
        <v>45258</v>
      </c>
      <c r="B17674" s="180" t="s">
        <v>11758</v>
      </c>
      <c r="C17674" s="180" t="s">
        <v>1205</v>
      </c>
      <c r="D17674" s="234" t="s">
        <v>11937</v>
      </c>
      <c r="E17674" s="242">
        <v>500000</v>
      </c>
      <c r="F17674" s="242"/>
      <c r="G17674" s="242">
        <f t="shared" si="391"/>
        <v>-500000</v>
      </c>
      <c r="H17674" s="722" t="s">
        <v>11645</v>
      </c>
    </row>
    <row r="17675" spans="1:8" ht="19.5" customHeight="1" x14ac:dyDescent="0.2">
      <c r="A17675" s="746">
        <v>45258</v>
      </c>
      <c r="B17675" s="180" t="s">
        <v>11758</v>
      </c>
      <c r="C17675" s="180" t="s">
        <v>1205</v>
      </c>
      <c r="D17675" s="234" t="s">
        <v>11937</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11922</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11945</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11919</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11919</v>
      </c>
      <c r="E17686" s="95"/>
      <c r="F17686" s="95">
        <v>1000000</v>
      </c>
      <c r="G17686" s="95">
        <f t="shared" si="397"/>
        <v>1000000</v>
      </c>
      <c r="H17686" s="715" t="s">
        <v>11645</v>
      </c>
    </row>
    <row r="17687" spans="1:8" ht="15" x14ac:dyDescent="0.2">
      <c r="A17687" s="743">
        <v>45253</v>
      </c>
      <c r="B17687" s="94" t="s">
        <v>10261</v>
      </c>
      <c r="C17687" s="97" t="s">
        <v>561</v>
      </c>
      <c r="D17687" s="908" t="s">
        <v>11919</v>
      </c>
      <c r="E17687" s="95"/>
      <c r="F17687" s="95">
        <v>1000000</v>
      </c>
      <c r="G17687" s="95">
        <f t="shared" si="397"/>
        <v>1000000</v>
      </c>
      <c r="H17687" s="715" t="s">
        <v>11645</v>
      </c>
    </row>
    <row r="17688" spans="1:8" ht="15" x14ac:dyDescent="0.2">
      <c r="A17688" s="743">
        <v>45253</v>
      </c>
      <c r="B17688" s="94" t="s">
        <v>10261</v>
      </c>
      <c r="C17688" s="97" t="s">
        <v>561</v>
      </c>
      <c r="D17688" s="908" t="s">
        <v>11919</v>
      </c>
      <c r="E17688" s="95"/>
      <c r="F17688" s="95">
        <v>1000000</v>
      </c>
      <c r="G17688" s="95">
        <f t="shared" si="397"/>
        <v>1000000</v>
      </c>
      <c r="H17688" s="715" t="s">
        <v>11645</v>
      </c>
    </row>
    <row r="17689" spans="1:8" ht="15" x14ac:dyDescent="0.2">
      <c r="A17689" s="743">
        <v>45253</v>
      </c>
      <c r="B17689" s="94" t="s">
        <v>10261</v>
      </c>
      <c r="C17689" s="97" t="s">
        <v>561</v>
      </c>
      <c r="D17689" s="908" t="s">
        <v>11919</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11946</v>
      </c>
      <c r="E17690" s="95"/>
      <c r="F17690" s="95">
        <v>850000</v>
      </c>
      <c r="G17690" s="95">
        <f t="shared" si="398"/>
        <v>850000</v>
      </c>
      <c r="H17690" s="715" t="s">
        <v>11645</v>
      </c>
    </row>
    <row r="17691" spans="1:8" ht="15" x14ac:dyDescent="0.2">
      <c r="A17691" s="743">
        <v>45254</v>
      </c>
      <c r="B17691" s="94" t="s">
        <v>11022</v>
      </c>
      <c r="C17691" s="97" t="s">
        <v>561</v>
      </c>
      <c r="D17691" s="817" t="s">
        <v>11947</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11947</v>
      </c>
      <c r="E17692" s="95"/>
      <c r="F17692" s="95">
        <v>840000</v>
      </c>
      <c r="G17692" s="95">
        <f t="shared" si="399"/>
        <v>840000</v>
      </c>
      <c r="H17692" s="715" t="s">
        <v>11645</v>
      </c>
    </row>
    <row r="17693" spans="1:8" ht="15" x14ac:dyDescent="0.2">
      <c r="A17693" s="743">
        <v>45254</v>
      </c>
      <c r="B17693" s="94" t="s">
        <v>11022</v>
      </c>
      <c r="C17693" s="97" t="s">
        <v>561</v>
      </c>
      <c r="D17693" s="817" t="s">
        <v>11947</v>
      </c>
      <c r="E17693" s="95"/>
      <c r="F17693" s="95">
        <v>830000</v>
      </c>
      <c r="G17693" s="95">
        <f t="shared" si="399"/>
        <v>830000</v>
      </c>
      <c r="H17693" s="715" t="s">
        <v>11645</v>
      </c>
    </row>
    <row r="17694" spans="1:8" ht="15" x14ac:dyDescent="0.2">
      <c r="A17694" s="743">
        <v>45254</v>
      </c>
      <c r="B17694" s="94" t="s">
        <v>11022</v>
      </c>
      <c r="C17694" s="97" t="s">
        <v>561</v>
      </c>
      <c r="D17694" s="817" t="s">
        <v>11947</v>
      </c>
      <c r="E17694" s="95"/>
      <c r="F17694" s="95">
        <v>830000</v>
      </c>
      <c r="G17694" s="95">
        <f t="shared" si="399"/>
        <v>830000</v>
      </c>
      <c r="H17694" s="715" t="s">
        <v>11645</v>
      </c>
    </row>
    <row r="17695" spans="1:8" ht="15" x14ac:dyDescent="0.2">
      <c r="A17695" s="743">
        <v>45254</v>
      </c>
      <c r="B17695" s="94" t="s">
        <v>11022</v>
      </c>
      <c r="C17695" s="97" t="s">
        <v>561</v>
      </c>
      <c r="D17695" s="817" t="s">
        <v>11947</v>
      </c>
      <c r="E17695" s="95"/>
      <c r="F17695" s="95">
        <v>800000</v>
      </c>
      <c r="G17695" s="95">
        <f t="shared" si="399"/>
        <v>800000</v>
      </c>
      <c r="H17695" s="715" t="s">
        <v>11645</v>
      </c>
    </row>
    <row r="17696" spans="1:8" ht="15" x14ac:dyDescent="0.2">
      <c r="A17696" s="743">
        <v>45254</v>
      </c>
      <c r="B17696" s="97" t="s">
        <v>11022</v>
      </c>
      <c r="C17696" s="97" t="s">
        <v>561</v>
      </c>
      <c r="D17696" s="908" t="s">
        <v>11920</v>
      </c>
      <c r="E17696" s="182"/>
      <c r="F17696" s="182">
        <v>28200</v>
      </c>
      <c r="G17696" s="182">
        <f t="shared" ref="G17696:G17914" si="400">F17696-E17696</f>
        <v>28200</v>
      </c>
      <c r="H17696" s="715" t="s">
        <v>11645</v>
      </c>
    </row>
    <row r="17697" spans="1:8" ht="15" x14ac:dyDescent="0.2">
      <c r="A17697" s="743">
        <v>45260</v>
      </c>
      <c r="B17697" s="97" t="s">
        <v>3978</v>
      </c>
      <c r="C17697" s="97" t="s">
        <v>561</v>
      </c>
      <c r="D17697" s="908" t="s">
        <v>11948</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11961</v>
      </c>
    </row>
    <row r="17699" spans="1:8" ht="15" x14ac:dyDescent="0.2">
      <c r="A17699" s="747">
        <v>45261</v>
      </c>
      <c r="B17699" s="43" t="s">
        <v>11758</v>
      </c>
      <c r="C17699" s="65" t="s">
        <v>5434</v>
      </c>
      <c r="D17699" s="807" t="s">
        <v>372</v>
      </c>
      <c r="E17699" s="60">
        <v>6000</v>
      </c>
      <c r="F17699" s="60"/>
      <c r="G17699" s="132">
        <f t="shared" si="400"/>
        <v>-6000</v>
      </c>
      <c r="H17699" s="718" t="s">
        <v>11961</v>
      </c>
    </row>
    <row r="17700" spans="1:8" ht="15" x14ac:dyDescent="0.2">
      <c r="A17700" s="747">
        <v>45261</v>
      </c>
      <c r="B17700" s="43" t="s">
        <v>103</v>
      </c>
      <c r="C17700" s="65" t="s">
        <v>394</v>
      </c>
      <c r="D17700" s="807" t="s">
        <v>11960</v>
      </c>
      <c r="E17700" s="60">
        <v>450</v>
      </c>
      <c r="F17700" s="60"/>
      <c r="G17700" s="132">
        <f t="shared" si="400"/>
        <v>-450</v>
      </c>
      <c r="H17700" s="718" t="s">
        <v>11961</v>
      </c>
    </row>
    <row r="17701" spans="1:8" ht="15" x14ac:dyDescent="0.2">
      <c r="A17701" s="747">
        <v>45261</v>
      </c>
      <c r="B17701" s="43" t="s">
        <v>11746</v>
      </c>
      <c r="C17701" s="65" t="s">
        <v>288</v>
      </c>
      <c r="D17701" s="807" t="s">
        <v>8758</v>
      </c>
      <c r="E17701" s="60">
        <v>1450</v>
      </c>
      <c r="F17701" s="60"/>
      <c r="G17701" s="132">
        <f t="shared" si="400"/>
        <v>-1450</v>
      </c>
      <c r="H17701" s="718" t="s">
        <v>11961</v>
      </c>
    </row>
    <row r="17702" spans="1:8" ht="15" x14ac:dyDescent="0.2">
      <c r="A17702" s="747">
        <v>45261</v>
      </c>
      <c r="B17702" s="43" t="s">
        <v>11254</v>
      </c>
      <c r="C17702" s="65" t="s">
        <v>11815</v>
      </c>
      <c r="D17702" s="807" t="s">
        <v>8278</v>
      </c>
      <c r="E17702" s="60">
        <v>25000</v>
      </c>
      <c r="F17702" s="60"/>
      <c r="G17702" s="132">
        <f t="shared" si="400"/>
        <v>-25000</v>
      </c>
      <c r="H17702" s="718" t="s">
        <v>11961</v>
      </c>
    </row>
    <row r="17703" spans="1:8" ht="15" x14ac:dyDescent="0.2">
      <c r="A17703" s="747">
        <v>45261</v>
      </c>
      <c r="B17703" s="43" t="s">
        <v>11568</v>
      </c>
      <c r="C17703" s="65" t="s">
        <v>11682</v>
      </c>
      <c r="D17703" s="807" t="s">
        <v>11903</v>
      </c>
      <c r="E17703" s="60">
        <v>50000</v>
      </c>
      <c r="F17703" s="60"/>
      <c r="G17703" s="132">
        <f t="shared" ref="G17703:G17705" si="401">F17703-E17703</f>
        <v>-50000</v>
      </c>
      <c r="H17703" s="718" t="s">
        <v>11961</v>
      </c>
    </row>
    <row r="17704" spans="1:8" ht="15" x14ac:dyDescent="0.2">
      <c r="A17704" s="747">
        <v>45261</v>
      </c>
      <c r="B17704" s="43" t="s">
        <v>11740</v>
      </c>
      <c r="C17704" s="65" t="s">
        <v>11217</v>
      </c>
      <c r="D17704" s="807" t="s">
        <v>11994</v>
      </c>
      <c r="E17704" s="60">
        <v>50000</v>
      </c>
      <c r="F17704" s="60"/>
      <c r="G17704" s="132">
        <f t="shared" si="401"/>
        <v>-50000</v>
      </c>
      <c r="H17704" s="718" t="s">
        <v>11961</v>
      </c>
    </row>
    <row r="17705" spans="1:8" ht="15" x14ac:dyDescent="0.2">
      <c r="A17705" s="747">
        <v>45261</v>
      </c>
      <c r="B17705" s="43" t="s">
        <v>10261</v>
      </c>
      <c r="C17705" s="65" t="s">
        <v>12023</v>
      </c>
      <c r="D17705" s="807" t="s">
        <v>11994</v>
      </c>
      <c r="E17705" s="60">
        <v>50000</v>
      </c>
      <c r="F17705" s="60"/>
      <c r="G17705" s="132">
        <f t="shared" si="401"/>
        <v>-50000</v>
      </c>
      <c r="H17705" s="718" t="s">
        <v>11961</v>
      </c>
    </row>
    <row r="17706" spans="1:8" ht="15" x14ac:dyDescent="0.2">
      <c r="A17706" s="747">
        <v>45261</v>
      </c>
      <c r="B17706" s="43" t="s">
        <v>11746</v>
      </c>
      <c r="C17706" s="65" t="s">
        <v>5791</v>
      </c>
      <c r="D17706" s="807" t="s">
        <v>372</v>
      </c>
      <c r="E17706" s="60">
        <v>5000</v>
      </c>
      <c r="F17706" s="60"/>
      <c r="G17706" s="132">
        <f t="shared" si="400"/>
        <v>-5000</v>
      </c>
      <c r="H17706" s="718" t="s">
        <v>11961</v>
      </c>
    </row>
    <row r="17707" spans="1:8" ht="15" x14ac:dyDescent="0.2">
      <c r="A17707" s="747">
        <v>45261</v>
      </c>
      <c r="B17707" s="65" t="s">
        <v>11633</v>
      </c>
      <c r="C17707" s="65" t="s">
        <v>11108</v>
      </c>
      <c r="D17707" s="807" t="s">
        <v>11962</v>
      </c>
      <c r="E17707" s="132">
        <v>18700</v>
      </c>
      <c r="F17707" s="132"/>
      <c r="G17707" s="132">
        <f t="shared" si="400"/>
        <v>-18700</v>
      </c>
      <c r="H17707" s="718" t="s">
        <v>11961</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11961</v>
      </c>
    </row>
    <row r="17709" spans="1:8" ht="15" x14ac:dyDescent="0.2">
      <c r="A17709" s="747">
        <v>45262</v>
      </c>
      <c r="B17709" s="65" t="s">
        <v>11568</v>
      </c>
      <c r="C17709" s="65" t="s">
        <v>11108</v>
      </c>
      <c r="D17709" s="807" t="s">
        <v>12000</v>
      </c>
      <c r="E17709" s="132">
        <v>5000</v>
      </c>
      <c r="F17709" s="132"/>
      <c r="G17709" s="132">
        <f t="shared" si="402"/>
        <v>-5000</v>
      </c>
      <c r="H17709" s="718" t="s">
        <v>11961</v>
      </c>
    </row>
    <row r="17710" spans="1:8" ht="15" x14ac:dyDescent="0.2">
      <c r="A17710" s="747">
        <v>45262</v>
      </c>
      <c r="B17710" s="65" t="s">
        <v>11022</v>
      </c>
      <c r="C17710" s="65" t="s">
        <v>11108</v>
      </c>
      <c r="D17710" s="807" t="s">
        <v>11397</v>
      </c>
      <c r="E17710" s="132">
        <v>1500</v>
      </c>
      <c r="F17710" s="132"/>
      <c r="G17710" s="132">
        <f t="shared" si="402"/>
        <v>-1500</v>
      </c>
      <c r="H17710" s="718" t="s">
        <v>11961</v>
      </c>
    </row>
    <row r="17711" spans="1:8" ht="15" x14ac:dyDescent="0.2">
      <c r="A17711" s="747">
        <v>45262</v>
      </c>
      <c r="B17711" s="65" t="s">
        <v>11568</v>
      </c>
      <c r="C17711" s="65" t="s">
        <v>11108</v>
      </c>
      <c r="D17711" s="807" t="s">
        <v>11963</v>
      </c>
      <c r="E17711" s="132">
        <v>11620</v>
      </c>
      <c r="F17711" s="132"/>
      <c r="G17711" s="132">
        <f t="shared" si="402"/>
        <v>-11620</v>
      </c>
      <c r="H17711" s="718" t="s">
        <v>11961</v>
      </c>
    </row>
    <row r="17712" spans="1:8" ht="15" x14ac:dyDescent="0.2">
      <c r="A17712" s="747">
        <v>45262</v>
      </c>
      <c r="B17712" s="65" t="s">
        <v>11758</v>
      </c>
      <c r="C17712" s="65" t="s">
        <v>7538</v>
      </c>
      <c r="D17712" s="807" t="s">
        <v>11964</v>
      </c>
      <c r="E17712" s="132">
        <v>1000000</v>
      </c>
      <c r="F17712" s="132"/>
      <c r="G17712" s="132">
        <f t="shared" si="402"/>
        <v>-1000000</v>
      </c>
      <c r="H17712" s="718" t="s">
        <v>11961</v>
      </c>
    </row>
    <row r="17713" spans="1:8" ht="15" x14ac:dyDescent="0.2">
      <c r="A17713" s="747">
        <v>45263</v>
      </c>
      <c r="B17713" s="65" t="s">
        <v>10096</v>
      </c>
      <c r="C17713" s="65" t="s">
        <v>6533</v>
      </c>
      <c r="D17713" s="807" t="s">
        <v>11994</v>
      </c>
      <c r="E17713" s="132">
        <v>100000</v>
      </c>
      <c r="F17713" s="132"/>
      <c r="G17713" s="132">
        <f t="shared" si="402"/>
        <v>-100000</v>
      </c>
      <c r="H17713" s="718" t="s">
        <v>11961</v>
      </c>
    </row>
    <row r="17714" spans="1:8" ht="15" x14ac:dyDescent="0.2">
      <c r="A17714" s="747">
        <v>45264</v>
      </c>
      <c r="B17714" s="65" t="s">
        <v>10096</v>
      </c>
      <c r="C17714" s="65" t="s">
        <v>6533</v>
      </c>
      <c r="D17714" s="807" t="s">
        <v>11994</v>
      </c>
      <c r="E17714" s="132">
        <v>30000</v>
      </c>
      <c r="F17714" s="132"/>
      <c r="G17714" s="132">
        <f t="shared" si="402"/>
        <v>-30000</v>
      </c>
      <c r="H17714" s="718" t="s">
        <v>11961</v>
      </c>
    </row>
    <row r="17715" spans="1:8" ht="15" x14ac:dyDescent="0.2">
      <c r="A17715" s="747">
        <v>45264</v>
      </c>
      <c r="B17715" s="65" t="s">
        <v>11758</v>
      </c>
      <c r="C17715" s="65" t="s">
        <v>7538</v>
      </c>
      <c r="D17715" s="807" t="s">
        <v>11293</v>
      </c>
      <c r="E17715" s="132">
        <v>600000</v>
      </c>
      <c r="F17715" s="132"/>
      <c r="G17715" s="132">
        <f t="shared" si="402"/>
        <v>-600000</v>
      </c>
      <c r="H17715" s="718" t="s">
        <v>11961</v>
      </c>
    </row>
    <row r="17716" spans="1:8" ht="15" x14ac:dyDescent="0.2">
      <c r="A17716" s="747">
        <v>45264</v>
      </c>
      <c r="B17716" s="65" t="s">
        <v>11568</v>
      </c>
      <c r="C17716" s="65" t="s">
        <v>11108</v>
      </c>
      <c r="D17716" s="807" t="s">
        <v>11966</v>
      </c>
      <c r="E17716" s="132">
        <v>45000</v>
      </c>
      <c r="F17716" s="132"/>
      <c r="G17716" s="132">
        <f t="shared" ref="G17716:G17721" si="403">F17716-E17716</f>
        <v>-45000</v>
      </c>
      <c r="H17716" s="718" t="s">
        <v>11961</v>
      </c>
    </row>
    <row r="17717" spans="1:8" ht="15" x14ac:dyDescent="0.2">
      <c r="A17717" s="747">
        <v>45264</v>
      </c>
      <c r="B17717" s="65" t="s">
        <v>11022</v>
      </c>
      <c r="C17717" s="65" t="s">
        <v>5791</v>
      </c>
      <c r="D17717" s="807" t="s">
        <v>10448</v>
      </c>
      <c r="E17717" s="132">
        <v>300</v>
      </c>
      <c r="F17717" s="132"/>
      <c r="G17717" s="132">
        <f t="shared" si="403"/>
        <v>-300</v>
      </c>
      <c r="H17717" s="718" t="s">
        <v>11961</v>
      </c>
    </row>
    <row r="17718" spans="1:8" ht="15" x14ac:dyDescent="0.2">
      <c r="A17718" s="747">
        <v>45264</v>
      </c>
      <c r="B17718" s="65" t="s">
        <v>11746</v>
      </c>
      <c r="C17718" s="65" t="s">
        <v>5791</v>
      </c>
      <c r="D17718" s="807" t="s">
        <v>372</v>
      </c>
      <c r="E17718" s="132">
        <v>5000</v>
      </c>
      <c r="F17718" s="132"/>
      <c r="G17718" s="132">
        <f t="shared" si="403"/>
        <v>-5000</v>
      </c>
      <c r="H17718" s="718" t="s">
        <v>11961</v>
      </c>
    </row>
    <row r="17719" spans="1:8" ht="15" x14ac:dyDescent="0.2">
      <c r="A17719" s="747">
        <v>45264</v>
      </c>
      <c r="B17719" s="65" t="s">
        <v>103</v>
      </c>
      <c r="C17719" s="65" t="s">
        <v>103</v>
      </c>
      <c r="D17719" s="807" t="s">
        <v>11894</v>
      </c>
      <c r="E17719" s="132">
        <v>2000</v>
      </c>
      <c r="F17719" s="132"/>
      <c r="G17719" s="132">
        <f t="shared" si="403"/>
        <v>-2000</v>
      </c>
      <c r="H17719" s="718" t="s">
        <v>11961</v>
      </c>
    </row>
    <row r="17720" spans="1:8" ht="15" x14ac:dyDescent="0.2">
      <c r="A17720" s="747">
        <v>45264</v>
      </c>
      <c r="B17720" s="65" t="s">
        <v>11758</v>
      </c>
      <c r="C17720" s="65" t="s">
        <v>5791</v>
      </c>
      <c r="D17720" s="807" t="s">
        <v>372</v>
      </c>
      <c r="E17720" s="132">
        <v>1700</v>
      </c>
      <c r="F17720" s="132"/>
      <c r="G17720" s="132">
        <f t="shared" si="403"/>
        <v>-1700</v>
      </c>
      <c r="H17720" s="718" t="s">
        <v>11961</v>
      </c>
    </row>
    <row r="17721" spans="1:8" ht="15" x14ac:dyDescent="0.2">
      <c r="A17721" s="747">
        <v>45265</v>
      </c>
      <c r="B17721" s="65" t="s">
        <v>11758</v>
      </c>
      <c r="C17721" s="65" t="s">
        <v>11411</v>
      </c>
      <c r="D17721" s="807" t="s">
        <v>11964</v>
      </c>
      <c r="E17721" s="132">
        <v>100000</v>
      </c>
      <c r="F17721" s="132"/>
      <c r="G17721" s="132">
        <f t="shared" si="403"/>
        <v>-100000</v>
      </c>
      <c r="H17721" s="718" t="s">
        <v>11961</v>
      </c>
    </row>
    <row r="17722" spans="1:8" ht="15" x14ac:dyDescent="0.2">
      <c r="A17722" s="747">
        <v>45265</v>
      </c>
      <c r="B17722" s="65" t="s">
        <v>11758</v>
      </c>
      <c r="C17722" s="65" t="s">
        <v>8460</v>
      </c>
      <c r="D17722" s="807" t="s">
        <v>11967</v>
      </c>
      <c r="E17722" s="132">
        <v>11000</v>
      </c>
      <c r="F17722" s="132"/>
      <c r="G17722" s="132">
        <f t="shared" ref="G17722:G17733" si="404">F17722-E17722</f>
        <v>-11000</v>
      </c>
      <c r="H17722" s="718" t="s">
        <v>11961</v>
      </c>
    </row>
    <row r="17723" spans="1:8" ht="15" x14ac:dyDescent="0.2">
      <c r="A17723" s="747">
        <v>45265</v>
      </c>
      <c r="B17723" s="65" t="s">
        <v>11748</v>
      </c>
      <c r="C17723" s="65" t="s">
        <v>11749</v>
      </c>
      <c r="D17723" s="807" t="s">
        <v>1164</v>
      </c>
      <c r="E17723" s="132">
        <v>30000</v>
      </c>
      <c r="F17723" s="132"/>
      <c r="G17723" s="132">
        <f t="shared" si="404"/>
        <v>-30000</v>
      </c>
      <c r="H17723" s="718" t="s">
        <v>11961</v>
      </c>
    </row>
    <row r="17724" spans="1:8" ht="15" x14ac:dyDescent="0.2">
      <c r="A17724" s="747">
        <v>45265</v>
      </c>
      <c r="B17724" s="65" t="s">
        <v>103</v>
      </c>
      <c r="C17724" s="65" t="s">
        <v>394</v>
      </c>
      <c r="D17724" s="807" t="s">
        <v>11103</v>
      </c>
      <c r="E17724" s="132">
        <v>1600</v>
      </c>
      <c r="F17724" s="132"/>
      <c r="G17724" s="132">
        <f t="shared" si="404"/>
        <v>-1600</v>
      </c>
      <c r="H17724" s="718" t="s">
        <v>11961</v>
      </c>
    </row>
    <row r="17725" spans="1:8" ht="15" x14ac:dyDescent="0.2">
      <c r="A17725" s="747">
        <v>45265</v>
      </c>
      <c r="B17725" s="65" t="s">
        <v>103</v>
      </c>
      <c r="C17725" s="65" t="s">
        <v>103</v>
      </c>
      <c r="D17725" s="807" t="s">
        <v>11894</v>
      </c>
      <c r="E17725" s="132">
        <v>5000</v>
      </c>
      <c r="F17725" s="132"/>
      <c r="G17725" s="132">
        <f t="shared" si="404"/>
        <v>-5000</v>
      </c>
      <c r="H17725" s="718" t="s">
        <v>11961</v>
      </c>
    </row>
    <row r="17726" spans="1:8" ht="15" x14ac:dyDescent="0.2">
      <c r="A17726" s="747">
        <v>45265</v>
      </c>
      <c r="B17726" s="65" t="s">
        <v>11758</v>
      </c>
      <c r="C17726" s="65" t="s">
        <v>5457</v>
      </c>
      <c r="D17726" s="807" t="s">
        <v>11968</v>
      </c>
      <c r="E17726" s="132">
        <v>5000</v>
      </c>
      <c r="F17726" s="132"/>
      <c r="G17726" s="132">
        <f t="shared" si="404"/>
        <v>-5000</v>
      </c>
      <c r="H17726" s="718" t="s">
        <v>11961</v>
      </c>
    </row>
    <row r="17727" spans="1:8" ht="15" x14ac:dyDescent="0.2">
      <c r="A17727" s="747">
        <v>45265</v>
      </c>
      <c r="B17727" s="65" t="s">
        <v>11853</v>
      </c>
      <c r="C17727" s="65" t="s">
        <v>5791</v>
      </c>
      <c r="D17727" s="807" t="s">
        <v>10448</v>
      </c>
      <c r="E17727" s="132">
        <v>500</v>
      </c>
      <c r="F17727" s="132"/>
      <c r="G17727" s="132">
        <f t="shared" si="404"/>
        <v>-500</v>
      </c>
      <c r="H17727" s="718" t="s">
        <v>11961</v>
      </c>
    </row>
    <row r="17728" spans="1:8" ht="15" x14ac:dyDescent="0.2">
      <c r="A17728" s="747">
        <v>45265</v>
      </c>
      <c r="B17728" s="65" t="s">
        <v>11853</v>
      </c>
      <c r="C17728" s="575" t="s">
        <v>11674</v>
      </c>
      <c r="D17728" s="1074" t="s">
        <v>11988</v>
      </c>
      <c r="E17728" s="576">
        <v>27000</v>
      </c>
      <c r="F17728" s="132"/>
      <c r="G17728" s="132">
        <f t="shared" si="404"/>
        <v>-27000</v>
      </c>
      <c r="H17728" s="718" t="s">
        <v>11961</v>
      </c>
    </row>
    <row r="17729" spans="1:8" ht="15" x14ac:dyDescent="0.2">
      <c r="A17729" s="747">
        <v>45265</v>
      </c>
      <c r="B17729" s="65" t="s">
        <v>11568</v>
      </c>
      <c r="C17729" s="575" t="s">
        <v>11674</v>
      </c>
      <c r="D17729" s="1074" t="s">
        <v>11988</v>
      </c>
      <c r="E17729" s="576">
        <v>23000</v>
      </c>
      <c r="F17729" s="132"/>
      <c r="G17729" s="132">
        <f t="shared" si="404"/>
        <v>-23000</v>
      </c>
      <c r="H17729" s="718" t="s">
        <v>11961</v>
      </c>
    </row>
    <row r="17730" spans="1:8" ht="15" x14ac:dyDescent="0.2">
      <c r="A17730" s="747">
        <v>45265</v>
      </c>
      <c r="B17730" s="65" t="s">
        <v>11853</v>
      </c>
      <c r="C17730" s="575" t="s">
        <v>11674</v>
      </c>
      <c r="D17730" s="1074" t="s">
        <v>11988</v>
      </c>
      <c r="E17730" s="576">
        <v>82000</v>
      </c>
      <c r="F17730" s="132"/>
      <c r="G17730" s="132">
        <f t="shared" si="404"/>
        <v>-82000</v>
      </c>
      <c r="H17730" s="718" t="s">
        <v>11961</v>
      </c>
    </row>
    <row r="17731" spans="1:8" ht="15" x14ac:dyDescent="0.2">
      <c r="A17731" s="747">
        <v>45265</v>
      </c>
      <c r="B17731" s="65" t="s">
        <v>11633</v>
      </c>
      <c r="C17731" s="65" t="s">
        <v>11108</v>
      </c>
      <c r="D17731" s="807" t="s">
        <v>6543</v>
      </c>
      <c r="E17731" s="132">
        <v>15880</v>
      </c>
      <c r="F17731" s="132"/>
      <c r="G17731" s="132">
        <f t="shared" si="404"/>
        <v>-15880</v>
      </c>
      <c r="H17731" s="718" t="s">
        <v>11961</v>
      </c>
    </row>
    <row r="17732" spans="1:8" ht="15" x14ac:dyDescent="0.2">
      <c r="A17732" s="747">
        <v>45265</v>
      </c>
      <c r="B17732" s="65" t="s">
        <v>10688</v>
      </c>
      <c r="C17732" s="65" t="s">
        <v>11108</v>
      </c>
      <c r="D17732" s="807" t="s">
        <v>11969</v>
      </c>
      <c r="E17732" s="132">
        <v>13000</v>
      </c>
      <c r="F17732" s="132"/>
      <c r="G17732" s="132">
        <f t="shared" si="404"/>
        <v>-13000</v>
      </c>
      <c r="H17732" s="718" t="s">
        <v>11961</v>
      </c>
    </row>
    <row r="17733" spans="1:8" ht="15" x14ac:dyDescent="0.2">
      <c r="A17733" s="747">
        <v>45266</v>
      </c>
      <c r="B17733" s="65" t="s">
        <v>11740</v>
      </c>
      <c r="C17733" s="65" t="s">
        <v>11217</v>
      </c>
      <c r="D17733" s="807" t="s">
        <v>11995</v>
      </c>
      <c r="E17733" s="132">
        <v>100000</v>
      </c>
      <c r="F17733" s="132"/>
      <c r="G17733" s="132">
        <f t="shared" si="404"/>
        <v>-100000</v>
      </c>
      <c r="H17733" s="718" t="s">
        <v>11961</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11961</v>
      </c>
    </row>
    <row r="17735" spans="1:8" ht="15" x14ac:dyDescent="0.2">
      <c r="A17735" s="747">
        <v>45266</v>
      </c>
      <c r="B17735" s="65" t="s">
        <v>103</v>
      </c>
      <c r="C17735" s="65" t="s">
        <v>8230</v>
      </c>
      <c r="D17735" s="807" t="s">
        <v>6365</v>
      </c>
      <c r="E17735" s="132">
        <v>190</v>
      </c>
      <c r="F17735" s="132"/>
      <c r="G17735" s="132">
        <f t="shared" si="405"/>
        <v>-190</v>
      </c>
      <c r="H17735" s="718" t="s">
        <v>11961</v>
      </c>
    </row>
    <row r="17736" spans="1:8" ht="15" x14ac:dyDescent="0.2">
      <c r="A17736" s="747">
        <v>45266</v>
      </c>
      <c r="B17736" s="65" t="s">
        <v>10342</v>
      </c>
      <c r="C17736" s="65" t="s">
        <v>5791</v>
      </c>
      <c r="D17736" s="807" t="s">
        <v>372</v>
      </c>
      <c r="E17736" s="132">
        <v>3800</v>
      </c>
      <c r="F17736" s="132"/>
      <c r="G17736" s="132">
        <f t="shared" si="405"/>
        <v>-3800</v>
      </c>
      <c r="H17736" s="718" t="s">
        <v>11961</v>
      </c>
    </row>
    <row r="17737" spans="1:8" ht="15" x14ac:dyDescent="0.2">
      <c r="A17737" s="747">
        <v>45266</v>
      </c>
      <c r="B17737" s="65" t="s">
        <v>11853</v>
      </c>
      <c r="C17737" s="65" t="s">
        <v>5791</v>
      </c>
      <c r="D17737" s="807" t="s">
        <v>372</v>
      </c>
      <c r="E17737" s="132">
        <v>4000</v>
      </c>
      <c r="F17737" s="132"/>
      <c r="G17737" s="132">
        <f t="shared" si="405"/>
        <v>-4000</v>
      </c>
      <c r="H17737" s="718" t="s">
        <v>11961</v>
      </c>
    </row>
    <row r="17738" spans="1:8" ht="15" x14ac:dyDescent="0.2">
      <c r="A17738" s="747">
        <v>45266</v>
      </c>
      <c r="B17738" s="65" t="s">
        <v>11022</v>
      </c>
      <c r="C17738" s="65" t="s">
        <v>11108</v>
      </c>
      <c r="D17738" s="807" t="s">
        <v>11970</v>
      </c>
      <c r="E17738" s="132">
        <v>4250</v>
      </c>
      <c r="F17738" s="132"/>
      <c r="G17738" s="132">
        <f t="shared" si="405"/>
        <v>-4250</v>
      </c>
      <c r="H17738" s="718" t="s">
        <v>11961</v>
      </c>
    </row>
    <row r="17739" spans="1:8" ht="15" x14ac:dyDescent="0.2">
      <c r="A17739" s="747">
        <v>45266</v>
      </c>
      <c r="B17739" s="65" t="s">
        <v>37</v>
      </c>
      <c r="C17739" s="65" t="s">
        <v>394</v>
      </c>
      <c r="D17739" s="807" t="s">
        <v>11724</v>
      </c>
      <c r="E17739" s="132">
        <v>3000</v>
      </c>
      <c r="F17739" s="132"/>
      <c r="G17739" s="132">
        <f t="shared" si="405"/>
        <v>-3000</v>
      </c>
      <c r="H17739" s="718" t="s">
        <v>11961</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11961</v>
      </c>
    </row>
    <row r="17741" spans="1:8" ht="15" x14ac:dyDescent="0.2">
      <c r="A17741" s="747">
        <v>45266</v>
      </c>
      <c r="B17741" s="65" t="s">
        <v>11207</v>
      </c>
      <c r="C17741" s="65" t="s">
        <v>394</v>
      </c>
      <c r="D17741" s="807" t="s">
        <v>10170</v>
      </c>
      <c r="E17741" s="132">
        <v>1000</v>
      </c>
      <c r="F17741" s="132"/>
      <c r="G17741" s="132">
        <f t="shared" si="406"/>
        <v>-1000</v>
      </c>
      <c r="H17741" s="718" t="s">
        <v>11961</v>
      </c>
    </row>
    <row r="17742" spans="1:8" ht="15" x14ac:dyDescent="0.2">
      <c r="A17742" s="747">
        <v>45266</v>
      </c>
      <c r="B17742" s="65" t="s">
        <v>103</v>
      </c>
      <c r="C17742" s="65" t="s">
        <v>103</v>
      </c>
      <c r="D17742" s="807" t="s">
        <v>11894</v>
      </c>
      <c r="E17742" s="132">
        <v>3000</v>
      </c>
      <c r="F17742" s="132"/>
      <c r="G17742" s="132">
        <f t="shared" si="406"/>
        <v>-3000</v>
      </c>
      <c r="H17742" s="718" t="s">
        <v>11961</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11961</v>
      </c>
    </row>
    <row r="17744" spans="1:8" ht="15" x14ac:dyDescent="0.2">
      <c r="A17744" s="747">
        <v>45267</v>
      </c>
      <c r="B17744" s="65" t="s">
        <v>11207</v>
      </c>
      <c r="C17744" s="65" t="s">
        <v>11108</v>
      </c>
      <c r="D17744" s="807" t="s">
        <v>11981</v>
      </c>
      <c r="E17744" s="132">
        <v>8000</v>
      </c>
      <c r="F17744" s="132"/>
      <c r="G17744" s="132">
        <f t="shared" si="407"/>
        <v>-8000</v>
      </c>
      <c r="H17744" s="718" t="s">
        <v>11961</v>
      </c>
    </row>
    <row r="17745" spans="1:8" ht="15" x14ac:dyDescent="0.2">
      <c r="A17745" s="747">
        <v>45267</v>
      </c>
      <c r="B17745" s="65" t="s">
        <v>11853</v>
      </c>
      <c r="C17745" s="65" t="s">
        <v>11108</v>
      </c>
      <c r="D17745" s="807" t="s">
        <v>11982</v>
      </c>
      <c r="E17745" s="132">
        <v>28000</v>
      </c>
      <c r="F17745" s="132"/>
      <c r="G17745" s="132">
        <f t="shared" ref="G17745:G17760" si="408">F17745-E17745</f>
        <v>-28000</v>
      </c>
      <c r="H17745" s="718" t="s">
        <v>11961</v>
      </c>
    </row>
    <row r="17746" spans="1:8" ht="15" x14ac:dyDescent="0.2">
      <c r="A17746" s="747">
        <v>45267</v>
      </c>
      <c r="B17746" s="65" t="s">
        <v>11022</v>
      </c>
      <c r="C17746" s="65" t="s">
        <v>11108</v>
      </c>
      <c r="D17746" s="807" t="s">
        <v>10938</v>
      </c>
      <c r="E17746" s="132">
        <v>8500</v>
      </c>
      <c r="F17746" s="132"/>
      <c r="G17746" s="132">
        <f t="shared" si="408"/>
        <v>-8500</v>
      </c>
      <c r="H17746" s="718" t="s">
        <v>11961</v>
      </c>
    </row>
    <row r="17747" spans="1:8" ht="15" x14ac:dyDescent="0.2">
      <c r="A17747" s="747">
        <v>45267</v>
      </c>
      <c r="B17747" s="65" t="s">
        <v>11853</v>
      </c>
      <c r="C17747" s="65" t="s">
        <v>5791</v>
      </c>
      <c r="D17747" s="807" t="s">
        <v>372</v>
      </c>
      <c r="E17747" s="132">
        <v>950</v>
      </c>
      <c r="F17747" s="132"/>
      <c r="G17747" s="132">
        <f t="shared" si="408"/>
        <v>-950</v>
      </c>
      <c r="H17747" s="718" t="s">
        <v>11961</v>
      </c>
    </row>
    <row r="17748" spans="1:8" ht="15" x14ac:dyDescent="0.2">
      <c r="A17748" s="747">
        <v>45267</v>
      </c>
      <c r="B17748" s="65" t="s">
        <v>11853</v>
      </c>
      <c r="C17748" s="65" t="s">
        <v>11108</v>
      </c>
      <c r="D17748" s="807" t="s">
        <v>1628</v>
      </c>
      <c r="E17748" s="132">
        <v>540</v>
      </c>
      <c r="F17748" s="132"/>
      <c r="G17748" s="132">
        <f t="shared" si="408"/>
        <v>-540</v>
      </c>
      <c r="H17748" s="718" t="s">
        <v>11961</v>
      </c>
    </row>
    <row r="17749" spans="1:8" ht="15" x14ac:dyDescent="0.2">
      <c r="A17749" s="747">
        <v>45267</v>
      </c>
      <c r="B17749" s="65" t="s">
        <v>103</v>
      </c>
      <c r="C17749" s="65" t="s">
        <v>103</v>
      </c>
      <c r="D17749" s="807" t="s">
        <v>11894</v>
      </c>
      <c r="E17749" s="132">
        <v>4000</v>
      </c>
      <c r="F17749" s="132"/>
      <c r="G17749" s="132">
        <f t="shared" si="408"/>
        <v>-4000</v>
      </c>
      <c r="H17749" s="718" t="s">
        <v>11961</v>
      </c>
    </row>
    <row r="17750" spans="1:8" ht="15" x14ac:dyDescent="0.2">
      <c r="A17750" s="747">
        <v>45267</v>
      </c>
      <c r="B17750" s="65" t="s">
        <v>103</v>
      </c>
      <c r="C17750" s="65" t="s">
        <v>103</v>
      </c>
      <c r="D17750" s="807" t="s">
        <v>11983</v>
      </c>
      <c r="E17750" s="132">
        <v>800</v>
      </c>
      <c r="F17750" s="132"/>
      <c r="G17750" s="132">
        <f t="shared" si="408"/>
        <v>-800</v>
      </c>
      <c r="H17750" s="718" t="s">
        <v>11961</v>
      </c>
    </row>
    <row r="17751" spans="1:8" ht="15" x14ac:dyDescent="0.2">
      <c r="A17751" s="747">
        <v>45268</v>
      </c>
      <c r="B17751" s="65" t="s">
        <v>11022</v>
      </c>
      <c r="C17751" s="65" t="s">
        <v>11108</v>
      </c>
      <c r="D17751" s="807" t="s">
        <v>11984</v>
      </c>
      <c r="E17751" s="132">
        <v>1200</v>
      </c>
      <c r="F17751" s="132"/>
      <c r="G17751" s="132">
        <f t="shared" si="408"/>
        <v>-1200</v>
      </c>
      <c r="H17751" s="718" t="s">
        <v>11961</v>
      </c>
    </row>
    <row r="17752" spans="1:8" ht="15" x14ac:dyDescent="0.2">
      <c r="A17752" s="747">
        <v>45268</v>
      </c>
      <c r="B17752" s="65" t="s">
        <v>11022</v>
      </c>
      <c r="C17752" s="65" t="s">
        <v>5791</v>
      </c>
      <c r="D17752" s="807" t="s">
        <v>372</v>
      </c>
      <c r="E17752" s="132">
        <v>500</v>
      </c>
      <c r="F17752" s="132"/>
      <c r="G17752" s="132">
        <f t="shared" si="408"/>
        <v>-500</v>
      </c>
      <c r="H17752" s="718" t="s">
        <v>11961</v>
      </c>
    </row>
    <row r="17753" spans="1:8" ht="15" x14ac:dyDescent="0.2">
      <c r="A17753" s="747">
        <v>45268</v>
      </c>
      <c r="B17753" s="65" t="s">
        <v>11022</v>
      </c>
      <c r="C17753" s="65" t="s">
        <v>5791</v>
      </c>
      <c r="D17753" s="807" t="s">
        <v>11985</v>
      </c>
      <c r="E17753" s="132">
        <v>1000</v>
      </c>
      <c r="F17753" s="132"/>
      <c r="G17753" s="132">
        <f t="shared" si="408"/>
        <v>-1000</v>
      </c>
      <c r="H17753" s="718" t="s">
        <v>11961</v>
      </c>
    </row>
    <row r="17754" spans="1:8" ht="15" x14ac:dyDescent="0.2">
      <c r="A17754" s="747">
        <v>45268</v>
      </c>
      <c r="B17754" s="65" t="s">
        <v>11740</v>
      </c>
      <c r="C17754" s="679" t="s">
        <v>11108</v>
      </c>
      <c r="D17754" s="928" t="s">
        <v>11986</v>
      </c>
      <c r="E17754" s="681">
        <v>114500</v>
      </c>
      <c r="F17754" s="132"/>
      <c r="G17754" s="132">
        <f t="shared" si="408"/>
        <v>-114500</v>
      </c>
      <c r="H17754" s="718" t="s">
        <v>11961</v>
      </c>
    </row>
    <row r="17755" spans="1:8" ht="15" x14ac:dyDescent="0.2">
      <c r="A17755" s="747">
        <v>45268</v>
      </c>
      <c r="B17755" s="65" t="s">
        <v>11758</v>
      </c>
      <c r="C17755" s="679" t="s">
        <v>11108</v>
      </c>
      <c r="D17755" s="928" t="s">
        <v>11986</v>
      </c>
      <c r="E17755" s="681">
        <v>9000</v>
      </c>
      <c r="F17755" s="132"/>
      <c r="G17755" s="132">
        <f t="shared" si="408"/>
        <v>-9000</v>
      </c>
      <c r="H17755" s="718" t="s">
        <v>11961</v>
      </c>
    </row>
    <row r="17756" spans="1:8" ht="15" x14ac:dyDescent="0.2">
      <c r="A17756" s="747">
        <v>45268</v>
      </c>
      <c r="B17756" s="65" t="s">
        <v>11022</v>
      </c>
      <c r="C17756" s="679" t="s">
        <v>11108</v>
      </c>
      <c r="D17756" s="928" t="s">
        <v>11986</v>
      </c>
      <c r="E17756" s="681">
        <v>41500</v>
      </c>
      <c r="F17756" s="132"/>
      <c r="G17756" s="132">
        <f t="shared" si="408"/>
        <v>-41500</v>
      </c>
      <c r="H17756" s="718" t="s">
        <v>11961</v>
      </c>
    </row>
    <row r="17757" spans="1:8" ht="24" x14ac:dyDescent="0.2">
      <c r="A17757" s="747">
        <v>45268</v>
      </c>
      <c r="B17757" s="65" t="s">
        <v>11758</v>
      </c>
      <c r="C17757" s="575" t="s">
        <v>11108</v>
      </c>
      <c r="D17757" s="891" t="s">
        <v>11987</v>
      </c>
      <c r="E17757" s="576">
        <v>28700</v>
      </c>
      <c r="F17757" s="132"/>
      <c r="G17757" s="132">
        <f t="shared" si="408"/>
        <v>-28700</v>
      </c>
      <c r="H17757" s="718" t="s">
        <v>11961</v>
      </c>
    </row>
    <row r="17758" spans="1:8" ht="24" x14ac:dyDescent="0.2">
      <c r="A17758" s="747">
        <v>45268</v>
      </c>
      <c r="B17758" s="65" t="s">
        <v>11022</v>
      </c>
      <c r="C17758" s="575" t="s">
        <v>11108</v>
      </c>
      <c r="D17758" s="891" t="s">
        <v>11987</v>
      </c>
      <c r="E17758" s="576">
        <v>28500</v>
      </c>
      <c r="F17758" s="132"/>
      <c r="G17758" s="132">
        <f t="shared" si="408"/>
        <v>-28500</v>
      </c>
      <c r="H17758" s="718" t="s">
        <v>11961</v>
      </c>
    </row>
    <row r="17759" spans="1:8" ht="24" x14ac:dyDescent="0.2">
      <c r="A17759" s="747">
        <v>45268</v>
      </c>
      <c r="B17759" s="65" t="s">
        <v>11568</v>
      </c>
      <c r="C17759" s="575" t="s">
        <v>11108</v>
      </c>
      <c r="D17759" s="891" t="s">
        <v>11987</v>
      </c>
      <c r="E17759" s="576">
        <v>28500</v>
      </c>
      <c r="F17759" s="132"/>
      <c r="G17759" s="132">
        <f t="shared" si="408"/>
        <v>-28500</v>
      </c>
      <c r="H17759" s="718" t="s">
        <v>11961</v>
      </c>
    </row>
    <row r="17760" spans="1:8" ht="24" x14ac:dyDescent="0.2">
      <c r="A17760" s="747">
        <v>45268</v>
      </c>
      <c r="B17760" s="65" t="s">
        <v>11758</v>
      </c>
      <c r="C17760" s="575" t="s">
        <v>11108</v>
      </c>
      <c r="D17760" s="891" t="s">
        <v>11987</v>
      </c>
      <c r="E17760" s="576">
        <v>27000</v>
      </c>
      <c r="F17760" s="132"/>
      <c r="G17760" s="132">
        <f t="shared" si="408"/>
        <v>-27000</v>
      </c>
      <c r="H17760" s="718" t="s">
        <v>11961</v>
      </c>
    </row>
    <row r="17761" spans="1:8" ht="15" x14ac:dyDescent="0.2">
      <c r="A17761" s="747">
        <v>45268</v>
      </c>
      <c r="B17761" s="65" t="s">
        <v>11568</v>
      </c>
      <c r="C17761" s="65" t="s">
        <v>11577</v>
      </c>
      <c r="D17761" s="807" t="s">
        <v>11990</v>
      </c>
      <c r="E17761" s="132">
        <v>61500</v>
      </c>
      <c r="F17761" s="132"/>
      <c r="G17761" s="132">
        <f t="shared" ref="G17761:G17898" si="409">F17761-E17761</f>
        <v>-61500</v>
      </c>
      <c r="H17761" s="718" t="s">
        <v>11961</v>
      </c>
    </row>
    <row r="17762" spans="1:8" ht="15" x14ac:dyDescent="0.2">
      <c r="A17762" s="747">
        <v>45268</v>
      </c>
      <c r="B17762" s="65" t="s">
        <v>11254</v>
      </c>
      <c r="C17762" s="65" t="s">
        <v>10882</v>
      </c>
      <c r="D17762" s="807" t="s">
        <v>11989</v>
      </c>
      <c r="E17762" s="132">
        <v>340000</v>
      </c>
      <c r="F17762" s="132"/>
      <c r="G17762" s="132">
        <f t="shared" si="409"/>
        <v>-340000</v>
      </c>
      <c r="H17762" s="718" t="s">
        <v>11961</v>
      </c>
    </row>
    <row r="17763" spans="1:8" ht="15" x14ac:dyDescent="0.2">
      <c r="A17763" s="747">
        <v>45268</v>
      </c>
      <c r="B17763" s="65" t="s">
        <v>11022</v>
      </c>
      <c r="C17763" s="65" t="s">
        <v>11108</v>
      </c>
      <c r="D17763" s="807" t="s">
        <v>11996</v>
      </c>
      <c r="E17763" s="132">
        <v>11750</v>
      </c>
      <c r="F17763" s="132"/>
      <c r="G17763" s="132">
        <f t="shared" ref="G17763:G17770" si="410">F17763-E17763</f>
        <v>-11750</v>
      </c>
      <c r="H17763" s="718" t="s">
        <v>11961</v>
      </c>
    </row>
    <row r="17764" spans="1:8" ht="15" x14ac:dyDescent="0.2">
      <c r="A17764" s="747">
        <v>45268</v>
      </c>
      <c r="B17764" s="65" t="s">
        <v>11022</v>
      </c>
      <c r="C17764" s="65" t="s">
        <v>11108</v>
      </c>
      <c r="D17764" s="807" t="s">
        <v>11997</v>
      </c>
      <c r="E17764" s="132">
        <v>5000</v>
      </c>
      <c r="F17764" s="132"/>
      <c r="G17764" s="132">
        <f t="shared" si="410"/>
        <v>-5000</v>
      </c>
      <c r="H17764" s="718" t="s">
        <v>11961</v>
      </c>
    </row>
    <row r="17765" spans="1:8" ht="15" x14ac:dyDescent="0.2">
      <c r="A17765" s="747">
        <v>45268</v>
      </c>
      <c r="B17765" s="65" t="s">
        <v>11022</v>
      </c>
      <c r="C17765" s="65" t="s">
        <v>11108</v>
      </c>
      <c r="D17765" s="807" t="s">
        <v>11998</v>
      </c>
      <c r="E17765" s="132">
        <v>2700</v>
      </c>
      <c r="F17765" s="132"/>
      <c r="G17765" s="132">
        <f t="shared" si="410"/>
        <v>-2700</v>
      </c>
      <c r="H17765" s="718" t="s">
        <v>11961</v>
      </c>
    </row>
    <row r="17766" spans="1:8" ht="15" x14ac:dyDescent="0.2">
      <c r="A17766" s="747">
        <v>45268</v>
      </c>
      <c r="B17766" s="65" t="s">
        <v>11022</v>
      </c>
      <c r="C17766" s="65" t="s">
        <v>5791</v>
      </c>
      <c r="D17766" s="807" t="s">
        <v>372</v>
      </c>
      <c r="E17766" s="132">
        <v>4000</v>
      </c>
      <c r="F17766" s="132"/>
      <c r="G17766" s="132">
        <f t="shared" si="410"/>
        <v>-4000</v>
      </c>
      <c r="H17766" s="718" t="s">
        <v>11961</v>
      </c>
    </row>
    <row r="17767" spans="1:8" ht="15" x14ac:dyDescent="0.2">
      <c r="A17767" s="747">
        <v>45268</v>
      </c>
      <c r="B17767" s="65" t="s">
        <v>103</v>
      </c>
      <c r="C17767" s="65" t="s">
        <v>103</v>
      </c>
      <c r="D17767" s="807" t="s">
        <v>11894</v>
      </c>
      <c r="E17767" s="132">
        <v>2000</v>
      </c>
      <c r="F17767" s="132"/>
      <c r="G17767" s="132">
        <f t="shared" si="410"/>
        <v>-2000</v>
      </c>
      <c r="H17767" s="718" t="s">
        <v>11961</v>
      </c>
    </row>
    <row r="17768" spans="1:8" ht="36" x14ac:dyDescent="0.2">
      <c r="A17768" s="747">
        <v>45268</v>
      </c>
      <c r="B17768" s="65" t="s">
        <v>11022</v>
      </c>
      <c r="C17768" s="65" t="s">
        <v>9872</v>
      </c>
      <c r="D17768" s="189" t="s">
        <v>12001</v>
      </c>
      <c r="E17768" s="132">
        <v>53300</v>
      </c>
      <c r="F17768" s="132"/>
      <c r="G17768" s="132">
        <f t="shared" si="410"/>
        <v>-53300</v>
      </c>
      <c r="H17768" s="718" t="s">
        <v>11961</v>
      </c>
    </row>
    <row r="17769" spans="1:8" ht="15" x14ac:dyDescent="0.2">
      <c r="A17769" s="747">
        <v>45268</v>
      </c>
      <c r="B17769" s="65" t="s">
        <v>11022</v>
      </c>
      <c r="C17769" s="65" t="s">
        <v>11108</v>
      </c>
      <c r="D17769" s="189" t="s">
        <v>7447</v>
      </c>
      <c r="E17769" s="132">
        <v>2460</v>
      </c>
      <c r="F17769" s="132"/>
      <c r="G17769" s="132">
        <f t="shared" si="410"/>
        <v>-2460</v>
      </c>
      <c r="H17769" s="718" t="s">
        <v>11961</v>
      </c>
    </row>
    <row r="17770" spans="1:8" ht="15" x14ac:dyDescent="0.2">
      <c r="A17770" s="747">
        <v>45268</v>
      </c>
      <c r="B17770" s="65" t="s">
        <v>11633</v>
      </c>
      <c r="C17770" s="65" t="s">
        <v>11108</v>
      </c>
      <c r="D17770" s="189" t="s">
        <v>12003</v>
      </c>
      <c r="E17770" s="132">
        <v>14860</v>
      </c>
      <c r="F17770" s="132"/>
      <c r="G17770" s="132">
        <f t="shared" si="410"/>
        <v>-14860</v>
      </c>
      <c r="H17770" s="718" t="s">
        <v>11961</v>
      </c>
    </row>
    <row r="17771" spans="1:8" ht="15" x14ac:dyDescent="0.2">
      <c r="A17771" s="747">
        <v>45268</v>
      </c>
      <c r="B17771" s="65" t="s">
        <v>11853</v>
      </c>
      <c r="C17771" s="65" t="s">
        <v>5791</v>
      </c>
      <c r="D17771" s="189" t="s">
        <v>12004</v>
      </c>
      <c r="E17771" s="132">
        <v>3600</v>
      </c>
      <c r="F17771" s="132"/>
      <c r="G17771" s="132">
        <f t="shared" ref="G17771" si="411">F17771-E17771</f>
        <v>-3600</v>
      </c>
      <c r="H17771" s="718" t="s">
        <v>11961</v>
      </c>
    </row>
    <row r="17772" spans="1:8" ht="15" x14ac:dyDescent="0.2">
      <c r="A17772" s="747">
        <v>45271</v>
      </c>
      <c r="B17772" s="65" t="s">
        <v>11863</v>
      </c>
      <c r="C17772" s="1120" t="s">
        <v>799</v>
      </c>
      <c r="D17772" s="1123" t="s">
        <v>12005</v>
      </c>
      <c r="E17772" s="1122">
        <v>147980</v>
      </c>
      <c r="F17772" s="132"/>
      <c r="G17772" s="132">
        <f t="shared" ref="G17772:G17775" si="412">F17772-E17772</f>
        <v>-147980</v>
      </c>
      <c r="H17772" s="718" t="s">
        <v>11961</v>
      </c>
    </row>
    <row r="17773" spans="1:8" ht="15" x14ac:dyDescent="0.2">
      <c r="A17773" s="747">
        <v>45271</v>
      </c>
      <c r="B17773" s="65" t="s">
        <v>10096</v>
      </c>
      <c r="C17773" s="1120" t="s">
        <v>799</v>
      </c>
      <c r="D17773" s="1123" t="s">
        <v>12006</v>
      </c>
      <c r="E17773" s="1122">
        <v>70690</v>
      </c>
      <c r="F17773" s="132"/>
      <c r="G17773" s="132">
        <f t="shared" si="412"/>
        <v>-70690</v>
      </c>
      <c r="H17773" s="718" t="s">
        <v>11961</v>
      </c>
    </row>
    <row r="17774" spans="1:8" ht="15" x14ac:dyDescent="0.2">
      <c r="A17774" s="747">
        <v>45271</v>
      </c>
      <c r="B17774" s="65" t="s">
        <v>11022</v>
      </c>
      <c r="C17774" s="1120" t="s">
        <v>799</v>
      </c>
      <c r="D17774" s="1123" t="s">
        <v>12007</v>
      </c>
      <c r="E17774" s="1122">
        <v>30750</v>
      </c>
      <c r="F17774" s="132"/>
      <c r="G17774" s="132">
        <f t="shared" si="412"/>
        <v>-30750</v>
      </c>
      <c r="H17774" s="718" t="s">
        <v>11961</v>
      </c>
    </row>
    <row r="17775" spans="1:8" ht="15" x14ac:dyDescent="0.2">
      <c r="A17775" s="747">
        <v>45271</v>
      </c>
      <c r="B17775" s="65" t="s">
        <v>10096</v>
      </c>
      <c r="C17775" s="65" t="s">
        <v>394</v>
      </c>
      <c r="D17775" s="189" t="s">
        <v>12008</v>
      </c>
      <c r="E17775" s="132">
        <v>1000</v>
      </c>
      <c r="F17775" s="132"/>
      <c r="G17775" s="132">
        <f t="shared" si="412"/>
        <v>-1000</v>
      </c>
      <c r="H17775" s="718" t="s">
        <v>11961</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11961</v>
      </c>
    </row>
    <row r="17777" spans="1:8" ht="15" x14ac:dyDescent="0.2">
      <c r="A17777" s="747">
        <v>45271</v>
      </c>
      <c r="B17777" s="65" t="s">
        <v>3978</v>
      </c>
      <c r="C17777" s="1120" t="s">
        <v>799</v>
      </c>
      <c r="D17777" s="1123" t="s">
        <v>12077</v>
      </c>
      <c r="E17777" s="1122">
        <v>136964.58333333334</v>
      </c>
      <c r="F17777" s="132"/>
      <c r="G17777" s="132">
        <f t="shared" si="413"/>
        <v>-136964.58333333334</v>
      </c>
      <c r="H17777" s="718" t="s">
        <v>11961</v>
      </c>
    </row>
    <row r="17778" spans="1:8" ht="15" x14ac:dyDescent="0.2">
      <c r="A17778" s="747">
        <v>45271</v>
      </c>
      <c r="B17778" s="65" t="s">
        <v>12009</v>
      </c>
      <c r="C17778" s="1120" t="s">
        <v>799</v>
      </c>
      <c r="D17778" s="1123" t="s">
        <v>6762</v>
      </c>
      <c r="E17778" s="1122">
        <v>25050</v>
      </c>
      <c r="F17778" s="132"/>
      <c r="G17778" s="132">
        <f t="shared" si="413"/>
        <v>-25050</v>
      </c>
      <c r="H17778" s="718" t="s">
        <v>11961</v>
      </c>
    </row>
    <row r="17779" spans="1:8" ht="15" x14ac:dyDescent="0.2">
      <c r="A17779" s="747">
        <v>45271</v>
      </c>
      <c r="B17779" s="65" t="s">
        <v>11568</v>
      </c>
      <c r="C17779" s="65" t="s">
        <v>12011</v>
      </c>
      <c r="D17779" s="189" t="s">
        <v>8283</v>
      </c>
      <c r="E17779" s="132">
        <v>9300</v>
      </c>
      <c r="F17779" s="132"/>
      <c r="G17779" s="132">
        <f t="shared" si="413"/>
        <v>-9300</v>
      </c>
      <c r="H17779" s="718" t="s">
        <v>11961</v>
      </c>
    </row>
    <row r="17780" spans="1:8" ht="15" x14ac:dyDescent="0.2">
      <c r="A17780" s="747">
        <v>45271</v>
      </c>
      <c r="B17780" s="65" t="s">
        <v>11568</v>
      </c>
      <c r="C17780" s="65" t="s">
        <v>11850</v>
      </c>
      <c r="D17780" s="189" t="s">
        <v>12012</v>
      </c>
      <c r="E17780" s="132">
        <v>24000</v>
      </c>
      <c r="F17780" s="132"/>
      <c r="G17780" s="132">
        <f t="shared" si="413"/>
        <v>-24000</v>
      </c>
      <c r="H17780" s="718" t="s">
        <v>11961</v>
      </c>
    </row>
    <row r="17781" spans="1:8" ht="15" x14ac:dyDescent="0.2">
      <c r="A17781" s="747">
        <v>45271</v>
      </c>
      <c r="B17781" s="65" t="s">
        <v>103</v>
      </c>
      <c r="C17781" s="65" t="s">
        <v>1504</v>
      </c>
      <c r="D17781" s="189" t="s">
        <v>12013</v>
      </c>
      <c r="E17781" s="132">
        <v>2200</v>
      </c>
      <c r="F17781" s="132"/>
      <c r="G17781" s="132">
        <f t="shared" si="413"/>
        <v>-2200</v>
      </c>
      <c r="H17781" s="718" t="s">
        <v>11961</v>
      </c>
    </row>
    <row r="17782" spans="1:8" ht="15" x14ac:dyDescent="0.2">
      <c r="A17782" s="747">
        <v>45271</v>
      </c>
      <c r="B17782" s="65" t="s">
        <v>12009</v>
      </c>
      <c r="C17782" s="65" t="s">
        <v>799</v>
      </c>
      <c r="D17782" s="189" t="s">
        <v>12010</v>
      </c>
      <c r="E17782" s="132">
        <v>45750</v>
      </c>
      <c r="F17782" s="132"/>
      <c r="G17782" s="132">
        <f t="shared" si="413"/>
        <v>-45750</v>
      </c>
      <c r="H17782" s="718" t="s">
        <v>11961</v>
      </c>
    </row>
    <row r="17783" spans="1:8" ht="15" x14ac:dyDescent="0.2">
      <c r="A17783" s="747">
        <v>45271</v>
      </c>
      <c r="B17783" s="65" t="s">
        <v>103</v>
      </c>
      <c r="C17783" s="65" t="s">
        <v>394</v>
      </c>
      <c r="D17783" s="189" t="s">
        <v>12014</v>
      </c>
      <c r="E17783" s="132">
        <v>880</v>
      </c>
      <c r="F17783" s="132"/>
      <c r="G17783" s="132">
        <f t="shared" si="413"/>
        <v>-880</v>
      </c>
      <c r="H17783" s="718" t="s">
        <v>11961</v>
      </c>
    </row>
    <row r="17784" spans="1:8" ht="15" x14ac:dyDescent="0.2">
      <c r="A17784" s="747">
        <v>45271</v>
      </c>
      <c r="B17784" s="65" t="s">
        <v>103</v>
      </c>
      <c r="C17784" s="65" t="s">
        <v>103</v>
      </c>
      <c r="D17784" s="189" t="s">
        <v>11894</v>
      </c>
      <c r="E17784" s="132">
        <v>4000</v>
      </c>
      <c r="F17784" s="132"/>
      <c r="G17784" s="132">
        <f t="shared" si="413"/>
        <v>-4000</v>
      </c>
      <c r="H17784" s="718" t="s">
        <v>11961</v>
      </c>
    </row>
    <row r="17785" spans="1:8" ht="15" x14ac:dyDescent="0.2">
      <c r="A17785" s="747">
        <v>45272</v>
      </c>
      <c r="B17785" s="65" t="s">
        <v>10342</v>
      </c>
      <c r="C17785" s="65" t="s">
        <v>5791</v>
      </c>
      <c r="D17785" s="189" t="s">
        <v>372</v>
      </c>
      <c r="E17785" s="132">
        <v>2000</v>
      </c>
      <c r="F17785" s="132"/>
      <c r="G17785" s="132">
        <f t="shared" si="413"/>
        <v>-2000</v>
      </c>
      <c r="H17785" s="718" t="s">
        <v>11961</v>
      </c>
    </row>
    <row r="17786" spans="1:8" ht="15" x14ac:dyDescent="0.2">
      <c r="A17786" s="747">
        <v>45272</v>
      </c>
      <c r="B17786" s="65" t="s">
        <v>3979</v>
      </c>
      <c r="C17786" s="1120" t="s">
        <v>799</v>
      </c>
      <c r="D17786" s="1123" t="s">
        <v>12015</v>
      </c>
      <c r="E17786" s="1122">
        <v>39300</v>
      </c>
      <c r="F17786" s="132"/>
      <c r="G17786" s="132">
        <f t="shared" si="413"/>
        <v>-39300</v>
      </c>
      <c r="H17786" s="718" t="s">
        <v>11961</v>
      </c>
    </row>
    <row r="17787" spans="1:8" ht="15" x14ac:dyDescent="0.2">
      <c r="A17787" s="747">
        <v>45272</v>
      </c>
      <c r="B17787" s="65" t="s">
        <v>10096</v>
      </c>
      <c r="C17787" s="560" t="s">
        <v>440</v>
      </c>
      <c r="D17787" s="753" t="s">
        <v>12016</v>
      </c>
      <c r="E17787" s="561">
        <v>7000</v>
      </c>
      <c r="F17787" s="132"/>
      <c r="G17787" s="132">
        <f t="shared" si="413"/>
        <v>-7000</v>
      </c>
      <c r="H17787" s="718" t="s">
        <v>11961</v>
      </c>
    </row>
    <row r="17788" spans="1:8" ht="15" x14ac:dyDescent="0.2">
      <c r="A17788" s="747">
        <v>45272</v>
      </c>
      <c r="B17788" s="65" t="s">
        <v>10582</v>
      </c>
      <c r="C17788" s="560" t="s">
        <v>440</v>
      </c>
      <c r="D17788" s="753" t="s">
        <v>12016</v>
      </c>
      <c r="E17788" s="561">
        <v>52000</v>
      </c>
      <c r="F17788" s="132"/>
      <c r="G17788" s="132">
        <f t="shared" si="413"/>
        <v>-52000</v>
      </c>
      <c r="H17788" s="718" t="s">
        <v>11961</v>
      </c>
    </row>
    <row r="17789" spans="1:8" ht="15" x14ac:dyDescent="0.2">
      <c r="A17789" s="747">
        <v>45272</v>
      </c>
      <c r="B17789" s="65" t="s">
        <v>11207</v>
      </c>
      <c r="C17789" s="65" t="s">
        <v>12024</v>
      </c>
      <c r="D17789" s="189" t="s">
        <v>11290</v>
      </c>
      <c r="E17789" s="132">
        <v>400000</v>
      </c>
      <c r="F17789" s="132"/>
      <c r="G17789" s="132">
        <f t="shared" si="413"/>
        <v>-400000</v>
      </c>
      <c r="H17789" s="718" t="s">
        <v>11961</v>
      </c>
    </row>
    <row r="17790" spans="1:8" ht="15" x14ac:dyDescent="0.2">
      <c r="A17790" s="747">
        <v>45272</v>
      </c>
      <c r="B17790" s="65" t="s">
        <v>11207</v>
      </c>
      <c r="C17790" s="65" t="s">
        <v>12024</v>
      </c>
      <c r="D17790" s="189" t="s">
        <v>11290</v>
      </c>
      <c r="E17790" s="132">
        <v>600000</v>
      </c>
      <c r="F17790" s="132"/>
      <c r="G17790" s="132">
        <f t="shared" si="413"/>
        <v>-600000</v>
      </c>
      <c r="H17790" s="718" t="s">
        <v>11961</v>
      </c>
    </row>
    <row r="17791" spans="1:8" ht="15" x14ac:dyDescent="0.2">
      <c r="A17791" s="747">
        <v>45273</v>
      </c>
      <c r="B17791" s="65" t="s">
        <v>12025</v>
      </c>
      <c r="C17791" s="65" t="s">
        <v>12026</v>
      </c>
      <c r="D17791" s="189" t="s">
        <v>12027</v>
      </c>
      <c r="E17791" s="132">
        <v>1500000</v>
      </c>
      <c r="F17791" s="132"/>
      <c r="G17791" s="132">
        <f t="shared" si="413"/>
        <v>-1500000</v>
      </c>
      <c r="H17791" s="718" t="s">
        <v>11961</v>
      </c>
    </row>
    <row r="17792" spans="1:8" ht="15" x14ac:dyDescent="0.2">
      <c r="A17792" s="747">
        <v>45273</v>
      </c>
      <c r="B17792" s="65" t="s">
        <v>103</v>
      </c>
      <c r="C17792" s="65" t="s">
        <v>103</v>
      </c>
      <c r="D17792" s="189" t="s">
        <v>12028</v>
      </c>
      <c r="E17792" s="132">
        <v>15000</v>
      </c>
      <c r="F17792" s="132"/>
      <c r="G17792" s="132">
        <f t="shared" ref="G17792:G17810" si="414">F17792-E17792</f>
        <v>-15000</v>
      </c>
      <c r="H17792" s="718" t="s">
        <v>11961</v>
      </c>
    </row>
    <row r="17793" spans="1:8" ht="15" x14ac:dyDescent="0.2">
      <c r="A17793" s="747">
        <v>45273</v>
      </c>
      <c r="B17793" s="65" t="s">
        <v>12025</v>
      </c>
      <c r="C17793" s="65" t="s">
        <v>5457</v>
      </c>
      <c r="D17793" s="189" t="s">
        <v>12029</v>
      </c>
      <c r="E17793" s="132">
        <v>10000</v>
      </c>
      <c r="F17793" s="132"/>
      <c r="G17793" s="132">
        <f t="shared" si="414"/>
        <v>-10000</v>
      </c>
      <c r="H17793" s="718" t="s">
        <v>11961</v>
      </c>
    </row>
    <row r="17794" spans="1:8" ht="15" x14ac:dyDescent="0.2">
      <c r="A17794" s="747">
        <v>45273</v>
      </c>
      <c r="B17794" s="65" t="s">
        <v>11853</v>
      </c>
      <c r="C17794" s="65" t="s">
        <v>11108</v>
      </c>
      <c r="D17794" s="189" t="s">
        <v>12030</v>
      </c>
      <c r="E17794" s="132">
        <v>3900</v>
      </c>
      <c r="F17794" s="132"/>
      <c r="G17794" s="132">
        <f t="shared" si="414"/>
        <v>-3900</v>
      </c>
      <c r="H17794" s="718" t="s">
        <v>11961</v>
      </c>
    </row>
    <row r="17795" spans="1:8" ht="15" x14ac:dyDescent="0.2">
      <c r="A17795" s="747">
        <v>45274</v>
      </c>
      <c r="B17795" s="65" t="s">
        <v>11022</v>
      </c>
      <c r="C17795" s="65" t="s">
        <v>5791</v>
      </c>
      <c r="D17795" s="189" t="s">
        <v>1164</v>
      </c>
      <c r="E17795" s="132">
        <v>1000</v>
      </c>
      <c r="F17795" s="132"/>
      <c r="G17795" s="132">
        <f t="shared" si="414"/>
        <v>-1000</v>
      </c>
      <c r="H17795" s="718" t="s">
        <v>11961</v>
      </c>
    </row>
    <row r="17796" spans="1:8" ht="15" x14ac:dyDescent="0.2">
      <c r="A17796" s="747">
        <v>45274</v>
      </c>
      <c r="B17796" s="65" t="s">
        <v>11758</v>
      </c>
      <c r="C17796" s="65" t="s">
        <v>11144</v>
      </c>
      <c r="D17796" s="189" t="s">
        <v>12031</v>
      </c>
      <c r="E17796" s="132">
        <v>40000</v>
      </c>
      <c r="F17796" s="132"/>
      <c r="G17796" s="132">
        <f t="shared" si="414"/>
        <v>-40000</v>
      </c>
      <c r="H17796" s="718" t="s">
        <v>11961</v>
      </c>
    </row>
    <row r="17797" spans="1:8" ht="15" x14ac:dyDescent="0.2">
      <c r="A17797" s="747">
        <v>45274</v>
      </c>
      <c r="B17797" s="65" t="s">
        <v>11022</v>
      </c>
      <c r="C17797" s="65" t="s">
        <v>5791</v>
      </c>
      <c r="D17797" s="189" t="s">
        <v>12032</v>
      </c>
      <c r="E17797" s="132">
        <v>2000</v>
      </c>
      <c r="F17797" s="132"/>
      <c r="G17797" s="132">
        <f t="shared" si="414"/>
        <v>-2000</v>
      </c>
      <c r="H17797" s="718" t="s">
        <v>11961</v>
      </c>
    </row>
    <row r="17798" spans="1:8" ht="15" x14ac:dyDescent="0.2">
      <c r="A17798" s="747">
        <v>45274</v>
      </c>
      <c r="B17798" s="65" t="s">
        <v>11853</v>
      </c>
      <c r="C17798" s="65" t="s">
        <v>5791</v>
      </c>
      <c r="D17798" s="189" t="s">
        <v>10448</v>
      </c>
      <c r="E17798" s="132">
        <v>250</v>
      </c>
      <c r="F17798" s="132"/>
      <c r="G17798" s="132">
        <f t="shared" si="414"/>
        <v>-250</v>
      </c>
      <c r="H17798" s="718" t="s">
        <v>11961</v>
      </c>
    </row>
    <row r="17799" spans="1:8" ht="15" x14ac:dyDescent="0.2">
      <c r="A17799" s="747">
        <v>45274</v>
      </c>
      <c r="B17799" s="65" t="s">
        <v>11207</v>
      </c>
      <c r="C17799" s="65" t="s">
        <v>12033</v>
      </c>
      <c r="D17799" s="189" t="s">
        <v>12058</v>
      </c>
      <c r="E17799" s="132">
        <v>155000</v>
      </c>
      <c r="F17799" s="132"/>
      <c r="G17799" s="132">
        <f t="shared" si="414"/>
        <v>-155000</v>
      </c>
      <c r="H17799" s="718" t="s">
        <v>11961</v>
      </c>
    </row>
    <row r="17800" spans="1:8" ht="15" x14ac:dyDescent="0.2">
      <c r="A17800" s="747">
        <v>45274</v>
      </c>
      <c r="B17800" s="65" t="s">
        <v>11740</v>
      </c>
      <c r="C17800" s="560" t="s">
        <v>674</v>
      </c>
      <c r="D17800" s="753" t="s">
        <v>12034</v>
      </c>
      <c r="E17800" s="561">
        <v>23750</v>
      </c>
      <c r="F17800" s="132"/>
      <c r="G17800" s="132">
        <f t="shared" si="414"/>
        <v>-23750</v>
      </c>
      <c r="H17800" s="718" t="s">
        <v>11961</v>
      </c>
    </row>
    <row r="17801" spans="1:8" ht="15" x14ac:dyDescent="0.2">
      <c r="A17801" s="747">
        <v>45274</v>
      </c>
      <c r="B17801" s="65" t="s">
        <v>11022</v>
      </c>
      <c r="C17801" s="560" t="s">
        <v>674</v>
      </c>
      <c r="D17801" s="753" t="s">
        <v>12034</v>
      </c>
      <c r="E17801" s="561">
        <v>23750</v>
      </c>
      <c r="F17801" s="132"/>
      <c r="G17801" s="132">
        <f t="shared" si="414"/>
        <v>-23750</v>
      </c>
      <c r="H17801" s="718" t="s">
        <v>11961</v>
      </c>
    </row>
    <row r="17802" spans="1:8" ht="15" x14ac:dyDescent="0.2">
      <c r="A17802" s="747">
        <v>45274</v>
      </c>
      <c r="B17802" s="65" t="s">
        <v>11746</v>
      </c>
      <c r="C17802" s="560" t="s">
        <v>674</v>
      </c>
      <c r="D17802" s="753" t="s">
        <v>12034</v>
      </c>
      <c r="E17802" s="561">
        <v>23750</v>
      </c>
      <c r="F17802" s="132"/>
      <c r="G17802" s="132">
        <f t="shared" si="414"/>
        <v>-23750</v>
      </c>
      <c r="H17802" s="718" t="s">
        <v>11961</v>
      </c>
    </row>
    <row r="17803" spans="1:8" ht="15" x14ac:dyDescent="0.2">
      <c r="A17803" s="747">
        <v>45274</v>
      </c>
      <c r="B17803" s="65" t="s">
        <v>10342</v>
      </c>
      <c r="C17803" s="560" t="s">
        <v>674</v>
      </c>
      <c r="D17803" s="753" t="s">
        <v>12034</v>
      </c>
      <c r="E17803" s="561">
        <v>23750</v>
      </c>
      <c r="F17803" s="132"/>
      <c r="G17803" s="132">
        <f t="shared" si="414"/>
        <v>-23750</v>
      </c>
      <c r="H17803" s="718" t="s">
        <v>11961</v>
      </c>
    </row>
    <row r="17804" spans="1:8" ht="24" x14ac:dyDescent="0.2">
      <c r="A17804" s="747">
        <v>45275</v>
      </c>
      <c r="B17804" s="65" t="s">
        <v>11740</v>
      </c>
      <c r="C17804" s="679" t="s">
        <v>11108</v>
      </c>
      <c r="D17804" s="923" t="s">
        <v>12059</v>
      </c>
      <c r="E17804" s="681">
        <v>20000</v>
      </c>
      <c r="F17804" s="132"/>
      <c r="G17804" s="132">
        <f t="shared" si="414"/>
        <v>-20000</v>
      </c>
      <c r="H17804" s="718" t="s">
        <v>11961</v>
      </c>
    </row>
    <row r="17805" spans="1:8" ht="24" x14ac:dyDescent="0.2">
      <c r="A17805" s="747">
        <v>45275</v>
      </c>
      <c r="B17805" s="65" t="s">
        <v>11746</v>
      </c>
      <c r="C17805" s="679" t="s">
        <v>11108</v>
      </c>
      <c r="D17805" s="923" t="s">
        <v>12059</v>
      </c>
      <c r="E17805" s="681">
        <v>9600</v>
      </c>
      <c r="F17805" s="132"/>
      <c r="G17805" s="132">
        <f t="shared" si="414"/>
        <v>-9600</v>
      </c>
      <c r="H17805" s="718" t="s">
        <v>11961</v>
      </c>
    </row>
    <row r="17806" spans="1:8" ht="15" x14ac:dyDescent="0.2">
      <c r="A17806" s="747">
        <v>45275</v>
      </c>
      <c r="B17806" s="65" t="s">
        <v>11853</v>
      </c>
      <c r="C17806" s="65" t="s">
        <v>11577</v>
      </c>
      <c r="D17806" s="189" t="s">
        <v>12060</v>
      </c>
      <c r="E17806" s="132">
        <v>143500</v>
      </c>
      <c r="F17806" s="132"/>
      <c r="G17806" s="132">
        <f t="shared" si="414"/>
        <v>-143500</v>
      </c>
      <c r="H17806" s="718" t="s">
        <v>11961</v>
      </c>
    </row>
    <row r="17807" spans="1:8" ht="15" x14ac:dyDescent="0.2">
      <c r="A17807" s="747">
        <v>45275</v>
      </c>
      <c r="B17807" s="65" t="s">
        <v>12025</v>
      </c>
      <c r="C17807" s="65" t="s">
        <v>258</v>
      </c>
      <c r="D17807" s="189" t="s">
        <v>12061</v>
      </c>
      <c r="E17807" s="132">
        <v>1500000</v>
      </c>
      <c r="F17807" s="132"/>
      <c r="G17807" s="132">
        <f t="shared" si="414"/>
        <v>-1500000</v>
      </c>
      <c r="H17807" s="718" t="s">
        <v>11961</v>
      </c>
    </row>
    <row r="17808" spans="1:8" ht="15" x14ac:dyDescent="0.2">
      <c r="A17808" s="747">
        <v>45275</v>
      </c>
      <c r="B17808" s="65" t="s">
        <v>11758</v>
      </c>
      <c r="C17808" s="65" t="s">
        <v>11877</v>
      </c>
      <c r="D17808" s="189" t="s">
        <v>12061</v>
      </c>
      <c r="E17808" s="132">
        <v>1000000</v>
      </c>
      <c r="F17808" s="132"/>
      <c r="G17808" s="132">
        <f t="shared" si="414"/>
        <v>-1000000</v>
      </c>
      <c r="H17808" s="718" t="s">
        <v>11961</v>
      </c>
    </row>
    <row r="17809" spans="1:8" ht="15" x14ac:dyDescent="0.2">
      <c r="A17809" s="747">
        <v>45275</v>
      </c>
      <c r="B17809" s="65" t="s">
        <v>12025</v>
      </c>
      <c r="C17809" s="65" t="s">
        <v>10972</v>
      </c>
      <c r="D17809" s="189" t="s">
        <v>12061</v>
      </c>
      <c r="E17809" s="132">
        <v>1000000</v>
      </c>
      <c r="F17809" s="132"/>
      <c r="G17809" s="132">
        <f t="shared" si="414"/>
        <v>-1000000</v>
      </c>
      <c r="H17809" s="718" t="s">
        <v>11961</v>
      </c>
    </row>
    <row r="17810" spans="1:8" ht="24" x14ac:dyDescent="0.2">
      <c r="A17810" s="747">
        <v>45275</v>
      </c>
      <c r="B17810" s="65" t="s">
        <v>10342</v>
      </c>
      <c r="C17810" s="560" t="s">
        <v>8483</v>
      </c>
      <c r="D17810" s="753" t="s">
        <v>12062</v>
      </c>
      <c r="E17810" s="561">
        <v>250000</v>
      </c>
      <c r="F17810" s="132"/>
      <c r="G17810" s="132">
        <f t="shared" si="414"/>
        <v>-250000</v>
      </c>
      <c r="H17810" s="718" t="s">
        <v>11961</v>
      </c>
    </row>
    <row r="17811" spans="1:8" ht="24" x14ac:dyDescent="0.2">
      <c r="A17811" s="747">
        <v>45275</v>
      </c>
      <c r="B17811" s="65" t="s">
        <v>10688</v>
      </c>
      <c r="C17811" s="560" t="s">
        <v>8483</v>
      </c>
      <c r="D17811" s="753" t="s">
        <v>12062</v>
      </c>
      <c r="E17811" s="561">
        <v>250000</v>
      </c>
      <c r="F17811" s="132"/>
      <c r="G17811" s="132">
        <f t="shared" ref="G17811:G17813" si="415">F17811-E17811</f>
        <v>-250000</v>
      </c>
      <c r="H17811" s="718" t="s">
        <v>11961</v>
      </c>
    </row>
    <row r="17812" spans="1:8" ht="24" x14ac:dyDescent="0.2">
      <c r="A17812" s="747">
        <v>45275</v>
      </c>
      <c r="B17812" s="65" t="s">
        <v>11023</v>
      </c>
      <c r="C17812" s="560" t="s">
        <v>8483</v>
      </c>
      <c r="D17812" s="753" t="s">
        <v>12062</v>
      </c>
      <c r="E17812" s="561">
        <v>250000</v>
      </c>
      <c r="F17812" s="132"/>
      <c r="G17812" s="132">
        <f t="shared" si="415"/>
        <v>-250000</v>
      </c>
      <c r="H17812" s="718" t="s">
        <v>11961</v>
      </c>
    </row>
    <row r="17813" spans="1:8" ht="24" x14ac:dyDescent="0.2">
      <c r="A17813" s="747">
        <v>45275</v>
      </c>
      <c r="B17813" s="65" t="s">
        <v>11568</v>
      </c>
      <c r="C17813" s="560" t="s">
        <v>8483</v>
      </c>
      <c r="D17813" s="753" t="s">
        <v>12062</v>
      </c>
      <c r="E17813" s="561">
        <v>250000</v>
      </c>
      <c r="F17813" s="132"/>
      <c r="G17813" s="132">
        <f t="shared" si="415"/>
        <v>-250000</v>
      </c>
      <c r="H17813" s="718" t="s">
        <v>11961</v>
      </c>
    </row>
    <row r="17814" spans="1:8" ht="15" x14ac:dyDescent="0.2">
      <c r="A17814" s="747">
        <v>45275</v>
      </c>
      <c r="B17814" s="65" t="s">
        <v>10342</v>
      </c>
      <c r="C17814" s="65" t="s">
        <v>7538</v>
      </c>
      <c r="D17814" s="189" t="s">
        <v>12061</v>
      </c>
      <c r="E17814" s="132">
        <v>1000000</v>
      </c>
      <c r="F17814" s="132"/>
      <c r="G17814" s="132">
        <f t="shared" ref="G17814" si="416">F17814-E17814</f>
        <v>-1000000</v>
      </c>
      <c r="H17814" s="718" t="s">
        <v>11961</v>
      </c>
    </row>
    <row r="17815" spans="1:8" ht="15" x14ac:dyDescent="0.2">
      <c r="A17815" s="747">
        <v>45275</v>
      </c>
      <c r="B17815" s="65" t="s">
        <v>11853</v>
      </c>
      <c r="C17815" s="65" t="s">
        <v>11108</v>
      </c>
      <c r="D17815" s="189" t="s">
        <v>12063</v>
      </c>
      <c r="E17815" s="132">
        <v>4150</v>
      </c>
      <c r="F17815" s="132"/>
      <c r="G17815" s="132">
        <f t="shared" ref="G17815:G17820" si="417">F17815-E17815</f>
        <v>-4150</v>
      </c>
      <c r="H17815" s="718" t="s">
        <v>11961</v>
      </c>
    </row>
    <row r="17816" spans="1:8" ht="15" x14ac:dyDescent="0.2">
      <c r="A17816" s="747">
        <v>45275</v>
      </c>
      <c r="B17816" s="65" t="s">
        <v>11853</v>
      </c>
      <c r="C17816" s="65" t="s">
        <v>5791</v>
      </c>
      <c r="D17816" s="189" t="s">
        <v>372</v>
      </c>
      <c r="E17816" s="132">
        <v>800</v>
      </c>
      <c r="F17816" s="132"/>
      <c r="G17816" s="132">
        <f t="shared" si="417"/>
        <v>-800</v>
      </c>
      <c r="H17816" s="718" t="s">
        <v>11961</v>
      </c>
    </row>
    <row r="17817" spans="1:8" ht="15" x14ac:dyDescent="0.2">
      <c r="A17817" s="747">
        <v>45275</v>
      </c>
      <c r="B17817" s="65" t="s">
        <v>11853</v>
      </c>
      <c r="C17817" s="65" t="s">
        <v>394</v>
      </c>
      <c r="D17817" s="189" t="s">
        <v>12064</v>
      </c>
      <c r="E17817" s="132">
        <v>50</v>
      </c>
      <c r="F17817" s="132"/>
      <c r="G17817" s="132">
        <f t="shared" si="417"/>
        <v>-50</v>
      </c>
      <c r="H17817" s="718" t="s">
        <v>11961</v>
      </c>
    </row>
    <row r="17818" spans="1:8" ht="15" x14ac:dyDescent="0.2">
      <c r="A17818" s="747">
        <v>45275</v>
      </c>
      <c r="B17818" s="65" t="s">
        <v>25</v>
      </c>
      <c r="C17818" s="65" t="s">
        <v>8230</v>
      </c>
      <c r="D17818" s="189" t="s">
        <v>7664</v>
      </c>
      <c r="E17818" s="132">
        <v>2060</v>
      </c>
      <c r="F17818" s="132"/>
      <c r="G17818" s="132">
        <f t="shared" si="417"/>
        <v>-2060</v>
      </c>
      <c r="H17818" s="718" t="s">
        <v>11961</v>
      </c>
    </row>
    <row r="17819" spans="1:8" ht="15" x14ac:dyDescent="0.2">
      <c r="A17819" s="747">
        <v>45275</v>
      </c>
      <c r="B17819" s="65" t="s">
        <v>103</v>
      </c>
      <c r="C17819" s="65" t="s">
        <v>8230</v>
      </c>
      <c r="D17819" s="189" t="s">
        <v>7664</v>
      </c>
      <c r="E17819" s="132">
        <v>7550</v>
      </c>
      <c r="F17819" s="132"/>
      <c r="G17819" s="132">
        <f t="shared" si="417"/>
        <v>-7550</v>
      </c>
      <c r="H17819" s="718" t="s">
        <v>11961</v>
      </c>
    </row>
    <row r="17820" spans="1:8" ht="15" x14ac:dyDescent="0.2">
      <c r="A17820" s="747">
        <v>45275</v>
      </c>
      <c r="B17820" s="65" t="s">
        <v>11758</v>
      </c>
      <c r="C17820" s="65" t="s">
        <v>394</v>
      </c>
      <c r="D17820" s="189" t="s">
        <v>12065</v>
      </c>
      <c r="E17820" s="132">
        <v>3000</v>
      </c>
      <c r="F17820" s="132"/>
      <c r="G17820" s="132">
        <f t="shared" si="417"/>
        <v>-3000</v>
      </c>
      <c r="H17820" s="718" t="s">
        <v>11961</v>
      </c>
    </row>
    <row r="17821" spans="1:8" ht="15" x14ac:dyDescent="0.2">
      <c r="A17821" s="747">
        <v>45275</v>
      </c>
      <c r="B17821" s="65" t="s">
        <v>12025</v>
      </c>
      <c r="C17821" s="65" t="s">
        <v>5434</v>
      </c>
      <c r="D17821" s="189" t="s">
        <v>10633</v>
      </c>
      <c r="E17821" s="132">
        <v>9000</v>
      </c>
      <c r="F17821" s="132"/>
      <c r="G17821" s="132">
        <f t="shared" ref="G17821:G17832" si="418">F17821-E17821</f>
        <v>-9000</v>
      </c>
      <c r="H17821" s="718" t="s">
        <v>11961</v>
      </c>
    </row>
    <row r="17822" spans="1:8" ht="15" x14ac:dyDescent="0.2">
      <c r="A17822" s="747">
        <v>45275</v>
      </c>
      <c r="B17822" s="65" t="s">
        <v>12025</v>
      </c>
      <c r="C17822" s="65" t="s">
        <v>5791</v>
      </c>
      <c r="D17822" s="189" t="s">
        <v>12066</v>
      </c>
      <c r="E17822" s="132">
        <v>7500</v>
      </c>
      <c r="F17822" s="132"/>
      <c r="G17822" s="132">
        <f t="shared" si="418"/>
        <v>-7500</v>
      </c>
      <c r="H17822" s="718" t="s">
        <v>11961</v>
      </c>
    </row>
    <row r="17823" spans="1:8" ht="15" x14ac:dyDescent="0.2">
      <c r="A17823" s="747">
        <v>45275</v>
      </c>
      <c r="B17823" s="65" t="s">
        <v>11853</v>
      </c>
      <c r="C17823" s="65" t="s">
        <v>11108</v>
      </c>
      <c r="D17823" s="189" t="s">
        <v>12067</v>
      </c>
      <c r="E17823" s="132">
        <v>40500</v>
      </c>
      <c r="F17823" s="132"/>
      <c r="G17823" s="132">
        <f t="shared" si="418"/>
        <v>-40500</v>
      </c>
      <c r="H17823" s="718" t="s">
        <v>11961</v>
      </c>
    </row>
    <row r="17824" spans="1:8" ht="15" x14ac:dyDescent="0.2">
      <c r="A17824" s="747">
        <v>45275</v>
      </c>
      <c r="B17824" s="65" t="s">
        <v>11853</v>
      </c>
      <c r="C17824" s="65" t="s">
        <v>11108</v>
      </c>
      <c r="D17824" s="189" t="s">
        <v>12068</v>
      </c>
      <c r="E17824" s="132">
        <v>28000</v>
      </c>
      <c r="F17824" s="132"/>
      <c r="G17824" s="132">
        <f t="shared" si="418"/>
        <v>-28000</v>
      </c>
      <c r="H17824" s="718" t="s">
        <v>11961</v>
      </c>
    </row>
    <row r="17825" spans="1:8" ht="15" x14ac:dyDescent="0.2">
      <c r="A17825" s="747">
        <v>45275</v>
      </c>
      <c r="B17825" s="65" t="s">
        <v>11207</v>
      </c>
      <c r="C17825" s="65" t="s">
        <v>11108</v>
      </c>
      <c r="D17825" s="189" t="s">
        <v>12069</v>
      </c>
      <c r="E17825" s="132">
        <v>4000</v>
      </c>
      <c r="F17825" s="132"/>
      <c r="G17825" s="132">
        <f t="shared" si="418"/>
        <v>-4000</v>
      </c>
      <c r="H17825" s="718" t="s">
        <v>11961</v>
      </c>
    </row>
    <row r="17826" spans="1:8" ht="15" x14ac:dyDescent="0.2">
      <c r="A17826" s="747">
        <v>45275</v>
      </c>
      <c r="B17826" s="65" t="s">
        <v>11207</v>
      </c>
      <c r="C17826" s="65" t="s">
        <v>11108</v>
      </c>
      <c r="D17826" s="189" t="s">
        <v>12070</v>
      </c>
      <c r="E17826" s="132">
        <v>1500</v>
      </c>
      <c r="F17826" s="132"/>
      <c r="G17826" s="132">
        <f t="shared" si="418"/>
        <v>-1500</v>
      </c>
      <c r="H17826" s="718" t="s">
        <v>11961</v>
      </c>
    </row>
    <row r="17827" spans="1:8" ht="15" x14ac:dyDescent="0.2">
      <c r="A17827" s="747">
        <v>45275</v>
      </c>
      <c r="B17827" s="65" t="s">
        <v>11022</v>
      </c>
      <c r="C17827" s="65" t="s">
        <v>11108</v>
      </c>
      <c r="D17827" s="189" t="s">
        <v>10938</v>
      </c>
      <c r="E17827" s="132">
        <v>1800</v>
      </c>
      <c r="F17827" s="132"/>
      <c r="G17827" s="132">
        <f t="shared" si="418"/>
        <v>-1800</v>
      </c>
      <c r="H17827" s="718" t="s">
        <v>11961</v>
      </c>
    </row>
    <row r="17828" spans="1:8" ht="15" x14ac:dyDescent="0.2">
      <c r="A17828" s="747">
        <v>45275</v>
      </c>
      <c r="B17828" s="65" t="s">
        <v>10342</v>
      </c>
      <c r="C17828" s="65" t="s">
        <v>11108</v>
      </c>
      <c r="D17828" s="189" t="s">
        <v>11397</v>
      </c>
      <c r="E17828" s="132">
        <v>3000</v>
      </c>
      <c r="F17828" s="132"/>
      <c r="G17828" s="132">
        <f t="shared" si="418"/>
        <v>-3000</v>
      </c>
      <c r="H17828" s="718" t="s">
        <v>11961</v>
      </c>
    </row>
    <row r="17829" spans="1:8" ht="15" x14ac:dyDescent="0.2">
      <c r="A17829" s="747">
        <v>45275</v>
      </c>
      <c r="B17829" s="65" t="s">
        <v>12025</v>
      </c>
      <c r="C17829" s="65" t="s">
        <v>394</v>
      </c>
      <c r="D17829" s="189" t="s">
        <v>12071</v>
      </c>
      <c r="E17829" s="132">
        <v>1500</v>
      </c>
      <c r="F17829" s="132"/>
      <c r="G17829" s="132">
        <f t="shared" si="418"/>
        <v>-1500</v>
      </c>
      <c r="H17829" s="718" t="s">
        <v>11961</v>
      </c>
    </row>
    <row r="17830" spans="1:8" ht="15" x14ac:dyDescent="0.2">
      <c r="A17830" s="747">
        <v>45275</v>
      </c>
      <c r="B17830" s="65" t="s">
        <v>11207</v>
      </c>
      <c r="C17830" s="65" t="s">
        <v>5791</v>
      </c>
      <c r="D17830" s="189" t="s">
        <v>372</v>
      </c>
      <c r="E17830" s="132">
        <v>1500</v>
      </c>
      <c r="F17830" s="132"/>
      <c r="G17830" s="132">
        <f t="shared" si="418"/>
        <v>-1500</v>
      </c>
      <c r="H17830" s="718" t="s">
        <v>11961</v>
      </c>
    </row>
    <row r="17831" spans="1:8" ht="15" x14ac:dyDescent="0.2">
      <c r="A17831" s="747">
        <v>45275</v>
      </c>
      <c r="B17831" s="65" t="s">
        <v>11207</v>
      </c>
      <c r="C17831" s="65" t="s">
        <v>394</v>
      </c>
      <c r="D17831" s="189" t="s">
        <v>4487</v>
      </c>
      <c r="E17831" s="132">
        <v>10600</v>
      </c>
      <c r="F17831" s="132"/>
      <c r="G17831" s="132">
        <f t="shared" si="418"/>
        <v>-10600</v>
      </c>
      <c r="H17831" s="718" t="s">
        <v>11961</v>
      </c>
    </row>
    <row r="17832" spans="1:8" ht="15" x14ac:dyDescent="0.2">
      <c r="A17832" s="747">
        <v>45275</v>
      </c>
      <c r="B17832" s="65" t="s">
        <v>11461</v>
      </c>
      <c r="C17832" s="65" t="s">
        <v>394</v>
      </c>
      <c r="D17832" s="189" t="s">
        <v>4487</v>
      </c>
      <c r="E17832" s="132">
        <v>12000</v>
      </c>
      <c r="F17832" s="132"/>
      <c r="G17832" s="132">
        <f t="shared" si="418"/>
        <v>-12000</v>
      </c>
      <c r="H17832" s="718" t="s">
        <v>11961</v>
      </c>
    </row>
    <row r="17833" spans="1:8" ht="15" x14ac:dyDescent="0.2">
      <c r="A17833" s="747">
        <v>45275</v>
      </c>
      <c r="B17833" s="65" t="s">
        <v>11941</v>
      </c>
      <c r="C17833" s="65" t="s">
        <v>11815</v>
      </c>
      <c r="D17833" s="189" t="s">
        <v>12072</v>
      </c>
      <c r="E17833" s="132">
        <v>6000</v>
      </c>
      <c r="F17833" s="132"/>
      <c r="G17833" s="132">
        <f t="shared" ref="G17833:G17840" si="419">F17833-E17833</f>
        <v>-6000</v>
      </c>
      <c r="H17833" s="718" t="s">
        <v>11961</v>
      </c>
    </row>
    <row r="17834" spans="1:8" ht="15" x14ac:dyDescent="0.2">
      <c r="A17834" s="747">
        <v>45275</v>
      </c>
      <c r="B17834" s="65" t="s">
        <v>11254</v>
      </c>
      <c r="C17834" s="65" t="s">
        <v>11815</v>
      </c>
      <c r="D17834" s="189" t="s">
        <v>12072</v>
      </c>
      <c r="E17834" s="132">
        <v>24000</v>
      </c>
      <c r="F17834" s="132"/>
      <c r="G17834" s="132">
        <f t="shared" si="419"/>
        <v>-24000</v>
      </c>
      <c r="H17834" s="718" t="s">
        <v>11961</v>
      </c>
    </row>
    <row r="17835" spans="1:8" ht="15" x14ac:dyDescent="0.2">
      <c r="A17835" s="747">
        <v>45275</v>
      </c>
      <c r="B17835" s="65" t="s">
        <v>11941</v>
      </c>
      <c r="C17835" s="65" t="s">
        <v>4916</v>
      </c>
      <c r="D17835" s="189" t="s">
        <v>12073</v>
      </c>
      <c r="E17835" s="132">
        <v>4000</v>
      </c>
      <c r="F17835" s="132"/>
      <c r="G17835" s="132">
        <f t="shared" si="419"/>
        <v>-4000</v>
      </c>
      <c r="H17835" s="718" t="s">
        <v>11961</v>
      </c>
    </row>
    <row r="17836" spans="1:8" ht="15" x14ac:dyDescent="0.2">
      <c r="A17836" s="747">
        <v>45275</v>
      </c>
      <c r="B17836" s="65" t="s">
        <v>11853</v>
      </c>
      <c r="C17836" s="65" t="s">
        <v>288</v>
      </c>
      <c r="D17836" s="189" t="s">
        <v>8758</v>
      </c>
      <c r="E17836" s="132">
        <v>1600</v>
      </c>
      <c r="F17836" s="132"/>
      <c r="G17836" s="132">
        <f t="shared" si="419"/>
        <v>-1600</v>
      </c>
      <c r="H17836" s="718" t="s">
        <v>11961</v>
      </c>
    </row>
    <row r="17837" spans="1:8" ht="15" x14ac:dyDescent="0.2">
      <c r="A17837" s="747">
        <v>45276</v>
      </c>
      <c r="B17837" s="65" t="s">
        <v>10342</v>
      </c>
      <c r="C17837" s="65" t="s">
        <v>11108</v>
      </c>
      <c r="D17837" s="189" t="s">
        <v>1628</v>
      </c>
      <c r="E17837" s="132">
        <v>700</v>
      </c>
      <c r="F17837" s="132"/>
      <c r="G17837" s="132">
        <f t="shared" ref="G17837:G17839" si="420">F17837-E17837</f>
        <v>-700</v>
      </c>
      <c r="H17837" s="718" t="s">
        <v>11961</v>
      </c>
    </row>
    <row r="17838" spans="1:8" ht="15" x14ac:dyDescent="0.2">
      <c r="A17838" s="747">
        <v>45276</v>
      </c>
      <c r="B17838" s="65" t="s">
        <v>11568</v>
      </c>
      <c r="C17838" s="65" t="s">
        <v>11108</v>
      </c>
      <c r="D17838" s="189" t="s">
        <v>12089</v>
      </c>
      <c r="E17838" s="132">
        <v>2000</v>
      </c>
      <c r="F17838" s="132"/>
      <c r="G17838" s="132">
        <f t="shared" si="420"/>
        <v>-2000</v>
      </c>
      <c r="H17838" s="718" t="s">
        <v>11961</v>
      </c>
    </row>
    <row r="17839" spans="1:8" ht="15" x14ac:dyDescent="0.2">
      <c r="A17839" s="747">
        <v>45276</v>
      </c>
      <c r="B17839" s="65" t="s">
        <v>10342</v>
      </c>
      <c r="C17839" s="65" t="s">
        <v>5791</v>
      </c>
      <c r="D17839" s="189" t="s">
        <v>372</v>
      </c>
      <c r="E17839" s="132">
        <v>1500</v>
      </c>
      <c r="F17839" s="132"/>
      <c r="G17839" s="132">
        <f t="shared" si="420"/>
        <v>-1500</v>
      </c>
      <c r="H17839" s="718" t="s">
        <v>11961</v>
      </c>
    </row>
    <row r="17840" spans="1:8" ht="15" x14ac:dyDescent="0.2">
      <c r="A17840" s="747">
        <v>45276</v>
      </c>
      <c r="B17840" s="65" t="s">
        <v>11853</v>
      </c>
      <c r="C17840" s="65" t="s">
        <v>5791</v>
      </c>
      <c r="D17840" s="189" t="s">
        <v>12074</v>
      </c>
      <c r="E17840" s="132">
        <v>1500</v>
      </c>
      <c r="F17840" s="132"/>
      <c r="G17840" s="132">
        <f t="shared" si="419"/>
        <v>-1500</v>
      </c>
      <c r="H17840" s="718" t="s">
        <v>11961</v>
      </c>
    </row>
    <row r="17841" spans="1:8" ht="15" x14ac:dyDescent="0.2">
      <c r="A17841" s="747">
        <v>45276</v>
      </c>
      <c r="B17841" s="65" t="s">
        <v>11758</v>
      </c>
      <c r="C17841" s="65" t="s">
        <v>11108</v>
      </c>
      <c r="D17841" s="189" t="s">
        <v>12090</v>
      </c>
      <c r="E17841" s="132">
        <v>6000</v>
      </c>
      <c r="F17841" s="132"/>
      <c r="G17841" s="132">
        <f t="shared" ref="G17841:G17843" si="421">F17841-E17841</f>
        <v>-6000</v>
      </c>
      <c r="H17841" s="718" t="s">
        <v>11961</v>
      </c>
    </row>
    <row r="17842" spans="1:8" ht="15" x14ac:dyDescent="0.2">
      <c r="A17842" s="747">
        <v>45276</v>
      </c>
      <c r="B17842" s="65" t="s">
        <v>11022</v>
      </c>
      <c r="C17842" s="65" t="s">
        <v>5791</v>
      </c>
      <c r="D17842" s="189" t="s">
        <v>372</v>
      </c>
      <c r="E17842" s="132">
        <v>250</v>
      </c>
      <c r="F17842" s="132"/>
      <c r="G17842" s="132">
        <f t="shared" si="421"/>
        <v>-250</v>
      </c>
      <c r="H17842" s="718" t="s">
        <v>11961</v>
      </c>
    </row>
    <row r="17843" spans="1:8" ht="15" x14ac:dyDescent="0.2">
      <c r="A17843" s="747">
        <v>45276</v>
      </c>
      <c r="B17843" s="65" t="s">
        <v>10077</v>
      </c>
      <c r="C17843" s="560" t="s">
        <v>381</v>
      </c>
      <c r="D17843" s="753" t="s">
        <v>12092</v>
      </c>
      <c r="E17843" s="561">
        <v>14707</v>
      </c>
      <c r="F17843" s="132"/>
      <c r="G17843" s="132">
        <f t="shared" si="421"/>
        <v>-14707</v>
      </c>
      <c r="H17843" s="718" t="s">
        <v>11961</v>
      </c>
    </row>
    <row r="17844" spans="1:8" ht="15" x14ac:dyDescent="0.2">
      <c r="A17844" s="747">
        <v>45276</v>
      </c>
      <c r="B17844" s="65" t="s">
        <v>10096</v>
      </c>
      <c r="C17844" s="560" t="s">
        <v>381</v>
      </c>
      <c r="D17844" s="753" t="s">
        <v>12092</v>
      </c>
      <c r="E17844" s="561">
        <v>41074</v>
      </c>
      <c r="F17844" s="132"/>
      <c r="G17844" s="132">
        <f t="shared" ref="G17844:G17850" si="422">F17844-E17844</f>
        <v>-41074</v>
      </c>
      <c r="H17844" s="718" t="s">
        <v>11961</v>
      </c>
    </row>
    <row r="17845" spans="1:8" ht="15" x14ac:dyDescent="0.2">
      <c r="A17845" s="747">
        <v>45276</v>
      </c>
      <c r="B17845" s="65" t="s">
        <v>10342</v>
      </c>
      <c r="C17845" s="560" t="s">
        <v>381</v>
      </c>
      <c r="D17845" s="753" t="s">
        <v>12092</v>
      </c>
      <c r="E17845" s="561">
        <v>32306</v>
      </c>
      <c r="F17845" s="132"/>
      <c r="G17845" s="132">
        <f t="shared" si="422"/>
        <v>-32306</v>
      </c>
      <c r="H17845" s="718" t="s">
        <v>11961</v>
      </c>
    </row>
    <row r="17846" spans="1:8" ht="15" x14ac:dyDescent="0.2">
      <c r="A17846" s="747">
        <v>45276</v>
      </c>
      <c r="B17846" s="65" t="s">
        <v>10688</v>
      </c>
      <c r="C17846" s="560" t="s">
        <v>381</v>
      </c>
      <c r="D17846" s="753" t="s">
        <v>12092</v>
      </c>
      <c r="E17846" s="561">
        <v>5887</v>
      </c>
      <c r="F17846" s="132"/>
      <c r="G17846" s="132">
        <f t="shared" si="422"/>
        <v>-5887</v>
      </c>
      <c r="H17846" s="718" t="s">
        <v>11961</v>
      </c>
    </row>
    <row r="17847" spans="1:8" ht="15" x14ac:dyDescent="0.2">
      <c r="A17847" s="747">
        <v>45276</v>
      </c>
      <c r="B17847" s="65" t="s">
        <v>11568</v>
      </c>
      <c r="C17847" s="560" t="s">
        <v>381</v>
      </c>
      <c r="D17847" s="753" t="s">
        <v>12092</v>
      </c>
      <c r="E17847" s="561">
        <v>52104</v>
      </c>
      <c r="F17847" s="132"/>
      <c r="G17847" s="132">
        <f t="shared" si="422"/>
        <v>-52104</v>
      </c>
      <c r="H17847" s="718" t="s">
        <v>11961</v>
      </c>
    </row>
    <row r="17848" spans="1:8" ht="15" x14ac:dyDescent="0.2">
      <c r="A17848" s="747">
        <v>45276</v>
      </c>
      <c r="B17848" s="65" t="s">
        <v>11391</v>
      </c>
      <c r="C17848" s="560" t="s">
        <v>381</v>
      </c>
      <c r="D17848" s="753" t="s">
        <v>12092</v>
      </c>
      <c r="E17848" s="561">
        <v>1420</v>
      </c>
      <c r="F17848" s="132"/>
      <c r="G17848" s="132">
        <f t="shared" si="422"/>
        <v>-1420</v>
      </c>
      <c r="H17848" s="718" t="s">
        <v>11961</v>
      </c>
    </row>
    <row r="17849" spans="1:8" ht="15" x14ac:dyDescent="0.2">
      <c r="A17849" s="747">
        <v>45276</v>
      </c>
      <c r="B17849" s="65" t="s">
        <v>11740</v>
      </c>
      <c r="C17849" s="560" t="s">
        <v>381</v>
      </c>
      <c r="D17849" s="753" t="s">
        <v>12092</v>
      </c>
      <c r="E17849" s="561">
        <v>12502</v>
      </c>
      <c r="F17849" s="132"/>
      <c r="G17849" s="132">
        <f t="shared" si="422"/>
        <v>-12502</v>
      </c>
      <c r="H17849" s="718" t="s">
        <v>11961</v>
      </c>
    </row>
    <row r="17850" spans="1:8" ht="15" x14ac:dyDescent="0.2">
      <c r="A17850" s="747">
        <v>45276</v>
      </c>
      <c r="B17850" s="65" t="s">
        <v>11758</v>
      </c>
      <c r="C17850" s="65" t="s">
        <v>11108</v>
      </c>
      <c r="D17850" s="189" t="s">
        <v>12093</v>
      </c>
      <c r="E17850" s="132">
        <v>29000</v>
      </c>
      <c r="F17850" s="132"/>
      <c r="G17850" s="132">
        <f t="shared" si="422"/>
        <v>-29000</v>
      </c>
      <c r="H17850" s="718" t="s">
        <v>11961</v>
      </c>
    </row>
    <row r="17851" spans="1:8" ht="15" x14ac:dyDescent="0.2">
      <c r="A17851" s="747">
        <v>45276</v>
      </c>
      <c r="B17851" s="65" t="s">
        <v>11022</v>
      </c>
      <c r="C17851" s="65" t="s">
        <v>288</v>
      </c>
      <c r="D17851" s="189" t="s">
        <v>10004</v>
      </c>
      <c r="E17851" s="132">
        <v>400</v>
      </c>
      <c r="F17851" s="132"/>
      <c r="G17851" s="132">
        <f t="shared" ref="G17851:G17856" si="423">F17851-E17851</f>
        <v>-400</v>
      </c>
      <c r="H17851" s="718" t="s">
        <v>11961</v>
      </c>
    </row>
    <row r="17852" spans="1:8" ht="15" x14ac:dyDescent="0.2">
      <c r="A17852" s="747">
        <v>45278</v>
      </c>
      <c r="B17852" s="65" t="s">
        <v>11022</v>
      </c>
      <c r="C17852" s="65" t="s">
        <v>11108</v>
      </c>
      <c r="D17852" s="189" t="s">
        <v>10938</v>
      </c>
      <c r="E17852" s="132">
        <v>450</v>
      </c>
      <c r="F17852" s="132"/>
      <c r="G17852" s="132">
        <f t="shared" si="423"/>
        <v>-450</v>
      </c>
      <c r="H17852" s="718" t="s">
        <v>11961</v>
      </c>
    </row>
    <row r="17853" spans="1:8" ht="15" x14ac:dyDescent="0.2">
      <c r="A17853" s="747">
        <v>45278</v>
      </c>
      <c r="B17853" s="65" t="s">
        <v>103</v>
      </c>
      <c r="C17853" s="65" t="s">
        <v>103</v>
      </c>
      <c r="D17853" s="189" t="s">
        <v>3288</v>
      </c>
      <c r="E17853" s="132">
        <v>1000</v>
      </c>
      <c r="F17853" s="132"/>
      <c r="G17853" s="132">
        <f t="shared" si="423"/>
        <v>-1000</v>
      </c>
      <c r="H17853" s="718" t="s">
        <v>11961</v>
      </c>
    </row>
    <row r="17854" spans="1:8" ht="15" x14ac:dyDescent="0.2">
      <c r="A17854" s="747">
        <v>45278</v>
      </c>
      <c r="B17854" s="65" t="s">
        <v>10096</v>
      </c>
      <c r="C17854" s="65" t="s">
        <v>5791</v>
      </c>
      <c r="D17854" s="189" t="s">
        <v>372</v>
      </c>
      <c r="E17854" s="132">
        <v>1700</v>
      </c>
      <c r="F17854" s="132"/>
      <c r="G17854" s="132">
        <f t="shared" si="423"/>
        <v>-1700</v>
      </c>
      <c r="H17854" s="718" t="s">
        <v>11961</v>
      </c>
    </row>
    <row r="17855" spans="1:8" ht="15" x14ac:dyDescent="0.2">
      <c r="A17855" s="747">
        <v>45278</v>
      </c>
      <c r="B17855" s="65" t="s">
        <v>11758</v>
      </c>
      <c r="C17855" s="65" t="s">
        <v>11108</v>
      </c>
      <c r="D17855" s="189" t="s">
        <v>4344</v>
      </c>
      <c r="E17855" s="132">
        <v>420</v>
      </c>
      <c r="F17855" s="132"/>
      <c r="G17855" s="132">
        <f t="shared" si="423"/>
        <v>-420</v>
      </c>
      <c r="H17855" s="718" t="s">
        <v>11961</v>
      </c>
    </row>
    <row r="17856" spans="1:8" ht="15" x14ac:dyDescent="0.2">
      <c r="A17856" s="747">
        <v>45278</v>
      </c>
      <c r="B17856" s="65" t="s">
        <v>10342</v>
      </c>
      <c r="C17856" s="65" t="s">
        <v>11108</v>
      </c>
      <c r="D17856" s="189" t="s">
        <v>12094</v>
      </c>
      <c r="E17856" s="132">
        <v>3450</v>
      </c>
      <c r="F17856" s="132"/>
      <c r="G17856" s="132">
        <f t="shared" si="423"/>
        <v>-3450</v>
      </c>
      <c r="H17856" s="718" t="s">
        <v>11961</v>
      </c>
    </row>
    <row r="17857" spans="1:8" ht="15" x14ac:dyDescent="0.2">
      <c r="A17857" s="747">
        <v>45279</v>
      </c>
      <c r="B17857" s="65" t="s">
        <v>11758</v>
      </c>
      <c r="C17857" s="65" t="s">
        <v>5791</v>
      </c>
      <c r="D17857" s="189" t="s">
        <v>372</v>
      </c>
      <c r="E17857" s="132">
        <v>1500</v>
      </c>
      <c r="F17857" s="132"/>
      <c r="G17857" s="132">
        <f t="shared" ref="G17857:G17865" si="424">F17857-E17857</f>
        <v>-1500</v>
      </c>
      <c r="H17857" s="718" t="s">
        <v>11961</v>
      </c>
    </row>
    <row r="17858" spans="1:8" ht="15" x14ac:dyDescent="0.2">
      <c r="A17858" s="747">
        <v>45279</v>
      </c>
      <c r="B17858" s="65" t="s">
        <v>11758</v>
      </c>
      <c r="C17858" s="65" t="s">
        <v>5791</v>
      </c>
      <c r="D17858" s="189" t="s">
        <v>372</v>
      </c>
      <c r="E17858" s="132">
        <v>1000</v>
      </c>
      <c r="F17858" s="132"/>
      <c r="G17858" s="132">
        <f t="shared" si="424"/>
        <v>-1000</v>
      </c>
      <c r="H17858" s="718" t="s">
        <v>11961</v>
      </c>
    </row>
    <row r="17859" spans="1:8" ht="15" x14ac:dyDescent="0.2">
      <c r="A17859" s="747">
        <v>45279</v>
      </c>
      <c r="B17859" s="65" t="s">
        <v>11758</v>
      </c>
      <c r="C17859" s="65" t="s">
        <v>11108</v>
      </c>
      <c r="D17859" s="189" t="s">
        <v>12095</v>
      </c>
      <c r="E17859" s="132">
        <v>6700</v>
      </c>
      <c r="F17859" s="132"/>
      <c r="G17859" s="132">
        <f t="shared" si="424"/>
        <v>-6700</v>
      </c>
      <c r="H17859" s="718" t="s">
        <v>11961</v>
      </c>
    </row>
    <row r="17860" spans="1:8" ht="15" x14ac:dyDescent="0.2">
      <c r="A17860" s="747">
        <v>45279</v>
      </c>
      <c r="B17860" s="65" t="s">
        <v>25</v>
      </c>
      <c r="C17860" s="65" t="s">
        <v>394</v>
      </c>
      <c r="D17860" s="189" t="s">
        <v>12096</v>
      </c>
      <c r="E17860" s="132">
        <v>2350</v>
      </c>
      <c r="F17860" s="132"/>
      <c r="G17860" s="132">
        <f t="shared" si="424"/>
        <v>-2350</v>
      </c>
      <c r="H17860" s="718" t="s">
        <v>11961</v>
      </c>
    </row>
    <row r="17861" spans="1:8" ht="15" x14ac:dyDescent="0.2">
      <c r="A17861" s="747">
        <v>45279</v>
      </c>
      <c r="B17861" s="65" t="s">
        <v>11748</v>
      </c>
      <c r="C17861" s="65" t="s">
        <v>5791</v>
      </c>
      <c r="D17861" s="189" t="s">
        <v>10448</v>
      </c>
      <c r="E17861" s="132">
        <v>250</v>
      </c>
      <c r="F17861" s="132"/>
      <c r="G17861" s="132">
        <f t="shared" si="424"/>
        <v>-250</v>
      </c>
      <c r="H17861" s="718" t="s">
        <v>11961</v>
      </c>
    </row>
    <row r="17862" spans="1:8" ht="15" x14ac:dyDescent="0.2">
      <c r="A17862" s="747">
        <v>45279</v>
      </c>
      <c r="B17862" s="65" t="s">
        <v>103</v>
      </c>
      <c r="C17862" s="65" t="s">
        <v>799</v>
      </c>
      <c r="D17862" s="189" t="s">
        <v>12097</v>
      </c>
      <c r="E17862" s="132">
        <v>11000</v>
      </c>
      <c r="F17862" s="132"/>
      <c r="G17862" s="132">
        <f t="shared" si="424"/>
        <v>-11000</v>
      </c>
      <c r="H17862" s="718" t="s">
        <v>11961</v>
      </c>
    </row>
    <row r="17863" spans="1:8" ht="15" x14ac:dyDescent="0.2">
      <c r="A17863" s="747">
        <v>45279</v>
      </c>
      <c r="B17863" s="65" t="s">
        <v>103</v>
      </c>
      <c r="C17863" s="65" t="s">
        <v>103</v>
      </c>
      <c r="D17863" s="189" t="s">
        <v>3288</v>
      </c>
      <c r="E17863" s="132">
        <v>1000</v>
      </c>
      <c r="F17863" s="132"/>
      <c r="G17863" s="132">
        <f t="shared" si="424"/>
        <v>-1000</v>
      </c>
      <c r="H17863" s="718" t="s">
        <v>11961</v>
      </c>
    </row>
    <row r="17864" spans="1:8" ht="15" x14ac:dyDescent="0.2">
      <c r="A17864" s="747">
        <v>45279</v>
      </c>
      <c r="B17864" s="65" t="s">
        <v>12025</v>
      </c>
      <c r="C17864" s="65" t="s">
        <v>11108</v>
      </c>
      <c r="D17864" s="189" t="s">
        <v>12098</v>
      </c>
      <c r="E17864" s="132">
        <v>35300</v>
      </c>
      <c r="F17864" s="132"/>
      <c r="G17864" s="132">
        <f t="shared" si="424"/>
        <v>-35300</v>
      </c>
      <c r="H17864" s="718" t="s">
        <v>11961</v>
      </c>
    </row>
    <row r="17865" spans="1:8" ht="15" x14ac:dyDescent="0.2">
      <c r="A17865" s="747">
        <v>45279</v>
      </c>
      <c r="B17865" s="65" t="s">
        <v>12025</v>
      </c>
      <c r="C17865" s="65" t="s">
        <v>5791</v>
      </c>
      <c r="D17865" s="189" t="s">
        <v>372</v>
      </c>
      <c r="E17865" s="132">
        <v>1400</v>
      </c>
      <c r="F17865" s="132"/>
      <c r="G17865" s="132">
        <f t="shared" si="424"/>
        <v>-1400</v>
      </c>
      <c r="H17865" s="718" t="s">
        <v>11961</v>
      </c>
    </row>
    <row r="17866" spans="1:8" ht="15" x14ac:dyDescent="0.2">
      <c r="A17866" s="747">
        <v>45279</v>
      </c>
      <c r="B17866" s="65" t="s">
        <v>3979</v>
      </c>
      <c r="C17866" s="65" t="s">
        <v>799</v>
      </c>
      <c r="D17866" s="189" t="s">
        <v>12106</v>
      </c>
      <c r="E17866" s="132">
        <v>28000</v>
      </c>
      <c r="F17866" s="132"/>
      <c r="G17866" s="132">
        <f t="shared" ref="G17866:G17872" si="425">F17866-E17866</f>
        <v>-28000</v>
      </c>
      <c r="H17866" s="718" t="s">
        <v>11961</v>
      </c>
    </row>
    <row r="17867" spans="1:8" ht="15" x14ac:dyDescent="0.2">
      <c r="A17867" s="747">
        <v>45279</v>
      </c>
      <c r="B17867" s="65" t="s">
        <v>103</v>
      </c>
      <c r="C17867" s="65"/>
      <c r="D17867" s="189" t="s">
        <v>12107</v>
      </c>
      <c r="E17867" s="132">
        <v>600</v>
      </c>
      <c r="F17867" s="132"/>
      <c r="G17867" s="132">
        <f t="shared" si="425"/>
        <v>-600</v>
      </c>
      <c r="H17867" s="718" t="s">
        <v>11961</v>
      </c>
    </row>
    <row r="17868" spans="1:8" ht="15" x14ac:dyDescent="0.2">
      <c r="A17868" s="747">
        <v>45279</v>
      </c>
      <c r="B17868" s="65" t="s">
        <v>10342</v>
      </c>
      <c r="C17868" s="65" t="s">
        <v>5791</v>
      </c>
      <c r="D17868" s="189" t="s">
        <v>372</v>
      </c>
      <c r="E17868" s="132">
        <v>1500</v>
      </c>
      <c r="F17868" s="132"/>
      <c r="G17868" s="132">
        <f t="shared" si="425"/>
        <v>-1500</v>
      </c>
      <c r="H17868" s="718" t="s">
        <v>11961</v>
      </c>
    </row>
    <row r="17869" spans="1:8" ht="15" x14ac:dyDescent="0.2">
      <c r="A17869" s="747">
        <v>45279</v>
      </c>
      <c r="B17869" s="65" t="s">
        <v>103</v>
      </c>
      <c r="C17869" s="65" t="s">
        <v>103</v>
      </c>
      <c r="D17869" s="189" t="s">
        <v>3288</v>
      </c>
      <c r="E17869" s="132">
        <v>3000</v>
      </c>
      <c r="F17869" s="132"/>
      <c r="G17869" s="132">
        <f t="shared" si="425"/>
        <v>-3000</v>
      </c>
      <c r="H17869" s="718" t="s">
        <v>11961</v>
      </c>
    </row>
    <row r="17870" spans="1:8" ht="15" x14ac:dyDescent="0.2">
      <c r="A17870" s="747">
        <v>45279</v>
      </c>
      <c r="B17870" s="65" t="s">
        <v>11207</v>
      </c>
      <c r="C17870" s="65" t="s">
        <v>12108</v>
      </c>
      <c r="D17870" s="189" t="s">
        <v>12109</v>
      </c>
      <c r="E17870" s="132">
        <v>20000</v>
      </c>
      <c r="F17870" s="132"/>
      <c r="G17870" s="132">
        <f t="shared" si="425"/>
        <v>-20000</v>
      </c>
      <c r="H17870" s="718" t="s">
        <v>11961</v>
      </c>
    </row>
    <row r="17871" spans="1:8" ht="15" x14ac:dyDescent="0.2">
      <c r="A17871" s="747">
        <v>45279</v>
      </c>
      <c r="B17871" s="65" t="s">
        <v>10342</v>
      </c>
      <c r="C17871" s="65" t="s">
        <v>6843</v>
      </c>
      <c r="D17871" s="189" t="s">
        <v>10833</v>
      </c>
      <c r="E17871" s="132">
        <v>150000</v>
      </c>
      <c r="F17871" s="132"/>
      <c r="G17871" s="132">
        <f t="shared" si="425"/>
        <v>-150000</v>
      </c>
      <c r="H17871" s="718" t="s">
        <v>11961</v>
      </c>
    </row>
    <row r="17872" spans="1:8" ht="15" x14ac:dyDescent="0.2">
      <c r="A17872" s="747">
        <v>45279</v>
      </c>
      <c r="B17872" s="65" t="s">
        <v>11207</v>
      </c>
      <c r="C17872" s="65" t="s">
        <v>11108</v>
      </c>
      <c r="D17872" s="189" t="s">
        <v>12003</v>
      </c>
      <c r="E17872" s="132">
        <v>6080</v>
      </c>
      <c r="F17872" s="132"/>
      <c r="G17872" s="132">
        <f t="shared" si="425"/>
        <v>-6080</v>
      </c>
      <c r="H17872" s="718" t="s">
        <v>11961</v>
      </c>
    </row>
    <row r="17873" spans="1:8" ht="15" x14ac:dyDescent="0.2">
      <c r="A17873" s="747">
        <v>45280</v>
      </c>
      <c r="B17873" s="65" t="s">
        <v>11207</v>
      </c>
      <c r="C17873" s="65" t="s">
        <v>394</v>
      </c>
      <c r="D17873" s="189" t="s">
        <v>12110</v>
      </c>
      <c r="E17873" s="132">
        <v>1000</v>
      </c>
      <c r="F17873" s="132"/>
      <c r="G17873" s="132">
        <f t="shared" ref="G17873:G17876" si="426">F17873-E17873</f>
        <v>-1000</v>
      </c>
      <c r="H17873" s="718" t="s">
        <v>11961</v>
      </c>
    </row>
    <row r="17874" spans="1:8" ht="15" x14ac:dyDescent="0.2">
      <c r="A17874" s="747">
        <v>45280</v>
      </c>
      <c r="B17874" s="65" t="s">
        <v>11207</v>
      </c>
      <c r="C17874" s="65" t="s">
        <v>11108</v>
      </c>
      <c r="D17874" s="189" t="s">
        <v>12111</v>
      </c>
      <c r="E17874" s="132">
        <v>900</v>
      </c>
      <c r="F17874" s="132"/>
      <c r="G17874" s="132">
        <f t="shared" si="426"/>
        <v>-900</v>
      </c>
      <c r="H17874" s="718" t="s">
        <v>11961</v>
      </c>
    </row>
    <row r="17875" spans="1:8" ht="15" x14ac:dyDescent="0.2">
      <c r="A17875" s="747">
        <v>45280</v>
      </c>
      <c r="B17875" s="65" t="s">
        <v>103</v>
      </c>
      <c r="C17875" s="65" t="s">
        <v>103</v>
      </c>
      <c r="D17875" s="189" t="s">
        <v>3288</v>
      </c>
      <c r="E17875" s="132">
        <v>1500</v>
      </c>
      <c r="F17875" s="132"/>
      <c r="G17875" s="132">
        <f t="shared" si="426"/>
        <v>-1500</v>
      </c>
      <c r="H17875" s="718" t="s">
        <v>11961</v>
      </c>
    </row>
    <row r="17876" spans="1:8" ht="15" x14ac:dyDescent="0.2">
      <c r="A17876" s="747">
        <v>45280</v>
      </c>
      <c r="B17876" s="65" t="s">
        <v>11758</v>
      </c>
      <c r="C17876" s="679" t="s">
        <v>2206</v>
      </c>
      <c r="D17876" s="923" t="s">
        <v>12112</v>
      </c>
      <c r="E17876" s="681">
        <v>3400</v>
      </c>
      <c r="F17876" s="132"/>
      <c r="G17876" s="132">
        <f t="shared" si="426"/>
        <v>-3400</v>
      </c>
      <c r="H17876" s="718" t="s">
        <v>11961</v>
      </c>
    </row>
    <row r="17877" spans="1:8" ht="15" x14ac:dyDescent="0.2">
      <c r="A17877" s="747">
        <v>45280</v>
      </c>
      <c r="B17877" s="65" t="s">
        <v>11853</v>
      </c>
      <c r="C17877" s="679" t="s">
        <v>2206</v>
      </c>
      <c r="D17877" s="923" t="s">
        <v>12112</v>
      </c>
      <c r="E17877" s="681">
        <v>3400</v>
      </c>
      <c r="F17877" s="132"/>
      <c r="G17877" s="132">
        <f t="shared" ref="G17877:G17880" si="427">F17877-E17877</f>
        <v>-3400</v>
      </c>
      <c r="H17877" s="718" t="s">
        <v>11961</v>
      </c>
    </row>
    <row r="17878" spans="1:8" ht="15" x14ac:dyDescent="0.2">
      <c r="A17878" s="747">
        <v>45280</v>
      </c>
      <c r="B17878" s="65" t="s">
        <v>10342</v>
      </c>
      <c r="C17878" s="679" t="s">
        <v>2206</v>
      </c>
      <c r="D17878" s="923" t="s">
        <v>12112</v>
      </c>
      <c r="E17878" s="681">
        <v>3400</v>
      </c>
      <c r="F17878" s="132"/>
      <c r="G17878" s="132">
        <f t="shared" si="427"/>
        <v>-3400</v>
      </c>
      <c r="H17878" s="718" t="s">
        <v>11961</v>
      </c>
    </row>
    <row r="17879" spans="1:8" ht="15" x14ac:dyDescent="0.2">
      <c r="A17879" s="747">
        <v>45280</v>
      </c>
      <c r="B17879" s="65" t="s">
        <v>12025</v>
      </c>
      <c r="C17879" s="679" t="s">
        <v>2206</v>
      </c>
      <c r="D17879" s="923" t="s">
        <v>12112</v>
      </c>
      <c r="E17879" s="681">
        <v>3400</v>
      </c>
      <c r="F17879" s="132"/>
      <c r="G17879" s="132">
        <f t="shared" si="427"/>
        <v>-3400</v>
      </c>
      <c r="H17879" s="718" t="s">
        <v>11961</v>
      </c>
    </row>
    <row r="17880" spans="1:8" ht="15" x14ac:dyDescent="0.2">
      <c r="A17880" s="747">
        <v>45280</v>
      </c>
      <c r="B17880" s="65" t="s">
        <v>11207</v>
      </c>
      <c r="C17880" s="679" t="s">
        <v>2206</v>
      </c>
      <c r="D17880" s="923" t="s">
        <v>12112</v>
      </c>
      <c r="E17880" s="681">
        <v>3400</v>
      </c>
      <c r="F17880" s="132"/>
      <c r="G17880" s="132">
        <f t="shared" si="427"/>
        <v>-3400</v>
      </c>
      <c r="H17880" s="718" t="s">
        <v>11961</v>
      </c>
    </row>
    <row r="17881" spans="1:8" ht="15" x14ac:dyDescent="0.2">
      <c r="A17881" s="747">
        <v>45281</v>
      </c>
      <c r="B17881" s="65" t="s">
        <v>12113</v>
      </c>
      <c r="C17881" s="65" t="s">
        <v>394</v>
      </c>
      <c r="D17881" s="189" t="s">
        <v>12114</v>
      </c>
      <c r="E17881" s="132">
        <v>300</v>
      </c>
      <c r="F17881" s="132"/>
      <c r="G17881" s="132">
        <f t="shared" ref="G17881:G17884" si="428">F17881-E17881</f>
        <v>-300</v>
      </c>
      <c r="H17881" s="718" t="s">
        <v>11961</v>
      </c>
    </row>
    <row r="17882" spans="1:8" ht="15" x14ac:dyDescent="0.2">
      <c r="A17882" s="747">
        <v>45281</v>
      </c>
      <c r="B17882" s="65" t="s">
        <v>11758</v>
      </c>
      <c r="C17882" s="65" t="s">
        <v>288</v>
      </c>
      <c r="D17882" s="189" t="s">
        <v>10004</v>
      </c>
      <c r="E17882" s="132">
        <v>200</v>
      </c>
      <c r="F17882" s="132"/>
      <c r="G17882" s="132">
        <f t="shared" si="428"/>
        <v>-200</v>
      </c>
      <c r="H17882" s="718" t="s">
        <v>11961</v>
      </c>
    </row>
    <row r="17883" spans="1:8" ht="15" x14ac:dyDescent="0.2">
      <c r="A17883" s="747">
        <v>45281</v>
      </c>
      <c r="B17883" s="65" t="s">
        <v>11758</v>
      </c>
      <c r="C17883" s="65" t="s">
        <v>5791</v>
      </c>
      <c r="D17883" s="189" t="s">
        <v>372</v>
      </c>
      <c r="E17883" s="132">
        <v>1000</v>
      </c>
      <c r="F17883" s="132"/>
      <c r="G17883" s="132">
        <f t="shared" si="428"/>
        <v>-1000</v>
      </c>
      <c r="H17883" s="718" t="s">
        <v>11961</v>
      </c>
    </row>
    <row r="17884" spans="1:8" ht="15" x14ac:dyDescent="0.2">
      <c r="A17884" s="747">
        <v>45281</v>
      </c>
      <c r="B17884" s="65" t="s">
        <v>11568</v>
      </c>
      <c r="C17884" s="65" t="s">
        <v>12011</v>
      </c>
      <c r="D17884" s="189" t="s">
        <v>12120</v>
      </c>
      <c r="E17884" s="132">
        <v>50000</v>
      </c>
      <c r="F17884" s="132"/>
      <c r="G17884" s="132">
        <f t="shared" si="428"/>
        <v>-50000</v>
      </c>
      <c r="H17884" s="718" t="s">
        <v>11961</v>
      </c>
    </row>
    <row r="17885" spans="1:8" ht="15" x14ac:dyDescent="0.2">
      <c r="A17885" s="747">
        <v>45281</v>
      </c>
      <c r="B17885" s="65" t="s">
        <v>11758</v>
      </c>
      <c r="C17885" s="65" t="s">
        <v>5791</v>
      </c>
      <c r="D17885" s="189" t="s">
        <v>12121</v>
      </c>
      <c r="E17885" s="132">
        <v>300</v>
      </c>
      <c r="F17885" s="132"/>
      <c r="G17885" s="132">
        <f t="shared" ref="G17885:G17892" si="429">F17885-E17885</f>
        <v>-300</v>
      </c>
      <c r="H17885" s="718" t="s">
        <v>11961</v>
      </c>
    </row>
    <row r="17886" spans="1:8" ht="15" x14ac:dyDescent="0.2">
      <c r="A17886" s="747">
        <v>45281</v>
      </c>
      <c r="B17886" s="65" t="s">
        <v>11853</v>
      </c>
      <c r="C17886" s="65" t="s">
        <v>11108</v>
      </c>
      <c r="D17886" s="189" t="s">
        <v>12122</v>
      </c>
      <c r="E17886" s="132">
        <v>5400</v>
      </c>
      <c r="F17886" s="132"/>
      <c r="G17886" s="132">
        <f t="shared" si="429"/>
        <v>-5400</v>
      </c>
      <c r="H17886" s="718" t="s">
        <v>11961</v>
      </c>
    </row>
    <row r="17887" spans="1:8" ht="15" x14ac:dyDescent="0.2">
      <c r="A17887" s="747">
        <v>45281</v>
      </c>
      <c r="B17887" s="65" t="s">
        <v>11141</v>
      </c>
      <c r="C17887" s="65" t="s">
        <v>5791</v>
      </c>
      <c r="D17887" s="189" t="s">
        <v>372</v>
      </c>
      <c r="E17887" s="132">
        <v>1800</v>
      </c>
      <c r="F17887" s="132"/>
      <c r="G17887" s="132">
        <f t="shared" si="429"/>
        <v>-1800</v>
      </c>
      <c r="H17887" s="718" t="s">
        <v>11961</v>
      </c>
    </row>
    <row r="17888" spans="1:8" ht="15" x14ac:dyDescent="0.2">
      <c r="A17888" s="747">
        <v>45281</v>
      </c>
      <c r="B17888" s="65" t="s">
        <v>12025</v>
      </c>
      <c r="C17888" s="65" t="s">
        <v>5791</v>
      </c>
      <c r="D17888" s="189" t="s">
        <v>372</v>
      </c>
      <c r="E17888" s="132">
        <v>1500</v>
      </c>
      <c r="F17888" s="132"/>
      <c r="G17888" s="132">
        <f t="shared" si="429"/>
        <v>-1500</v>
      </c>
      <c r="H17888" s="718" t="s">
        <v>11961</v>
      </c>
    </row>
    <row r="17889" spans="1:8" ht="15" x14ac:dyDescent="0.2">
      <c r="A17889" s="747">
        <v>45281</v>
      </c>
      <c r="B17889" s="65" t="s">
        <v>103</v>
      </c>
      <c r="C17889" s="65" t="s">
        <v>394</v>
      </c>
      <c r="D17889" s="189" t="s">
        <v>12123</v>
      </c>
      <c r="E17889" s="132">
        <v>1300</v>
      </c>
      <c r="F17889" s="132"/>
      <c r="G17889" s="132">
        <f t="shared" si="429"/>
        <v>-1300</v>
      </c>
      <c r="H17889" s="718" t="s">
        <v>11961</v>
      </c>
    </row>
    <row r="17890" spans="1:8" ht="15" x14ac:dyDescent="0.2">
      <c r="A17890" s="747">
        <v>45281</v>
      </c>
      <c r="B17890" s="65" t="s">
        <v>103</v>
      </c>
      <c r="C17890" s="65" t="s">
        <v>394</v>
      </c>
      <c r="D17890" s="189" t="s">
        <v>12130</v>
      </c>
      <c r="E17890" s="132">
        <v>3700</v>
      </c>
      <c r="F17890" s="132"/>
      <c r="G17890" s="132">
        <f t="shared" si="429"/>
        <v>-3700</v>
      </c>
      <c r="H17890" s="718" t="s">
        <v>11961</v>
      </c>
    </row>
    <row r="17891" spans="1:8" ht="15" x14ac:dyDescent="0.2">
      <c r="A17891" s="747">
        <v>45281</v>
      </c>
      <c r="B17891" s="65" t="s">
        <v>12025</v>
      </c>
      <c r="C17891" s="65" t="s">
        <v>11108</v>
      </c>
      <c r="D17891" s="189" t="s">
        <v>12124</v>
      </c>
      <c r="E17891" s="132">
        <v>59500</v>
      </c>
      <c r="F17891" s="132"/>
      <c r="G17891" s="132">
        <f t="shared" si="429"/>
        <v>-59500</v>
      </c>
      <c r="H17891" s="718" t="s">
        <v>11961</v>
      </c>
    </row>
    <row r="17892" spans="1:8" ht="15" x14ac:dyDescent="0.2">
      <c r="A17892" s="747">
        <v>45281</v>
      </c>
      <c r="B17892" s="65" t="s">
        <v>11941</v>
      </c>
      <c r="C17892" s="65" t="s">
        <v>799</v>
      </c>
      <c r="D17892" s="189" t="s">
        <v>12125</v>
      </c>
      <c r="E17892" s="132">
        <v>21600</v>
      </c>
      <c r="F17892" s="132"/>
      <c r="G17892" s="132">
        <f t="shared" si="429"/>
        <v>-21600</v>
      </c>
      <c r="H17892" s="718" t="s">
        <v>11961</v>
      </c>
    </row>
    <row r="17893" spans="1:8" ht="15" x14ac:dyDescent="0.2">
      <c r="A17893" s="747">
        <v>45282</v>
      </c>
      <c r="B17893" s="65" t="s">
        <v>11758</v>
      </c>
      <c r="C17893" s="65" t="s">
        <v>11108</v>
      </c>
      <c r="D17893" s="189" t="s">
        <v>12126</v>
      </c>
      <c r="E17893" s="132">
        <v>3050</v>
      </c>
      <c r="F17893" s="132"/>
      <c r="G17893" s="132">
        <f t="shared" ref="G17893:G17897" si="430">F17893-E17893</f>
        <v>-3050</v>
      </c>
      <c r="H17893" s="718" t="s">
        <v>11961</v>
      </c>
    </row>
    <row r="17894" spans="1:8" ht="15" x14ac:dyDescent="0.2">
      <c r="A17894" s="747">
        <v>45282</v>
      </c>
      <c r="B17894" s="65" t="s">
        <v>103</v>
      </c>
      <c r="C17894" s="65" t="s">
        <v>103</v>
      </c>
      <c r="D17894" s="189" t="s">
        <v>12127</v>
      </c>
      <c r="E17894" s="132">
        <v>3000</v>
      </c>
      <c r="F17894" s="132"/>
      <c r="G17894" s="132">
        <f t="shared" si="430"/>
        <v>-3000</v>
      </c>
      <c r="H17894" s="718" t="s">
        <v>11961</v>
      </c>
    </row>
    <row r="17895" spans="1:8" ht="15" x14ac:dyDescent="0.2">
      <c r="A17895" s="747">
        <v>45282</v>
      </c>
      <c r="B17895" s="65" t="s">
        <v>11022</v>
      </c>
      <c r="C17895" s="65" t="s">
        <v>5791</v>
      </c>
      <c r="D17895" s="189" t="s">
        <v>372</v>
      </c>
      <c r="E17895" s="132">
        <v>600</v>
      </c>
      <c r="F17895" s="132"/>
      <c r="G17895" s="132">
        <f t="shared" si="430"/>
        <v>-600</v>
      </c>
      <c r="H17895" s="718" t="s">
        <v>11961</v>
      </c>
    </row>
    <row r="17896" spans="1:8" ht="15" x14ac:dyDescent="0.2">
      <c r="A17896" s="747">
        <v>45282</v>
      </c>
      <c r="B17896" s="65" t="s">
        <v>11022</v>
      </c>
      <c r="C17896" s="65" t="s">
        <v>394</v>
      </c>
      <c r="D17896" s="189" t="s">
        <v>12128</v>
      </c>
      <c r="E17896" s="132">
        <v>5000</v>
      </c>
      <c r="F17896" s="132"/>
      <c r="G17896" s="132">
        <f t="shared" si="430"/>
        <v>-5000</v>
      </c>
      <c r="H17896" s="718" t="s">
        <v>11961</v>
      </c>
    </row>
    <row r="17897" spans="1:8" ht="15" x14ac:dyDescent="0.2">
      <c r="A17897" s="747">
        <v>45283</v>
      </c>
      <c r="B17897" s="65" t="s">
        <v>10342</v>
      </c>
      <c r="C17897" s="65" t="s">
        <v>6843</v>
      </c>
      <c r="D17897" s="189" t="s">
        <v>12129</v>
      </c>
      <c r="E17897" s="132">
        <v>100000</v>
      </c>
      <c r="F17897" s="132"/>
      <c r="G17897" s="132">
        <f t="shared" si="430"/>
        <v>-100000</v>
      </c>
      <c r="H17897" s="718" t="s">
        <v>11961</v>
      </c>
    </row>
    <row r="17898" spans="1:8" ht="15" x14ac:dyDescent="0.2">
      <c r="A17898" s="746">
        <v>45261</v>
      </c>
      <c r="B17898" s="180" t="s">
        <v>10261</v>
      </c>
      <c r="C17898" s="180" t="s">
        <v>6683</v>
      </c>
      <c r="D17898" s="234" t="s">
        <v>11991</v>
      </c>
      <c r="E17898" s="242">
        <v>80000</v>
      </c>
      <c r="F17898" s="242"/>
      <c r="G17898" s="242">
        <f t="shared" si="409"/>
        <v>-80000</v>
      </c>
      <c r="H17898" s="722" t="s">
        <v>11961</v>
      </c>
    </row>
    <row r="17899" spans="1:8" ht="15" x14ac:dyDescent="0.2">
      <c r="A17899" s="746">
        <v>45264</v>
      </c>
      <c r="B17899" s="180" t="s">
        <v>11022</v>
      </c>
      <c r="C17899" s="180" t="s">
        <v>11508</v>
      </c>
      <c r="D17899" s="234" t="s">
        <v>11992</v>
      </c>
      <c r="E17899" s="242">
        <v>250000</v>
      </c>
      <c r="F17899" s="242"/>
      <c r="G17899" s="242">
        <f t="shared" ref="G17899" si="431">F17899-E17899</f>
        <v>-250000</v>
      </c>
      <c r="H17899" s="722" t="s">
        <v>11961</v>
      </c>
    </row>
    <row r="17900" spans="1:8" ht="15" x14ac:dyDescent="0.2">
      <c r="A17900" s="746">
        <v>45268</v>
      </c>
      <c r="B17900" s="180" t="s">
        <v>11461</v>
      </c>
      <c r="C17900" s="560" t="s">
        <v>3031</v>
      </c>
      <c r="D17900" s="753" t="s">
        <v>11993</v>
      </c>
      <c r="E17900" s="561">
        <v>15900</v>
      </c>
      <c r="F17900" s="242"/>
      <c r="G17900" s="242">
        <f t="shared" ref="G17900" si="432">F17900-E17900</f>
        <v>-15900</v>
      </c>
      <c r="H17900" s="722" t="s">
        <v>11961</v>
      </c>
    </row>
    <row r="17901" spans="1:8" ht="15" x14ac:dyDescent="0.2">
      <c r="A17901" s="746">
        <v>45268</v>
      </c>
      <c r="B17901" s="180" t="s">
        <v>3979</v>
      </c>
      <c r="C17901" s="560" t="s">
        <v>3031</v>
      </c>
      <c r="D17901" s="753" t="s">
        <v>11993</v>
      </c>
      <c r="E17901" s="561">
        <v>32760</v>
      </c>
      <c r="F17901" s="242"/>
      <c r="G17901" s="242">
        <f t="shared" ref="G17901:G17911" si="433">F17901-E17901</f>
        <v>-32760</v>
      </c>
      <c r="H17901" s="722" t="s">
        <v>11961</v>
      </c>
    </row>
    <row r="17902" spans="1:8" ht="15" x14ac:dyDescent="0.2">
      <c r="A17902" s="746">
        <v>45268</v>
      </c>
      <c r="B17902" s="180" t="s">
        <v>3978</v>
      </c>
      <c r="C17902" s="560" t="s">
        <v>3031</v>
      </c>
      <c r="D17902" s="753" t="s">
        <v>11993</v>
      </c>
      <c r="E17902" s="561">
        <v>35360</v>
      </c>
      <c r="F17902" s="242"/>
      <c r="G17902" s="242">
        <f t="shared" si="433"/>
        <v>-35360</v>
      </c>
      <c r="H17902" s="722" t="s">
        <v>11961</v>
      </c>
    </row>
    <row r="17903" spans="1:8" ht="15" x14ac:dyDescent="0.2">
      <c r="A17903" s="746">
        <v>45272</v>
      </c>
      <c r="B17903" s="180" t="s">
        <v>11022</v>
      </c>
      <c r="C17903" s="180" t="s">
        <v>11658</v>
      </c>
      <c r="D17903" s="234" t="s">
        <v>12019</v>
      </c>
      <c r="E17903" s="242">
        <v>250000</v>
      </c>
      <c r="F17903" s="242"/>
      <c r="G17903" s="242">
        <f t="shared" si="433"/>
        <v>-250000</v>
      </c>
      <c r="H17903" s="722" t="s">
        <v>11961</v>
      </c>
    </row>
    <row r="17904" spans="1:8" ht="15" x14ac:dyDescent="0.2">
      <c r="A17904" s="746">
        <v>45273</v>
      </c>
      <c r="B17904" s="180" t="s">
        <v>11758</v>
      </c>
      <c r="C17904" s="180" t="s">
        <v>8337</v>
      </c>
      <c r="D17904" s="234" t="s">
        <v>12020</v>
      </c>
      <c r="E17904" s="242">
        <v>150000</v>
      </c>
      <c r="F17904" s="242"/>
      <c r="G17904" s="242">
        <f t="shared" si="433"/>
        <v>-150000</v>
      </c>
      <c r="H17904" s="722" t="s">
        <v>11961</v>
      </c>
    </row>
    <row r="17905" spans="1:8" ht="15" x14ac:dyDescent="0.2">
      <c r="A17905" s="746">
        <v>45273</v>
      </c>
      <c r="B17905" s="180" t="s">
        <v>10582</v>
      </c>
      <c r="C17905" s="180" t="s">
        <v>9568</v>
      </c>
      <c r="D17905" s="234" t="s">
        <v>12021</v>
      </c>
      <c r="E17905" s="242">
        <v>50000</v>
      </c>
      <c r="F17905" s="242"/>
      <c r="G17905" s="242">
        <f t="shared" si="433"/>
        <v>-50000</v>
      </c>
      <c r="H17905" s="722" t="s">
        <v>11961</v>
      </c>
    </row>
    <row r="17906" spans="1:8" ht="15" x14ac:dyDescent="0.2">
      <c r="A17906" s="746">
        <v>45273</v>
      </c>
      <c r="B17906" s="180" t="s">
        <v>11746</v>
      </c>
      <c r="C17906" s="560" t="s">
        <v>11508</v>
      </c>
      <c r="D17906" s="753" t="s">
        <v>12022</v>
      </c>
      <c r="E17906" s="561">
        <v>45000</v>
      </c>
      <c r="F17906" s="242"/>
      <c r="G17906" s="242">
        <f t="shared" si="433"/>
        <v>-45000</v>
      </c>
      <c r="H17906" s="722" t="s">
        <v>11961</v>
      </c>
    </row>
    <row r="17907" spans="1:8" ht="15" x14ac:dyDescent="0.2">
      <c r="A17907" s="746">
        <v>45273</v>
      </c>
      <c r="B17907" s="180" t="s">
        <v>11211</v>
      </c>
      <c r="C17907" s="560" t="s">
        <v>11508</v>
      </c>
      <c r="D17907" s="753" t="s">
        <v>12022</v>
      </c>
      <c r="E17907" s="561">
        <v>10000</v>
      </c>
      <c r="F17907" s="242"/>
      <c r="G17907" s="242">
        <f t="shared" si="433"/>
        <v>-10000</v>
      </c>
      <c r="H17907" s="722" t="s">
        <v>11961</v>
      </c>
    </row>
    <row r="17908" spans="1:8" ht="15" x14ac:dyDescent="0.2">
      <c r="A17908" s="746">
        <v>45273</v>
      </c>
      <c r="B17908" s="180" t="s">
        <v>11568</v>
      </c>
      <c r="C17908" s="560" t="s">
        <v>11508</v>
      </c>
      <c r="D17908" s="753" t="s">
        <v>12022</v>
      </c>
      <c r="E17908" s="561">
        <v>75000</v>
      </c>
      <c r="F17908" s="242"/>
      <c r="G17908" s="242">
        <f t="shared" si="433"/>
        <v>-75000</v>
      </c>
      <c r="H17908" s="722" t="s">
        <v>11961</v>
      </c>
    </row>
    <row r="17909" spans="1:8" ht="15" x14ac:dyDescent="0.2">
      <c r="A17909" s="746">
        <v>45273</v>
      </c>
      <c r="B17909" s="180" t="s">
        <v>11022</v>
      </c>
      <c r="C17909" s="560" t="s">
        <v>11508</v>
      </c>
      <c r="D17909" s="753" t="s">
        <v>12022</v>
      </c>
      <c r="E17909" s="561">
        <v>49000</v>
      </c>
      <c r="F17909" s="242"/>
      <c r="G17909" s="242">
        <f t="shared" si="433"/>
        <v>-49000</v>
      </c>
      <c r="H17909" s="722" t="s">
        <v>11961</v>
      </c>
    </row>
    <row r="17910" spans="1:8" ht="24" x14ac:dyDescent="0.2">
      <c r="A17910" s="746">
        <v>45280</v>
      </c>
      <c r="B17910" s="180" t="s">
        <v>11207</v>
      </c>
      <c r="C17910" s="180" t="s">
        <v>11850</v>
      </c>
      <c r="D17910" s="234" t="s">
        <v>12115</v>
      </c>
      <c r="E17910" s="242">
        <v>1500000</v>
      </c>
      <c r="F17910" s="242"/>
      <c r="G17910" s="242">
        <f t="shared" si="433"/>
        <v>-1500000</v>
      </c>
      <c r="H17910" s="722" t="s">
        <v>11961</v>
      </c>
    </row>
    <row r="17911" spans="1:8" ht="15" x14ac:dyDescent="0.2">
      <c r="A17911" s="746">
        <v>45280</v>
      </c>
      <c r="B17911" s="180" t="s">
        <v>11022</v>
      </c>
      <c r="C17911" s="180" t="s">
        <v>1205</v>
      </c>
      <c r="D17911" s="234" t="s">
        <v>12119</v>
      </c>
      <c r="E17911" s="242">
        <v>189553</v>
      </c>
      <c r="F17911" s="242"/>
      <c r="G17911" s="242">
        <f t="shared" si="433"/>
        <v>-189553</v>
      </c>
      <c r="H17911" s="722" t="s">
        <v>11961</v>
      </c>
    </row>
    <row r="17912" spans="1:8" ht="15" x14ac:dyDescent="0.2">
      <c r="A17912" s="743">
        <v>45267</v>
      </c>
      <c r="B17912" s="97" t="s">
        <v>11676</v>
      </c>
      <c r="C17912" s="97" t="s">
        <v>561</v>
      </c>
      <c r="D17912" s="908" t="s">
        <v>11954</v>
      </c>
      <c r="E17912" s="182"/>
      <c r="F17912" s="182">
        <v>1000000</v>
      </c>
      <c r="G17912" s="182">
        <f t="shared" si="400"/>
        <v>1000000</v>
      </c>
      <c r="H17912" s="715" t="s">
        <v>11961</v>
      </c>
    </row>
    <row r="17913" spans="1:8" ht="15" x14ac:dyDescent="0.2">
      <c r="A17913" s="743">
        <v>45267</v>
      </c>
      <c r="B17913" s="97" t="s">
        <v>10232</v>
      </c>
      <c r="C17913" s="97" t="s">
        <v>561</v>
      </c>
      <c r="D17913" s="908" t="s">
        <v>11955</v>
      </c>
      <c r="E17913" s="182"/>
      <c r="F17913" s="182">
        <v>100000</v>
      </c>
      <c r="G17913" s="182">
        <f t="shared" si="400"/>
        <v>100000</v>
      </c>
      <c r="H17913" s="715" t="s">
        <v>11961</v>
      </c>
    </row>
    <row r="17914" spans="1:8" ht="15" x14ac:dyDescent="0.2">
      <c r="A17914" s="743">
        <v>45267</v>
      </c>
      <c r="B17914" s="97" t="s">
        <v>10232</v>
      </c>
      <c r="C17914" s="97" t="s">
        <v>561</v>
      </c>
      <c r="D17914" s="908" t="s">
        <v>12076</v>
      </c>
      <c r="E17914" s="182"/>
      <c r="F17914" s="182">
        <v>-100000</v>
      </c>
      <c r="G17914" s="182">
        <f t="shared" si="400"/>
        <v>-100000</v>
      </c>
      <c r="H17914" s="715" t="s">
        <v>11961</v>
      </c>
    </row>
    <row r="17915" spans="1:8" ht="24" x14ac:dyDescent="0.2">
      <c r="A17915" s="743">
        <v>45267</v>
      </c>
      <c r="B17915" s="97" t="s">
        <v>10096</v>
      </c>
      <c r="C17915" s="97" t="s">
        <v>561</v>
      </c>
      <c r="D17915" s="818" t="s">
        <v>11956</v>
      </c>
      <c r="E17915" s="182"/>
      <c r="F17915" s="182">
        <v>520000</v>
      </c>
      <c r="G17915" s="182">
        <f t="shared" ref="G17915" si="434">F17915-E17915</f>
        <v>520000</v>
      </c>
      <c r="H17915" s="715" t="s">
        <v>11961</v>
      </c>
    </row>
    <row r="17916" spans="1:8" ht="15" x14ac:dyDescent="0.2">
      <c r="A17916" s="743">
        <v>45272</v>
      </c>
      <c r="B17916" s="97" t="s">
        <v>9769</v>
      </c>
      <c r="C17916" s="97" t="s">
        <v>561</v>
      </c>
      <c r="D17916" s="818" t="s">
        <v>12002</v>
      </c>
      <c r="E17916" s="182"/>
      <c r="F17916" s="182">
        <v>3221233</v>
      </c>
      <c r="G17916" s="182">
        <f t="shared" ref="G17916:G17917" si="435">F17916-E17916</f>
        <v>3221233</v>
      </c>
      <c r="H17916" s="715" t="s">
        <v>11961</v>
      </c>
    </row>
    <row r="17917" spans="1:8" ht="15" x14ac:dyDescent="0.2">
      <c r="A17917" s="743">
        <v>45272</v>
      </c>
      <c r="B17917" s="97" t="s">
        <v>11740</v>
      </c>
      <c r="C17917" s="97" t="s">
        <v>561</v>
      </c>
      <c r="D17917" s="818" t="s">
        <v>12002</v>
      </c>
      <c r="E17917" s="182"/>
      <c r="F17917" s="182">
        <v>1000000</v>
      </c>
      <c r="G17917" s="182">
        <f t="shared" si="435"/>
        <v>1000000</v>
      </c>
      <c r="H17917" s="715" t="s">
        <v>11961</v>
      </c>
    </row>
    <row r="17918" spans="1:8" ht="15" x14ac:dyDescent="0.2">
      <c r="A17918" s="743">
        <v>45272</v>
      </c>
      <c r="B17918" s="97" t="s">
        <v>3979</v>
      </c>
      <c r="C17918" s="97" t="s">
        <v>561</v>
      </c>
      <c r="D17918" s="908" t="s">
        <v>12017</v>
      </c>
      <c r="E17918" s="182"/>
      <c r="F17918" s="182">
        <v>359992</v>
      </c>
      <c r="G17918" s="182">
        <f t="shared" ref="G17918" si="436">F17918-E17918</f>
        <v>359992</v>
      </c>
      <c r="H17918" s="715" t="s">
        <v>11961</v>
      </c>
    </row>
    <row r="17919" spans="1:8" ht="15" x14ac:dyDescent="0.2">
      <c r="A17919" s="743">
        <v>45273</v>
      </c>
      <c r="B17919" s="97" t="s">
        <v>10342</v>
      </c>
      <c r="C17919" s="97" t="s">
        <v>561</v>
      </c>
      <c r="D17919" s="908" t="s">
        <v>12018</v>
      </c>
      <c r="E17919" s="182"/>
      <c r="F17919" s="182">
        <v>1500000</v>
      </c>
      <c r="G17919" s="182">
        <f t="shared" ref="G17919" si="437">F17919-E17919</f>
        <v>1500000</v>
      </c>
      <c r="H17919" s="715" t="s">
        <v>11961</v>
      </c>
    </row>
    <row r="17920" spans="1:8" ht="15" x14ac:dyDescent="0.2">
      <c r="A17920" s="743">
        <v>45275</v>
      </c>
      <c r="B17920" s="97" t="s">
        <v>10342</v>
      </c>
      <c r="C17920" s="97" t="s">
        <v>561</v>
      </c>
      <c r="D17920" s="908" t="s">
        <v>12036</v>
      </c>
      <c r="E17920" s="182"/>
      <c r="F17920" s="182">
        <v>1000000</v>
      </c>
      <c r="G17920" s="182">
        <f t="shared" ref="G17920:G17923" si="438">F17920-E17920</f>
        <v>1000000</v>
      </c>
      <c r="H17920" s="715" t="s">
        <v>11961</v>
      </c>
    </row>
    <row r="17921" spans="1:8" ht="24" x14ac:dyDescent="0.2">
      <c r="A17921" s="743">
        <v>45275</v>
      </c>
      <c r="B17921" s="97" t="s">
        <v>10342</v>
      </c>
      <c r="C17921" s="97" t="s">
        <v>561</v>
      </c>
      <c r="D17921" s="818" t="s">
        <v>12037</v>
      </c>
      <c r="E17921" s="182"/>
      <c r="F17921" s="182">
        <v>1000000</v>
      </c>
      <c r="G17921" s="182">
        <f t="shared" si="438"/>
        <v>1000000</v>
      </c>
      <c r="H17921" s="715" t="s">
        <v>11961</v>
      </c>
    </row>
    <row r="17922" spans="1:8" ht="15" x14ac:dyDescent="0.2">
      <c r="A17922" s="743">
        <v>45275</v>
      </c>
      <c r="B17922" s="97" t="s">
        <v>10342</v>
      </c>
      <c r="C17922" s="97" t="s">
        <v>561</v>
      </c>
      <c r="D17922" s="908" t="s">
        <v>12038</v>
      </c>
      <c r="E17922" s="182"/>
      <c r="F17922" s="182">
        <v>1000000</v>
      </c>
      <c r="G17922" s="182">
        <f t="shared" si="438"/>
        <v>1000000</v>
      </c>
      <c r="H17922" s="715" t="s">
        <v>11961</v>
      </c>
    </row>
    <row r="17923" spans="1:8" ht="15" x14ac:dyDescent="0.2">
      <c r="A17923" s="743">
        <v>45275</v>
      </c>
      <c r="B17923" s="97" t="s">
        <v>10342</v>
      </c>
      <c r="C17923" s="97" t="s">
        <v>561</v>
      </c>
      <c r="D17923" s="908" t="s">
        <v>12035</v>
      </c>
      <c r="E17923" s="182"/>
      <c r="F17923" s="182">
        <v>1000000</v>
      </c>
      <c r="G17923" s="182">
        <f t="shared" si="438"/>
        <v>1000000</v>
      </c>
      <c r="H17923" s="715" t="s">
        <v>11961</v>
      </c>
    </row>
    <row r="17924" spans="1:8" ht="15" x14ac:dyDescent="0.2">
      <c r="A17924" s="743">
        <v>45275</v>
      </c>
      <c r="B17924" s="97" t="s">
        <v>10342</v>
      </c>
      <c r="C17924" s="97" t="s">
        <v>561</v>
      </c>
      <c r="D17924" s="908" t="s">
        <v>12039</v>
      </c>
      <c r="E17924" s="182"/>
      <c r="F17924" s="182">
        <v>1500000</v>
      </c>
      <c r="G17924" s="182">
        <f t="shared" ref="G17924" si="439">F17924-E17924</f>
        <v>1500000</v>
      </c>
      <c r="H17924" s="715" t="s">
        <v>11961</v>
      </c>
    </row>
    <row r="17925" spans="1:8" ht="15" x14ac:dyDescent="0.2">
      <c r="A17925" s="743">
        <v>45276</v>
      </c>
      <c r="B17925" s="97" t="s">
        <v>10342</v>
      </c>
      <c r="C17925" s="97" t="s">
        <v>561</v>
      </c>
      <c r="D17925" s="908" t="s">
        <v>12078</v>
      </c>
      <c r="E17925" s="182"/>
      <c r="F17925" s="182">
        <v>1000000</v>
      </c>
      <c r="G17925" s="182">
        <f t="shared" ref="G17925:G17930" si="440">F17925-E17925</f>
        <v>1000000</v>
      </c>
      <c r="H17925" s="715" t="s">
        <v>11961</v>
      </c>
    </row>
    <row r="17926" spans="1:8" ht="15" x14ac:dyDescent="0.2">
      <c r="A17926" s="743">
        <v>45276</v>
      </c>
      <c r="B17926" s="97" t="s">
        <v>10342</v>
      </c>
      <c r="C17926" s="97" t="s">
        <v>561</v>
      </c>
      <c r="D17926" s="908" t="s">
        <v>12078</v>
      </c>
      <c r="E17926" s="182"/>
      <c r="F17926" s="182">
        <v>1000000</v>
      </c>
      <c r="G17926" s="182">
        <f t="shared" si="440"/>
        <v>1000000</v>
      </c>
      <c r="H17926" s="715" t="s">
        <v>11961</v>
      </c>
    </row>
    <row r="17927" spans="1:8" ht="15" x14ac:dyDescent="0.2">
      <c r="A17927" s="743">
        <v>45276</v>
      </c>
      <c r="B17927" s="97" t="s">
        <v>10342</v>
      </c>
      <c r="C17927" s="97" t="s">
        <v>561</v>
      </c>
      <c r="D17927" s="908" t="s">
        <v>12078</v>
      </c>
      <c r="E17927" s="182"/>
      <c r="F17927" s="182">
        <v>1000000</v>
      </c>
      <c r="G17927" s="182">
        <f t="shared" si="440"/>
        <v>1000000</v>
      </c>
      <c r="H17927" s="715" t="s">
        <v>11961</v>
      </c>
    </row>
    <row r="17928" spans="1:8" ht="24" x14ac:dyDescent="0.2">
      <c r="A17928" s="743">
        <v>45276</v>
      </c>
      <c r="B17928" s="97" t="s">
        <v>10342</v>
      </c>
      <c r="C17928" s="97" t="s">
        <v>561</v>
      </c>
      <c r="D17928" s="818" t="s">
        <v>12116</v>
      </c>
      <c r="E17928" s="182"/>
      <c r="F17928" s="182">
        <v>1500000</v>
      </c>
      <c r="G17928" s="182">
        <f t="shared" si="440"/>
        <v>1500000</v>
      </c>
      <c r="H17928" s="715" t="s">
        <v>11961</v>
      </c>
    </row>
    <row r="17929" spans="1:8" ht="15" x14ac:dyDescent="0.2">
      <c r="A17929" s="743">
        <v>45276</v>
      </c>
      <c r="B17929" s="97" t="s">
        <v>10342</v>
      </c>
      <c r="C17929" s="97" t="s">
        <v>561</v>
      </c>
      <c r="D17929" s="908" t="s">
        <v>12078</v>
      </c>
      <c r="E17929" s="182"/>
      <c r="F17929" s="182">
        <v>1500000</v>
      </c>
      <c r="G17929" s="182">
        <f t="shared" si="440"/>
        <v>1500000</v>
      </c>
      <c r="H17929" s="715" t="s">
        <v>11961</v>
      </c>
    </row>
    <row r="17930" spans="1:8" ht="15" x14ac:dyDescent="0.2">
      <c r="A17930" s="743">
        <v>45276</v>
      </c>
      <c r="B17930" s="97" t="s">
        <v>10342</v>
      </c>
      <c r="C17930" s="97" t="s">
        <v>561</v>
      </c>
      <c r="D17930" s="908" t="s">
        <v>12078</v>
      </c>
      <c r="E17930" s="182"/>
      <c r="F17930" s="182">
        <v>1417880</v>
      </c>
      <c r="G17930" s="182">
        <f t="shared" si="440"/>
        <v>1417880</v>
      </c>
      <c r="H17930" s="715" t="s">
        <v>11961</v>
      </c>
    </row>
    <row r="17931" spans="1:8" ht="15" x14ac:dyDescent="0.2">
      <c r="A17931" s="743">
        <v>45276</v>
      </c>
      <c r="B17931" s="97" t="s">
        <v>10342</v>
      </c>
      <c r="C17931" s="97" t="s">
        <v>561</v>
      </c>
      <c r="D17931" s="908" t="s">
        <v>12079</v>
      </c>
      <c r="E17931" s="182"/>
      <c r="F17931" s="182">
        <v>2200</v>
      </c>
      <c r="G17931" s="182">
        <f t="shared" ref="G17931:G17933" si="441">F17931-E17931</f>
        <v>2200</v>
      </c>
      <c r="H17931" s="715" t="s">
        <v>11961</v>
      </c>
    </row>
    <row r="17932" spans="1:8" ht="24" x14ac:dyDescent="0.2">
      <c r="A17932" s="743">
        <v>45280</v>
      </c>
      <c r="B17932" s="97" t="s">
        <v>9769</v>
      </c>
      <c r="C17932" s="97" t="s">
        <v>561</v>
      </c>
      <c r="D17932" s="818" t="s">
        <v>12105</v>
      </c>
      <c r="E17932" s="182"/>
      <c r="F17932" s="182">
        <v>5000000</v>
      </c>
      <c r="G17932" s="182">
        <f t="shared" si="441"/>
        <v>5000000</v>
      </c>
      <c r="H17932" s="715" t="s">
        <v>11961</v>
      </c>
    </row>
    <row r="17933" spans="1:8" ht="15" x14ac:dyDescent="0.2">
      <c r="A17933" s="743">
        <v>45283</v>
      </c>
      <c r="B17933" s="97" t="s">
        <v>10342</v>
      </c>
      <c r="C17933" s="97" t="s">
        <v>561</v>
      </c>
      <c r="D17933" s="908" t="s">
        <v>12078</v>
      </c>
      <c r="E17933" s="182"/>
      <c r="F17933" s="182">
        <v>550000</v>
      </c>
      <c r="G17933" s="182">
        <f t="shared" si="441"/>
        <v>550000</v>
      </c>
      <c r="H17933" s="715" t="s">
        <v>11961</v>
      </c>
    </row>
    <row r="17934" spans="1:8" ht="15" x14ac:dyDescent="0.2">
      <c r="A17934" s="743">
        <v>45283</v>
      </c>
      <c r="B17934" s="97" t="s">
        <v>10342</v>
      </c>
      <c r="C17934" s="97" t="s">
        <v>561</v>
      </c>
      <c r="D17934" s="908" t="s">
        <v>12078</v>
      </c>
      <c r="E17934" s="182"/>
      <c r="F17934" s="182">
        <v>600000</v>
      </c>
      <c r="G17934" s="182">
        <f t="shared" ref="G17934:G17939" si="442">F17934-E17934</f>
        <v>600000</v>
      </c>
      <c r="H17934" s="715" t="s">
        <v>11961</v>
      </c>
    </row>
    <row r="17935" spans="1:8" ht="15" x14ac:dyDescent="0.2">
      <c r="A17935" s="743">
        <v>45283</v>
      </c>
      <c r="B17935" s="97" t="s">
        <v>10342</v>
      </c>
      <c r="C17935" s="97" t="s">
        <v>561</v>
      </c>
      <c r="D17935" s="908" t="s">
        <v>12078</v>
      </c>
      <c r="E17935" s="182"/>
      <c r="F17935" s="182">
        <v>650000</v>
      </c>
      <c r="G17935" s="182">
        <f t="shared" si="442"/>
        <v>650000</v>
      </c>
      <c r="H17935" s="715" t="s">
        <v>11961</v>
      </c>
    </row>
    <row r="17936" spans="1:8" ht="15" x14ac:dyDescent="0.2">
      <c r="A17936" s="743">
        <v>45283</v>
      </c>
      <c r="B17936" s="97" t="s">
        <v>10342</v>
      </c>
      <c r="C17936" s="97" t="s">
        <v>561</v>
      </c>
      <c r="D17936" s="908" t="s">
        <v>12078</v>
      </c>
      <c r="E17936" s="182"/>
      <c r="F17936" s="182">
        <v>700000</v>
      </c>
      <c r="G17936" s="182">
        <f t="shared" si="442"/>
        <v>700000</v>
      </c>
      <c r="H17936" s="715" t="s">
        <v>11961</v>
      </c>
    </row>
    <row r="17937" spans="1:8" ht="15" x14ac:dyDescent="0.2">
      <c r="A17937" s="743">
        <v>45283</v>
      </c>
      <c r="B17937" s="97" t="s">
        <v>10342</v>
      </c>
      <c r="C17937" s="97" t="s">
        <v>561</v>
      </c>
      <c r="D17937" s="908" t="s">
        <v>12078</v>
      </c>
      <c r="E17937" s="182"/>
      <c r="F17937" s="182">
        <v>750000</v>
      </c>
      <c r="G17937" s="182">
        <f t="shared" si="442"/>
        <v>750000</v>
      </c>
      <c r="H17937" s="715" t="s">
        <v>11961</v>
      </c>
    </row>
    <row r="17938" spans="1:8" ht="15" x14ac:dyDescent="0.2">
      <c r="A17938" s="743">
        <v>45283</v>
      </c>
      <c r="B17938" s="97" t="s">
        <v>10342</v>
      </c>
      <c r="C17938" s="97" t="s">
        <v>561</v>
      </c>
      <c r="D17938" s="908" t="s">
        <v>12078</v>
      </c>
      <c r="E17938" s="182"/>
      <c r="F17938" s="182">
        <v>850000</v>
      </c>
      <c r="G17938" s="182">
        <f t="shared" si="442"/>
        <v>850000</v>
      </c>
      <c r="H17938" s="715" t="s">
        <v>11961</v>
      </c>
    </row>
    <row r="17939" spans="1:8" ht="15" x14ac:dyDescent="0.2">
      <c r="A17939" s="743">
        <v>45283</v>
      </c>
      <c r="B17939" s="97" t="s">
        <v>10342</v>
      </c>
      <c r="C17939" s="97" t="s">
        <v>561</v>
      </c>
      <c r="D17939" s="908" t="s">
        <v>12078</v>
      </c>
      <c r="E17939" s="182"/>
      <c r="F17939" s="182">
        <v>900000</v>
      </c>
      <c r="G17939" s="182">
        <f t="shared" si="442"/>
        <v>900000</v>
      </c>
      <c r="H17939" s="715" t="s">
        <v>11961</v>
      </c>
    </row>
    <row r="17940" spans="1:8" ht="15" x14ac:dyDescent="0.2">
      <c r="A17940" s="743">
        <v>45283</v>
      </c>
      <c r="B17940" s="97" t="s">
        <v>11022</v>
      </c>
      <c r="C17940" s="97" t="s">
        <v>561</v>
      </c>
      <c r="D17940" s="908" t="s">
        <v>12118</v>
      </c>
      <c r="E17940" s="182"/>
      <c r="F17940" s="182">
        <v>189553</v>
      </c>
      <c r="G17940" s="182">
        <f t="shared" ref="G17940" si="443">F17940-E17940</f>
        <v>189553</v>
      </c>
      <c r="H17940" s="715" t="s">
        <v>11961</v>
      </c>
    </row>
  </sheetData>
  <autoFilter ref="A1:P1793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 activePane="bottomLeft" state="frozen"/>
      <selection pane="bottomLeft" activeCell="D25" sqref="D25"/>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6" t="s">
        <v>0</v>
      </c>
      <c r="B1" s="1126" t="s">
        <v>47</v>
      </c>
    </row>
    <row r="2" spans="1:11" hidden="1" x14ac:dyDescent="0.3">
      <c r="A2" s="1126" t="s">
        <v>2</v>
      </c>
      <c r="B2" s="1126" t="s">
        <v>47</v>
      </c>
    </row>
    <row r="3" spans="1:11" hidden="1" x14ac:dyDescent="0.3">
      <c r="A3" s="1126" t="s">
        <v>845</v>
      </c>
      <c r="B3" s="1126" t="s">
        <v>47</v>
      </c>
    </row>
    <row r="4" spans="1:11" ht="24" hidden="1" thickBot="1" x14ac:dyDescent="0.35">
      <c r="A4"/>
      <c r="B4"/>
      <c r="C4"/>
      <c r="D4"/>
      <c r="F4" s="101" t="s">
        <v>1779</v>
      </c>
      <c r="H4" s="1132" t="s">
        <v>1779</v>
      </c>
      <c r="I4" s="1132"/>
      <c r="J4" s="1132"/>
    </row>
    <row r="5" spans="1:11" ht="24" thickBot="1" x14ac:dyDescent="0.35">
      <c r="A5" s="1127" t="s">
        <v>4172</v>
      </c>
      <c r="B5" s="1128" t="s">
        <v>4169</v>
      </c>
      <c r="C5" s="1128" t="s">
        <v>4170</v>
      </c>
      <c r="D5" s="1128" t="s">
        <v>4171</v>
      </c>
      <c r="E5" s="355"/>
      <c r="H5" s="1132"/>
      <c r="I5" s="1132"/>
      <c r="J5" s="1132"/>
      <c r="K5" s="1033" t="s">
        <v>10974</v>
      </c>
    </row>
    <row r="6" spans="1:11" ht="26.25" x14ac:dyDescent="0.4">
      <c r="A6" s="751" t="s">
        <v>12025</v>
      </c>
      <c r="B6" s="752">
        <v>4068100</v>
      </c>
      <c r="C6" s="752"/>
      <c r="D6" s="752">
        <v>-4068100</v>
      </c>
      <c r="F6" s="710" t="s">
        <v>155</v>
      </c>
      <c r="G6" s="711" t="s">
        <v>2636</v>
      </c>
      <c r="H6" s="711" t="s">
        <v>7761</v>
      </c>
      <c r="I6" s="710" t="s">
        <v>2638</v>
      </c>
    </row>
    <row r="7" spans="1:11" ht="26.25" x14ac:dyDescent="0.4">
      <c r="A7" s="751" t="s">
        <v>11740</v>
      </c>
      <c r="B7" s="752">
        <v>793386</v>
      </c>
      <c r="C7" s="752">
        <v>2600000</v>
      </c>
      <c r="D7" s="752">
        <v>1806614</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2576214</v>
      </c>
      <c r="C9" s="752"/>
      <c r="D9" s="752">
        <v>-2576214</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t="e">
        <f>VLOOKUP(F11,'Project wise Supplier balance'!$A$6:$D$91,4,0)</f>
        <v>#N/A</v>
      </c>
      <c r="I11" s="706" t="e">
        <f t="shared" si="1"/>
        <v>#N/A</v>
      </c>
    </row>
    <row r="12" spans="1:11" ht="26.25" x14ac:dyDescent="0.4">
      <c r="A12" s="751" t="s">
        <v>11193</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11391</v>
      </c>
      <c r="B13" s="752">
        <v>570260</v>
      </c>
      <c r="C13" s="752">
        <v>1300000</v>
      </c>
      <c r="D13" s="752">
        <v>729740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f>VLOOKUP(F14,'Project wise Supplier balance'!$A$6:$D$91,4,0)</f>
        <v>0</v>
      </c>
      <c r="I14" s="706">
        <f t="shared" si="1"/>
        <v>1915801.3763440857</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14461253.333333334</v>
      </c>
      <c r="C16" s="752">
        <v>22195073</v>
      </c>
      <c r="D16" s="752">
        <v>7733819.6666666679</v>
      </c>
      <c r="F16" s="708" t="s">
        <v>6562</v>
      </c>
      <c r="G16" s="709">
        <f t="shared" si="0"/>
        <v>4541791.3617511522</v>
      </c>
      <c r="H16" s="709" t="e">
        <f>VLOOKUP(F16,'Project wise Supplier balance'!$A$6:$D$91,4,0)</f>
        <v>#N/A</v>
      </c>
      <c r="I16" s="706" t="e">
        <f t="shared" si="1"/>
        <v>#N/A</v>
      </c>
    </row>
    <row r="17" spans="1:9" ht="26.25" x14ac:dyDescent="0.4">
      <c r="A17" s="751" t="s">
        <v>10688</v>
      </c>
      <c r="B17" s="752">
        <v>27870037.333333336</v>
      </c>
      <c r="C17" s="752">
        <v>35032291</v>
      </c>
      <c r="D17" s="752">
        <v>7162253.6666666679</v>
      </c>
      <c r="F17" s="708" t="s">
        <v>7627</v>
      </c>
      <c r="G17" s="709">
        <f t="shared" si="0"/>
        <v>946445.53225806449</v>
      </c>
      <c r="H17" s="709" t="e">
        <f>VLOOKUP(F17,'Project wise Supplier balance'!$A$6:$D$91,4,0)</f>
        <v>#N/A</v>
      </c>
      <c r="I17" s="706" t="e">
        <f t="shared" si="1"/>
        <v>#N/A</v>
      </c>
    </row>
    <row r="18" spans="1:9" ht="26.25" x14ac:dyDescent="0.4">
      <c r="A18" s="751" t="s">
        <v>10490</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10449</v>
      </c>
      <c r="B19" s="752">
        <v>4344152</v>
      </c>
      <c r="C19" s="752">
        <v>6586000</v>
      </c>
      <c r="D19" s="752">
        <v>2241848</v>
      </c>
      <c r="F19" s="708" t="s">
        <v>6706</v>
      </c>
      <c r="G19" s="709">
        <f t="shared" si="0"/>
        <v>67087</v>
      </c>
      <c r="H19" s="709">
        <f>VLOOKUP(F19,'Project wise Supplier balance'!$A$6:$D$91,4,0)</f>
        <v>0</v>
      </c>
      <c r="I19" s="706">
        <f t="shared" si="1"/>
        <v>67087</v>
      </c>
    </row>
    <row r="20" spans="1:9" ht="26.25" x14ac:dyDescent="0.4">
      <c r="A20" s="751" t="s">
        <v>10406</v>
      </c>
      <c r="B20" s="752">
        <v>3754848.4623655914</v>
      </c>
      <c r="C20" s="752">
        <v>2000000</v>
      </c>
      <c r="D20" s="752">
        <v>-1754848.4623655914</v>
      </c>
      <c r="F20" s="708" t="s">
        <v>7177</v>
      </c>
      <c r="G20" s="709">
        <f t="shared" si="0"/>
        <v>641998.78494623653</v>
      </c>
      <c r="H20" s="709">
        <f>VLOOKUP(F20,'Project wise Supplier balance'!$A$6:$D$91,4,0)</f>
        <v>0</v>
      </c>
      <c r="I20" s="706">
        <f t="shared" si="1"/>
        <v>641998.78494623653</v>
      </c>
    </row>
    <row r="21" spans="1:9" ht="26.25" x14ac:dyDescent="0.4">
      <c r="A21" s="751" t="s">
        <v>10342</v>
      </c>
      <c r="B21" s="752">
        <v>14745913.333333334</v>
      </c>
      <c r="C21" s="752">
        <v>25920080</v>
      </c>
      <c r="D21" s="752">
        <v>11174166.666666666</v>
      </c>
      <c r="F21" s="708" t="s">
        <v>7733</v>
      </c>
      <c r="G21" s="709">
        <f t="shared" si="0"/>
        <v>702698.51</v>
      </c>
      <c r="H21" s="709">
        <f>VLOOKUP(F21,'Project wise Supplier balance'!$A$6:$D$91,4,0)</f>
        <v>0</v>
      </c>
      <c r="I21" s="706">
        <f t="shared" si="1"/>
        <v>702698.51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t="e">
        <f>VLOOKUP(F23,'Project wise Supplier balance'!$A$6:$D$91,4,0)</f>
        <v>#N/A</v>
      </c>
      <c r="I23" s="706" t="e">
        <f t="shared" si="1"/>
        <v>#N/A</v>
      </c>
    </row>
    <row r="24" spans="1:9" ht="26.25" x14ac:dyDescent="0.4">
      <c r="A24" s="751" t="s">
        <v>10133</v>
      </c>
      <c r="B24" s="752">
        <v>6410483.5</v>
      </c>
      <c r="C24" s="752">
        <v>3520000</v>
      </c>
      <c r="D24" s="752">
        <v>-2890483.5</v>
      </c>
      <c r="F24" s="708" t="s">
        <v>7825</v>
      </c>
      <c r="G24" s="709" t="e">
        <f t="shared" si="0"/>
        <v>#N/A</v>
      </c>
      <c r="H24" s="709">
        <f>VLOOKUP(F24,'Project wise Supplier balance'!$A$6:$D$91,4,0)</f>
        <v>0</v>
      </c>
      <c r="I24" s="706" t="e">
        <f t="shared" si="1"/>
        <v>#N/A</v>
      </c>
    </row>
    <row r="25" spans="1:9" ht="26.25" x14ac:dyDescent="0.4">
      <c r="A25" s="751" t="s">
        <v>9940</v>
      </c>
      <c r="B25" s="752">
        <v>18966255</v>
      </c>
      <c r="C25" s="752">
        <v>19830000</v>
      </c>
      <c r="D25" s="752">
        <v>863745</v>
      </c>
    </row>
    <row r="26" spans="1:9" ht="26.25" x14ac:dyDescent="0.4">
      <c r="A26" s="751" t="s">
        <v>9877</v>
      </c>
      <c r="B26" s="752">
        <v>16061004</v>
      </c>
      <c r="C26" s="752">
        <v>19855650</v>
      </c>
      <c r="D26" s="752">
        <v>3794646</v>
      </c>
    </row>
    <row r="27" spans="1:9" ht="26.25" x14ac:dyDescent="0.4">
      <c r="A27" s="751" t="s">
        <v>9769</v>
      </c>
      <c r="B27" s="752">
        <v>4704328.9032258065</v>
      </c>
      <c r="C27" s="752">
        <v>13221233</v>
      </c>
      <c r="D27" s="752">
        <v>8516904.0967741944</v>
      </c>
    </row>
    <row r="28" spans="1:9" ht="26.25" x14ac:dyDescent="0.4">
      <c r="A28" s="751" t="s">
        <v>9572</v>
      </c>
      <c r="B28" s="752">
        <v>2078832</v>
      </c>
      <c r="C28" s="752">
        <v>2722000</v>
      </c>
      <c r="D28" s="752">
        <v>643168</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2874349</v>
      </c>
      <c r="D35" s="752">
        <v>-1753543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31" t="s">
        <v>6565</v>
      </c>
      <c r="B42" s="1130">
        <v>2808804</v>
      </c>
      <c r="C42" s="1130">
        <v>4926982</v>
      </c>
      <c r="D42" s="1130">
        <v>2118178</v>
      </c>
    </row>
    <row r="43" spans="1:9" ht="26.25" x14ac:dyDescent="0.4">
      <c r="A43" s="1131" t="s">
        <v>6568</v>
      </c>
      <c r="B43" s="1130">
        <v>7639492</v>
      </c>
      <c r="C43" s="1130">
        <v>10084653</v>
      </c>
      <c r="D43" s="1130">
        <v>2445161</v>
      </c>
      <c r="F43" s="298"/>
      <c r="G43" s="707"/>
      <c r="H43" s="707"/>
      <c r="I43" s="298"/>
    </row>
    <row r="44" spans="1:9" ht="26.25" x14ac:dyDescent="0.4">
      <c r="A44" s="1131" t="s">
        <v>7191</v>
      </c>
      <c r="B44" s="1130">
        <v>2367767</v>
      </c>
      <c r="C44" s="1130">
        <v>2395416</v>
      </c>
      <c r="D44" s="1130">
        <v>27649</v>
      </c>
      <c r="F44" s="298"/>
      <c r="G44" s="707"/>
      <c r="H44" s="707"/>
      <c r="I44" s="298"/>
    </row>
    <row r="45" spans="1:9" ht="26.25" x14ac:dyDescent="0.4">
      <c r="A45" s="1131" t="s">
        <v>6463</v>
      </c>
      <c r="B45" s="1130">
        <v>4913171.2258064514</v>
      </c>
      <c r="C45" s="1130">
        <v>4645812</v>
      </c>
      <c r="D45" s="1130">
        <v>-209739.22580645164</v>
      </c>
      <c r="F45" s="298"/>
      <c r="G45" s="707"/>
      <c r="H45" s="707"/>
      <c r="I45" s="298"/>
    </row>
    <row r="46" spans="1:9" ht="26.25" x14ac:dyDescent="0.4">
      <c r="A46" s="1131" t="s">
        <v>18</v>
      </c>
      <c r="B46" s="1130">
        <v>2368025.1605222733</v>
      </c>
      <c r="C46" s="1130">
        <v>3296750</v>
      </c>
      <c r="D46" s="1130">
        <v>938724.83947772672</v>
      </c>
      <c r="F46" s="298"/>
      <c r="G46" s="707"/>
      <c r="H46" s="707"/>
      <c r="I46" s="298"/>
    </row>
    <row r="47" spans="1:9" s="298" customFormat="1" ht="26.25" x14ac:dyDescent="0.4">
      <c r="A47" s="1131" t="s">
        <v>8032</v>
      </c>
      <c r="B47" s="1130">
        <v>4397458</v>
      </c>
      <c r="C47" s="1130">
        <v>6566988</v>
      </c>
      <c r="D47" s="1130">
        <v>2169530</v>
      </c>
      <c r="G47" s="707"/>
      <c r="H47" s="707"/>
    </row>
    <row r="48" spans="1:9" s="298" customFormat="1" ht="26.25" x14ac:dyDescent="0.4">
      <c r="A48" s="1131" t="s">
        <v>7896</v>
      </c>
      <c r="B48" s="1130">
        <v>781154</v>
      </c>
      <c r="C48" s="1130">
        <v>1300000</v>
      </c>
      <c r="D48" s="1130">
        <v>518846</v>
      </c>
      <c r="G48" s="707"/>
      <c r="H48" s="707"/>
    </row>
    <row r="49" spans="1:8" s="298" customFormat="1" ht="26.25" x14ac:dyDescent="0.4">
      <c r="A49" s="1131" t="s">
        <v>7811</v>
      </c>
      <c r="B49" s="1130">
        <v>428088.12903225806</v>
      </c>
      <c r="C49" s="1130">
        <v>730000</v>
      </c>
      <c r="D49" s="1130">
        <v>301911.87096774194</v>
      </c>
      <c r="G49" s="707"/>
      <c r="H49" s="707"/>
    </row>
    <row r="50" spans="1:8" s="298" customFormat="1" ht="26.25" x14ac:dyDescent="0.4">
      <c r="A50" s="1131" t="s">
        <v>4760</v>
      </c>
      <c r="B50" s="1130">
        <v>4198143.8588709673</v>
      </c>
      <c r="C50" s="1130">
        <v>15155996.9</v>
      </c>
      <c r="D50" s="1130">
        <v>10957853.041129032</v>
      </c>
      <c r="G50" s="707"/>
      <c r="H50" s="707"/>
    </row>
    <row r="51" spans="1:8" s="298" customFormat="1" ht="26.25" x14ac:dyDescent="0.4">
      <c r="A51" s="1131" t="s">
        <v>5862</v>
      </c>
      <c r="B51" s="1130">
        <v>3130611.7334869434</v>
      </c>
      <c r="C51" s="1130">
        <v>3500000</v>
      </c>
      <c r="D51" s="1130">
        <v>369388.26651305659</v>
      </c>
      <c r="G51" s="707"/>
      <c r="H51" s="707"/>
    </row>
    <row r="52" spans="1:8" s="298" customFormat="1" ht="26.25" x14ac:dyDescent="0.4">
      <c r="A52" s="1131" t="s">
        <v>3979</v>
      </c>
      <c r="B52" s="1130">
        <v>14080246.334058346</v>
      </c>
      <c r="C52" s="1130">
        <v>18645258</v>
      </c>
      <c r="D52" s="1130">
        <v>4582842.6659416538</v>
      </c>
      <c r="G52" s="707"/>
      <c r="H52" s="707"/>
    </row>
    <row r="53" spans="1:8" s="298" customFormat="1" ht="26.25" x14ac:dyDescent="0.4">
      <c r="A53" s="1131" t="s">
        <v>3978</v>
      </c>
      <c r="B53" s="1130">
        <v>9029498.1807199772</v>
      </c>
      <c r="C53" s="1130">
        <v>14778869</v>
      </c>
      <c r="D53" s="1130">
        <v>5752749.8515380863</v>
      </c>
      <c r="G53" s="707"/>
      <c r="H53" s="707"/>
    </row>
    <row r="54" spans="1:8" s="298" customFormat="1" ht="26.25" x14ac:dyDescent="0.4">
      <c r="A54" s="1131" t="s">
        <v>6157</v>
      </c>
      <c r="B54" s="1130">
        <v>289848</v>
      </c>
      <c r="C54" s="1130">
        <v>1337000</v>
      </c>
      <c r="D54" s="1130">
        <v>1047152</v>
      </c>
      <c r="G54" s="707"/>
      <c r="H54" s="707"/>
    </row>
    <row r="55" spans="1:8" s="298" customFormat="1" ht="26.25" x14ac:dyDescent="0.4">
      <c r="A55" s="1131" t="s">
        <v>1407</v>
      </c>
      <c r="B55" s="1130">
        <v>114510981.94410785</v>
      </c>
      <c r="C55" s="1130">
        <v>130502260.09999999</v>
      </c>
      <c r="D55" s="1130">
        <v>16037003.15589213</v>
      </c>
      <c r="G55" s="707"/>
      <c r="H55" s="707"/>
    </row>
    <row r="56" spans="1:8" s="298" customFormat="1" ht="26.25" x14ac:dyDescent="0.4">
      <c r="A56" s="1131" t="s">
        <v>2957</v>
      </c>
      <c r="B56" s="1130">
        <v>97556794.74362056</v>
      </c>
      <c r="C56" s="1130">
        <v>137552234</v>
      </c>
      <c r="D56" s="1130">
        <v>39998531.25637947</v>
      </c>
      <c r="G56" s="707"/>
      <c r="H56" s="707"/>
    </row>
    <row r="57" spans="1:8" s="298" customFormat="1" ht="26.25" x14ac:dyDescent="0.4">
      <c r="A57" s="1131" t="s">
        <v>7733</v>
      </c>
      <c r="B57" s="1130">
        <v>2210566</v>
      </c>
      <c r="C57" s="1130">
        <v>2913264.51</v>
      </c>
      <c r="D57" s="1130">
        <v>702698.51</v>
      </c>
      <c r="G57" s="707"/>
      <c r="H57" s="707"/>
    </row>
    <row r="58" spans="1:8" s="298" customFormat="1" ht="26.25" x14ac:dyDescent="0.4">
      <c r="A58" s="1131" t="s">
        <v>7177</v>
      </c>
      <c r="B58" s="1130">
        <v>3206398.2150537632</v>
      </c>
      <c r="C58" s="1130">
        <v>3848397</v>
      </c>
      <c r="D58" s="1130">
        <v>641998.78494623653</v>
      </c>
      <c r="G58" s="707"/>
      <c r="H58" s="707"/>
    </row>
    <row r="59" spans="1:8" s="298" customFormat="1" ht="26.25" x14ac:dyDescent="0.4">
      <c r="A59" s="1131" t="s">
        <v>7132</v>
      </c>
      <c r="B59" s="1130">
        <v>18681972</v>
      </c>
      <c r="C59" s="1130">
        <v>24347604</v>
      </c>
      <c r="D59" s="1130">
        <v>5665632</v>
      </c>
      <c r="G59" s="707"/>
      <c r="H59" s="707"/>
    </row>
    <row r="60" spans="1:8" s="298" customFormat="1" ht="26.25" x14ac:dyDescent="0.4">
      <c r="A60" s="1131" t="s">
        <v>6562</v>
      </c>
      <c r="B60" s="1130">
        <v>5051519.9715821808</v>
      </c>
      <c r="C60" s="1130">
        <v>9568884</v>
      </c>
      <c r="D60" s="1130">
        <v>4541791.3617511522</v>
      </c>
      <c r="G60" s="707"/>
      <c r="H60" s="707"/>
    </row>
    <row r="61" spans="1:8" s="298" customFormat="1" ht="26.25" x14ac:dyDescent="0.4">
      <c r="A61" s="1131" t="s">
        <v>7627</v>
      </c>
      <c r="B61" s="1130">
        <v>2463913.4677419355</v>
      </c>
      <c r="C61" s="1130">
        <v>3410359</v>
      </c>
      <c r="D61" s="1130">
        <v>946445.53225806449</v>
      </c>
      <c r="G61" s="707"/>
      <c r="H61" s="707"/>
    </row>
    <row r="62" spans="1:8" s="298" customFormat="1" ht="26.25" x14ac:dyDescent="0.4">
      <c r="A62" s="1131" t="s">
        <v>7015</v>
      </c>
      <c r="B62" s="1130">
        <v>3524112</v>
      </c>
      <c r="C62" s="1130">
        <v>4875776</v>
      </c>
      <c r="D62" s="1130">
        <v>1351664</v>
      </c>
      <c r="G62" s="707"/>
      <c r="H62" s="707"/>
    </row>
    <row r="63" spans="1:8" s="298" customFormat="1" ht="26.25" x14ac:dyDescent="0.4">
      <c r="A63" s="1131" t="s">
        <v>6706</v>
      </c>
      <c r="B63" s="1130">
        <v>381763</v>
      </c>
      <c r="C63" s="1130">
        <v>448850</v>
      </c>
      <c r="D63" s="1130">
        <v>67087</v>
      </c>
      <c r="G63" s="707"/>
      <c r="H63" s="707"/>
    </row>
    <row r="64" spans="1:8" s="298" customFormat="1" ht="26.25" x14ac:dyDescent="0.4">
      <c r="A64" s="1131" t="s">
        <v>6575</v>
      </c>
      <c r="B64" s="1130">
        <v>11348698.623655912</v>
      </c>
      <c r="C64" s="1130">
        <v>13264500</v>
      </c>
      <c r="D64" s="1130">
        <v>1915801.3763440857</v>
      </c>
      <c r="G64" s="707"/>
      <c r="H64" s="707"/>
    </row>
    <row r="65" spans="1:8" s="298" customFormat="1" ht="26.25" x14ac:dyDescent="0.4">
      <c r="A65" s="1131" t="s">
        <v>2675</v>
      </c>
      <c r="B65" s="1130">
        <v>26687909.699682843</v>
      </c>
      <c r="C65" s="1130">
        <v>36731542</v>
      </c>
      <c r="D65" s="1130">
        <v>10068965.30031715</v>
      </c>
      <c r="G65" s="707"/>
      <c r="H65" s="707"/>
    </row>
    <row r="66" spans="1:8" s="298" customFormat="1" ht="26.25" x14ac:dyDescent="0.4">
      <c r="A66" s="1131" t="s">
        <v>5593</v>
      </c>
      <c r="B66" s="1130">
        <v>678790.36290322582</v>
      </c>
      <c r="C66" s="1130">
        <v>872151</v>
      </c>
      <c r="D66" s="1130">
        <v>193360.63709677418</v>
      </c>
      <c r="G66" s="707"/>
      <c r="H66" s="707"/>
    </row>
    <row r="67" spans="1:8" s="298" customFormat="1" ht="26.25" x14ac:dyDescent="0.4">
      <c r="A67" s="1131" t="s">
        <v>5691</v>
      </c>
      <c r="B67" s="1130">
        <v>2512284.75</v>
      </c>
      <c r="C67" s="1130">
        <v>3685007</v>
      </c>
      <c r="D67" s="1130">
        <v>1236944.25</v>
      </c>
      <c r="G67" s="707"/>
      <c r="H67" s="707"/>
    </row>
    <row r="68" spans="1:8" s="298" customFormat="1" ht="26.25" x14ac:dyDescent="0.4">
      <c r="A68" s="1131" t="s">
        <v>5095</v>
      </c>
      <c r="B68" s="1130">
        <v>4445446.3494623657</v>
      </c>
      <c r="C68" s="1130">
        <v>6341262</v>
      </c>
      <c r="D68" s="1130">
        <v>1895815.6505376345</v>
      </c>
      <c r="G68" s="707"/>
      <c r="H68" s="707"/>
    </row>
    <row r="69" spans="1:8" s="298" customFormat="1" ht="26.25" x14ac:dyDescent="0.4">
      <c r="A69" s="1131" t="s">
        <v>5667</v>
      </c>
      <c r="B69" s="1130">
        <v>1142182.75</v>
      </c>
      <c r="C69" s="1130">
        <v>2131308</v>
      </c>
      <c r="D69" s="1130">
        <v>989125.25</v>
      </c>
      <c r="G69" s="707"/>
      <c r="H69" s="707"/>
    </row>
    <row r="70" spans="1:8" s="298" customFormat="1" ht="26.25" x14ac:dyDescent="0.4">
      <c r="A70" s="1131" t="s">
        <v>82</v>
      </c>
      <c r="B70" s="1130">
        <v>4379244</v>
      </c>
      <c r="C70" s="1130">
        <v>10411961</v>
      </c>
      <c r="D70" s="1130">
        <v>6032717</v>
      </c>
      <c r="G70" s="707"/>
      <c r="H70" s="707"/>
    </row>
    <row r="71" spans="1:8" s="298" customFormat="1" ht="26.25" x14ac:dyDescent="0.4">
      <c r="A71" s="1131" t="s">
        <v>154</v>
      </c>
      <c r="B71" s="1130">
        <v>6704728</v>
      </c>
      <c r="C71" s="1130">
        <v>10075309</v>
      </c>
      <c r="D71" s="1130">
        <v>3380173</v>
      </c>
      <c r="G71" s="707"/>
      <c r="H71" s="707"/>
    </row>
    <row r="72" spans="1:8" s="298" customFormat="1" ht="26.25" x14ac:dyDescent="0.4">
      <c r="A72" s="1131" t="s">
        <v>2109</v>
      </c>
      <c r="B72" s="1130">
        <v>5185502.0489631332</v>
      </c>
      <c r="C72" s="1130">
        <v>6644055</v>
      </c>
      <c r="D72" s="1130">
        <v>1458552.9510368668</v>
      </c>
      <c r="G72" s="707"/>
      <c r="H72" s="707"/>
    </row>
    <row r="73" spans="1:8" s="298" customFormat="1" ht="26.25" x14ac:dyDescent="0.4">
      <c r="A73" s="1131" t="s">
        <v>2810</v>
      </c>
      <c r="B73" s="1130">
        <v>45546316.695372485</v>
      </c>
      <c r="C73" s="1130">
        <v>60651110</v>
      </c>
      <c r="D73" s="1130">
        <v>15104793.304627493</v>
      </c>
      <c r="G73" s="707"/>
      <c r="H73" s="707"/>
    </row>
    <row r="74" spans="1:8" s="298" customFormat="1" ht="26.25" x14ac:dyDescent="0.4">
      <c r="A74" s="1131" t="s">
        <v>2571</v>
      </c>
      <c r="B74" s="1130">
        <v>1543068.4838709678</v>
      </c>
      <c r="C74" s="1130">
        <v>2378225</v>
      </c>
      <c r="D74" s="1130">
        <v>835156.51612903224</v>
      </c>
      <c r="G74" s="707"/>
      <c r="H74" s="707"/>
    </row>
    <row r="75" spans="1:8" s="298" customFormat="1" ht="26.25" x14ac:dyDescent="0.4">
      <c r="A75" s="1131" t="s">
        <v>75</v>
      </c>
      <c r="B75" s="1130">
        <v>139600</v>
      </c>
      <c r="C75" s="1130"/>
      <c r="D75" s="1130">
        <v>-139600</v>
      </c>
      <c r="G75" s="707"/>
      <c r="H75" s="707"/>
    </row>
    <row r="76" spans="1:8" s="298" customFormat="1" ht="26.25" x14ac:dyDescent="0.4">
      <c r="A76" s="1131" t="s">
        <v>1502</v>
      </c>
      <c r="B76" s="1130">
        <v>1943741.4677419357</v>
      </c>
      <c r="C76" s="1130">
        <v>3015886</v>
      </c>
      <c r="D76" s="1130">
        <v>1072144.5322580645</v>
      </c>
      <c r="G76" s="707"/>
      <c r="H76" s="707"/>
    </row>
    <row r="77" spans="1:8" s="298" customFormat="1" ht="26.25" x14ac:dyDescent="0.4">
      <c r="A77" s="1131" t="s">
        <v>37</v>
      </c>
      <c r="B77" s="1130">
        <v>15257116.794944117</v>
      </c>
      <c r="C77" s="1130">
        <v>22565993</v>
      </c>
      <c r="D77" s="1130">
        <v>7299528.7588193193</v>
      </c>
      <c r="G77" s="707"/>
      <c r="H77" s="707"/>
    </row>
    <row r="78" spans="1:8" s="298" customFormat="1" ht="26.25" x14ac:dyDescent="0.4">
      <c r="A78" s="1131" t="s">
        <v>11</v>
      </c>
      <c r="B78" s="1130">
        <v>1881153.2044930877</v>
      </c>
      <c r="C78" s="1130">
        <v>1656000</v>
      </c>
      <c r="D78" s="1130">
        <v>-230153.20449308754</v>
      </c>
      <c r="G78" s="707"/>
      <c r="H78" s="707"/>
    </row>
    <row r="79" spans="1:8" s="298" customFormat="1" ht="26.25" x14ac:dyDescent="0.4">
      <c r="A79" s="1131" t="s">
        <v>25</v>
      </c>
      <c r="B79" s="1130">
        <v>17897811.887096774</v>
      </c>
      <c r="C79" s="1130"/>
      <c r="D79" s="1130">
        <v>-17887811.887096774</v>
      </c>
      <c r="G79" s="707"/>
      <c r="H79" s="707"/>
    </row>
    <row r="80" spans="1:8" s="298" customFormat="1" ht="26.25" x14ac:dyDescent="0.4">
      <c r="A80" s="1131" t="s">
        <v>14</v>
      </c>
      <c r="B80" s="1130">
        <v>1066402</v>
      </c>
      <c r="C80" s="1130">
        <v>1440705</v>
      </c>
      <c r="D80" s="1130">
        <v>374303</v>
      </c>
      <c r="G80" s="707"/>
      <c r="H80" s="707"/>
    </row>
    <row r="81" spans="1:8" s="298" customFormat="1" ht="26.25" x14ac:dyDescent="0.4">
      <c r="A81" s="1131" t="s">
        <v>1703</v>
      </c>
      <c r="B81" s="1130">
        <v>1698566</v>
      </c>
      <c r="C81" s="1130"/>
      <c r="D81" s="1130">
        <v>-1698566</v>
      </c>
      <c r="G81" s="707"/>
      <c r="H81" s="707"/>
    </row>
    <row r="82" spans="1:8" s="298" customFormat="1" ht="26.25" x14ac:dyDescent="0.4">
      <c r="A82" s="1131" t="s">
        <v>16</v>
      </c>
      <c r="B82" s="1130">
        <v>21421544.691530842</v>
      </c>
      <c r="C82" s="1130">
        <v>50000</v>
      </c>
      <c r="D82" s="1130">
        <v>-21371585.885079227</v>
      </c>
      <c r="G82" s="707"/>
      <c r="H82" s="707"/>
    </row>
    <row r="83" spans="1:8" s="298" customFormat="1" ht="26.25" x14ac:dyDescent="0.4">
      <c r="A83" s="1131" t="s">
        <v>22</v>
      </c>
      <c r="B83" s="1130">
        <v>721543</v>
      </c>
      <c r="C83" s="1130">
        <v>1000426</v>
      </c>
      <c r="D83" s="1130">
        <v>278883</v>
      </c>
      <c r="G83" s="707"/>
      <c r="H83" s="707"/>
    </row>
    <row r="84" spans="1:8" s="298" customFormat="1" ht="26.25" x14ac:dyDescent="0.4">
      <c r="A84" s="1131" t="s">
        <v>2680</v>
      </c>
      <c r="B84" s="1130">
        <v>1592291.6774193549</v>
      </c>
      <c r="C84" s="1130">
        <v>2686275</v>
      </c>
      <c r="D84" s="1130">
        <v>1093983.3225806453</v>
      </c>
      <c r="G84" s="707"/>
      <c r="H84" s="707"/>
    </row>
    <row r="85" spans="1:8" s="298" customFormat="1" ht="26.25" x14ac:dyDescent="0.4">
      <c r="A85" s="1131" t="s">
        <v>5212</v>
      </c>
      <c r="B85" s="1130"/>
      <c r="C85" s="1130">
        <v>485141</v>
      </c>
      <c r="D85" s="1130">
        <v>485141</v>
      </c>
      <c r="G85" s="707"/>
      <c r="H85" s="707"/>
    </row>
    <row r="86" spans="1:8" s="298" customFormat="1" ht="26.25" x14ac:dyDescent="0.4">
      <c r="A86" s="1131" t="s">
        <v>6694</v>
      </c>
      <c r="B86" s="1130">
        <v>631720</v>
      </c>
      <c r="C86" s="1130">
        <v>1000000</v>
      </c>
      <c r="D86" s="1130">
        <v>368280</v>
      </c>
      <c r="G86" s="707"/>
      <c r="H86" s="707"/>
    </row>
    <row r="87" spans="1:8" s="298" customFormat="1" ht="26.25" x14ac:dyDescent="0.4">
      <c r="A87" s="1131" t="s">
        <v>6573</v>
      </c>
      <c r="B87" s="1130">
        <v>4971444.0025458178</v>
      </c>
      <c r="C87" s="1130">
        <v>7995733</v>
      </c>
      <c r="D87" s="1130">
        <v>3024288.9974541827</v>
      </c>
      <c r="G87" s="707"/>
      <c r="H87" s="707"/>
    </row>
    <row r="88" spans="1:8" s="298" customFormat="1" ht="26.25" x14ac:dyDescent="0.4">
      <c r="A88" s="1131" t="s">
        <v>6504</v>
      </c>
      <c r="B88" s="1130">
        <v>550023</v>
      </c>
      <c r="C88" s="1130">
        <v>1100470</v>
      </c>
      <c r="D88" s="1130">
        <v>550447</v>
      </c>
      <c r="G88" s="707"/>
      <c r="H88" s="707"/>
    </row>
    <row r="89" spans="1:8" s="298" customFormat="1" ht="26.25" x14ac:dyDescent="0.4">
      <c r="A89" s="1131" t="s">
        <v>5796</v>
      </c>
      <c r="B89" s="1130">
        <v>735045</v>
      </c>
      <c r="C89" s="1130">
        <v>1058484</v>
      </c>
      <c r="D89" s="1130">
        <v>323439</v>
      </c>
      <c r="G89" s="707"/>
      <c r="H89" s="707"/>
    </row>
    <row r="90" spans="1:8" s="298" customFormat="1" ht="26.25" x14ac:dyDescent="0.4">
      <c r="A90" s="1131" t="s">
        <v>5721</v>
      </c>
      <c r="B90" s="1130">
        <v>271826</v>
      </c>
      <c r="C90" s="1130">
        <v>563000</v>
      </c>
      <c r="D90" s="1130">
        <v>291174</v>
      </c>
      <c r="G90" s="707"/>
      <c r="H90" s="707"/>
    </row>
    <row r="91" spans="1:8" s="298" customFormat="1" ht="26.25" x14ac:dyDescent="0.4">
      <c r="A91" s="1131" t="s">
        <v>7843</v>
      </c>
      <c r="B91" s="1130"/>
      <c r="C91" s="1130">
        <v>64507</v>
      </c>
      <c r="D91" s="1130">
        <v>64507</v>
      </c>
      <c r="G91" s="707"/>
      <c r="H91" s="707"/>
    </row>
    <row r="92" spans="1:8" s="298" customFormat="1" ht="26.25" x14ac:dyDescent="0.4">
      <c r="A92" s="1131" t="s">
        <v>40</v>
      </c>
      <c r="B92" s="1130">
        <v>51386165.801987335</v>
      </c>
      <c r="C92" s="1130">
        <v>69560627</v>
      </c>
      <c r="D92" s="1130">
        <v>18225961.198012669</v>
      </c>
      <c r="G92" s="707"/>
      <c r="H92" s="707"/>
    </row>
    <row r="93" spans="1:8" s="298" customFormat="1" ht="26.25" x14ac:dyDescent="0.4">
      <c r="A93" s="1131" t="s">
        <v>5274</v>
      </c>
      <c r="B93" s="1130">
        <v>1808575</v>
      </c>
      <c r="C93" s="1130">
        <v>2875708</v>
      </c>
      <c r="D93" s="1130">
        <v>1067133</v>
      </c>
      <c r="G93" s="707"/>
      <c r="H93" s="707"/>
    </row>
    <row r="94" spans="1:8" s="298" customFormat="1" ht="26.25" x14ac:dyDescent="0.4">
      <c r="A94" s="1131" t="s">
        <v>3652</v>
      </c>
      <c r="B94" s="1130">
        <v>7385548</v>
      </c>
      <c r="C94" s="1130">
        <v>12071334</v>
      </c>
      <c r="D94" s="1130">
        <v>4685786</v>
      </c>
      <c r="G94" s="707"/>
      <c r="H94" s="707"/>
    </row>
    <row r="95" spans="1:8" s="298" customFormat="1" ht="26.25" x14ac:dyDescent="0.4">
      <c r="A95" s="1131" t="s">
        <v>3765</v>
      </c>
      <c r="B95" s="1130">
        <v>5642256.6693548393</v>
      </c>
      <c r="C95" s="1130">
        <v>6215763</v>
      </c>
      <c r="D95" s="1130">
        <v>573506.33064516122</v>
      </c>
      <c r="G95" s="707"/>
      <c r="H95" s="707"/>
    </row>
    <row r="96" spans="1:8" s="298" customFormat="1" ht="26.25" x14ac:dyDescent="0.4">
      <c r="A96" s="1131" t="s">
        <v>8932</v>
      </c>
      <c r="B96" s="1130">
        <v>785021</v>
      </c>
      <c r="C96" s="1130">
        <v>690021</v>
      </c>
      <c r="D96" s="1130">
        <v>-95000</v>
      </c>
      <c r="G96" s="707"/>
      <c r="H96" s="707"/>
    </row>
    <row r="97" spans="1:9" s="298" customFormat="1" ht="26.25" x14ac:dyDescent="0.4">
      <c r="A97" s="1131" t="s">
        <v>8997</v>
      </c>
      <c r="B97" s="1130">
        <v>84014</v>
      </c>
      <c r="C97" s="1130">
        <v>88818</v>
      </c>
      <c r="D97" s="1130">
        <v>4804</v>
      </c>
      <c r="G97" s="707"/>
      <c r="H97" s="707"/>
    </row>
    <row r="98" spans="1:9" s="298" customFormat="1" ht="26.25" x14ac:dyDescent="0.4">
      <c r="A98" s="1131" t="s">
        <v>9623</v>
      </c>
      <c r="B98" s="1130">
        <v>332250</v>
      </c>
      <c r="C98" s="1130"/>
      <c r="D98" s="1130">
        <v>-332250</v>
      </c>
      <c r="F98" s="4"/>
      <c r="G98" s="251"/>
      <c r="H98" s="251"/>
      <c r="I98" s="4"/>
    </row>
    <row r="99" spans="1:9" s="298" customFormat="1" ht="26.25" x14ac:dyDescent="0.4">
      <c r="A99" s="1131" t="s">
        <v>10484</v>
      </c>
      <c r="B99" s="1130">
        <v>25000</v>
      </c>
      <c r="C99" s="1130"/>
      <c r="D99" s="1130">
        <v>-25000</v>
      </c>
      <c r="F99" s="4"/>
      <c r="G99" s="251"/>
      <c r="H99" s="251"/>
      <c r="I99" s="4"/>
    </row>
    <row r="100" spans="1:9" s="298" customFormat="1" ht="26.25" x14ac:dyDescent="0.4">
      <c r="A100" s="1129" t="s">
        <v>11734</v>
      </c>
      <c r="B100" s="1130">
        <v>25000</v>
      </c>
      <c r="C100" s="1130"/>
      <c r="D100" s="1130">
        <v>-25000</v>
      </c>
      <c r="F100" s="4"/>
      <c r="G100" s="251"/>
      <c r="H100" s="251"/>
      <c r="I100" s="4"/>
    </row>
    <row r="101" spans="1:9" s="298" customFormat="1" ht="26.25" x14ac:dyDescent="0.4">
      <c r="A101" s="1129" t="s">
        <v>11748</v>
      </c>
      <c r="B101" s="1130">
        <v>80250</v>
      </c>
      <c r="C101" s="1130"/>
      <c r="D101" s="1130">
        <v>-80250</v>
      </c>
      <c r="F101" s="4"/>
      <c r="G101" s="251"/>
      <c r="H101" s="251"/>
      <c r="I101" s="4"/>
    </row>
    <row r="102" spans="1:9" ht="26.25" x14ac:dyDescent="0.4">
      <c r="A102" s="1129" t="s">
        <v>11760</v>
      </c>
      <c r="B102" s="1130">
        <v>500</v>
      </c>
      <c r="C102" s="1130"/>
      <c r="D102" s="1130">
        <v>-500</v>
      </c>
    </row>
    <row r="103" spans="1:9" ht="26.25" x14ac:dyDescent="0.4">
      <c r="A103" s="1129" t="s">
        <v>11941</v>
      </c>
      <c r="B103" s="1130">
        <v>14400</v>
      </c>
      <c r="C103" s="1130"/>
      <c r="D103" s="1130">
        <v>-14400</v>
      </c>
    </row>
    <row r="104" spans="1:9" ht="26.25" x14ac:dyDescent="0.4">
      <c r="A104" s="1129" t="s">
        <v>12009</v>
      </c>
      <c r="B104" s="1130">
        <v>70800</v>
      </c>
      <c r="C104" s="1130"/>
      <c r="D104" s="1130">
        <v>-70800</v>
      </c>
    </row>
    <row r="105" spans="1:9" ht="26.25" x14ac:dyDescent="0.4">
      <c r="A105" s="1131" t="s">
        <v>45</v>
      </c>
      <c r="B105" s="1130">
        <v>807815454.30197263</v>
      </c>
      <c r="C105" s="1130">
        <v>1012029658.9299999</v>
      </c>
      <c r="D105" s="1130">
        <v>204500231.35383385</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99"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11010</v>
      </c>
      <c r="B1" s="1091" t="s">
        <v>11011</v>
      </c>
      <c r="C1" s="1091" t="s">
        <v>11012</v>
      </c>
      <c r="D1" s="1091" t="s">
        <v>960</v>
      </c>
      <c r="E1" s="1091" t="s">
        <v>11013</v>
      </c>
      <c r="F1" s="1092"/>
      <c r="G1" s="1091" t="s">
        <v>3</v>
      </c>
      <c r="H1" s="1091" t="s">
        <v>11014</v>
      </c>
      <c r="I1" s="1091" t="s">
        <v>11024</v>
      </c>
      <c r="J1" s="1093" t="s">
        <v>11067</v>
      </c>
      <c r="K1" s="1093" t="s">
        <v>11135</v>
      </c>
      <c r="L1" s="1093" t="s">
        <v>11665</v>
      </c>
      <c r="M1" s="1094" t="s">
        <v>11136</v>
      </c>
    </row>
    <row r="2" spans="1:16" x14ac:dyDescent="0.25">
      <c r="A2" s="1089" t="s">
        <v>10342</v>
      </c>
      <c r="B2" s="1133" t="s">
        <v>11015</v>
      </c>
      <c r="C2" s="1047">
        <v>47002950</v>
      </c>
      <c r="D2" s="1047">
        <f>C2*5%</f>
        <v>2350147.5</v>
      </c>
      <c r="E2" s="1047">
        <f>C2-D2</f>
        <v>44652802.5</v>
      </c>
      <c r="F2" s="1063"/>
      <c r="G2" s="1085">
        <f ca="1">SUMIF(Posting!$B:$E,A2,Posting!$E:$E)</f>
        <v>14845913.333333334</v>
      </c>
      <c r="H2" s="1086">
        <f ca="1">SUMIF(Posting!$B:$F,A2,Posting!$F:$F)</f>
        <v>25920080</v>
      </c>
      <c r="I2" s="1085">
        <f ca="1">SUMIF(Supplier!$B:$F,A2,Supplier!$E:$E)-SUMIF(Supplier!$B:$F,A2,Supplier!$F:$F)</f>
        <v>3804418</v>
      </c>
      <c r="J2" s="1085">
        <v>30787947.325000003</v>
      </c>
      <c r="K2" s="1085"/>
      <c r="L2" s="1085"/>
      <c r="M2" s="1086">
        <f ca="1">J2+K2-H2-L2</f>
        <v>4867867.325000003</v>
      </c>
    </row>
    <row r="3" spans="1:16" x14ac:dyDescent="0.25">
      <c r="A3" s="956" t="s">
        <v>10254</v>
      </c>
      <c r="B3" s="1133"/>
      <c r="C3" s="1040">
        <v>9767572.5</v>
      </c>
      <c r="D3" s="1040">
        <v>0</v>
      </c>
      <c r="E3" s="1040">
        <f t="shared" ref="E3:E43" si="0">C3-D3</f>
        <v>9767572.5</v>
      </c>
      <c r="F3" s="1059"/>
      <c r="G3" s="1041">
        <f ca="1">SUMIF(Posting!$B:$E,A3,Posting!$E:$E)</f>
        <v>6503079</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10133</v>
      </c>
      <c r="B4" s="1133"/>
      <c r="C4" s="1040">
        <v>8741941</v>
      </c>
      <c r="D4" s="1040"/>
      <c r="E4" s="1040">
        <f t="shared" si="0"/>
        <v>8741941</v>
      </c>
      <c r="F4" s="1060"/>
      <c r="G4" s="1041">
        <f ca="1">SUMIF(Posting!$B:$E,A4,Posting!$E:$E)</f>
        <v>6410483.5</v>
      </c>
      <c r="H4" s="1041">
        <f ca="1">SUMIF(Posting!$B:$F,A4,Posting!$F:$F)</f>
        <v>3520000</v>
      </c>
      <c r="I4" s="1041">
        <f ca="1">SUMIF(Supplier!$B:$F,A4,Supplier!$E:$E)-SUMIF(Supplier!$B:$F,A4,Supplier!$F:$F)</f>
        <v>847593</v>
      </c>
      <c r="J4" s="1041">
        <v>9700603.1750000007</v>
      </c>
      <c r="K4" s="1041">
        <v>5557700</v>
      </c>
      <c r="L4" s="1041"/>
      <c r="M4" s="1041">
        <f ca="1">J4+K4-H4</f>
        <v>11738303.175000001</v>
      </c>
    </row>
    <row r="5" spans="1:16" x14ac:dyDescent="0.25">
      <c r="A5" s="1042" t="s">
        <v>11068</v>
      </c>
      <c r="B5" s="1133"/>
      <c r="C5" s="1043">
        <v>6335567.4188222345</v>
      </c>
      <c r="D5" s="1043">
        <f>C5*9.15%</f>
        <v>579704.4188222345</v>
      </c>
      <c r="E5" s="1040">
        <f t="shared" si="0"/>
        <v>5755863</v>
      </c>
      <c r="F5" s="1061"/>
      <c r="G5" s="1041">
        <f ca="1">SUMIF(Posting!$B:$E,A5,Posting!$E:$E)</f>
        <v>3756648.4623655914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33"/>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33"/>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34"/>
      <c r="C8" s="1044">
        <v>78840000</v>
      </c>
      <c r="D8" s="1044">
        <v>11384496</v>
      </c>
      <c r="E8" s="1044">
        <f t="shared" si="0"/>
        <v>67455504</v>
      </c>
      <c r="F8" s="1062"/>
      <c r="G8" s="1041">
        <f ca="1">SUMIF(Posting!$B:$E,A8,Posting!$E:$E)</f>
        <v>18966255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35" t="s">
        <v>11016</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33"/>
      <c r="C11" s="1040">
        <v>2954733</v>
      </c>
      <c r="D11" s="1040"/>
      <c r="E11" s="1040">
        <f t="shared" si="0"/>
        <v>2954733</v>
      </c>
      <c r="F11" s="1060"/>
      <c r="G11" s="1041">
        <f ca="1">SUMIF(Posting!$B:$E,A11,Posting!$E:$E)</f>
        <v>2078832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33"/>
      <c r="C12" s="1040"/>
      <c r="D12" s="1040"/>
      <c r="E12" s="1040"/>
      <c r="F12" s="1060"/>
      <c r="G12" s="1041">
        <f ca="1">SUMIF(Posting!$B:$E,A12,Posting!$E:$E)</f>
        <v>4599493</v>
      </c>
      <c r="H12" s="1041">
        <f ca="1">SUMIF(Posting!$B:$F,A12,Posting!$F:$F)</f>
        <v>2874349</v>
      </c>
      <c r="I12" s="1041">
        <f ca="1">SUMIF(Supplier!$B:$F,A12,Supplier!$E:$E)-SUMIF(Supplier!$B:$F,A12,Supplier!$F:$F)</f>
        <v>0</v>
      </c>
      <c r="J12" s="1041">
        <v>5746832</v>
      </c>
      <c r="K12" s="1041"/>
      <c r="L12" s="1085"/>
      <c r="M12" s="1054">
        <f ca="1">J12-H12</f>
        <v>2872483</v>
      </c>
      <c r="N12" s="1064"/>
    </row>
    <row r="13" spans="1:16" s="4" customFormat="1" x14ac:dyDescent="0.3">
      <c r="A13" s="956" t="s">
        <v>10490</v>
      </c>
      <c r="B13" s="1133"/>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11740</v>
      </c>
      <c r="B14" s="1133"/>
      <c r="C14" s="1040"/>
      <c r="D14" s="1040"/>
      <c r="E14" s="1040"/>
      <c r="F14" s="1060"/>
      <c r="G14" s="1041">
        <f ca="1">SUMIF(Posting!$B:$E,A14,Posting!$E:$E)</f>
        <v>798786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11193</v>
      </c>
      <c r="B15" s="1133"/>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33"/>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11625</v>
      </c>
      <c r="B17" s="1133"/>
      <c r="C17" s="1040"/>
      <c r="D17" s="1040"/>
      <c r="E17" s="1040"/>
      <c r="F17" s="1060"/>
      <c r="G17" s="1041">
        <f ca="1">SUMIF(Posting!$B:$E,A17,Posting!$E:$E)</f>
        <v>38020</v>
      </c>
      <c r="H17" s="1041">
        <f ca="1">SUMIF(Posting!$B:$F,A17,Posting!$F:$F)</f>
        <v>0</v>
      </c>
      <c r="I17" s="1041">
        <f ca="1">SUMIF(Supplier!$B:$F,A17,Supplier!$E:$E)-SUMIF(Supplier!$B:$F,A17,Supplier!$F:$F)</f>
        <v>173680</v>
      </c>
      <c r="J17" s="1041">
        <f>[2]HVAC!$H$29</f>
        <v>604761.59999999998</v>
      </c>
      <c r="K17" s="1041"/>
      <c r="L17" s="1085"/>
      <c r="M17" s="1054">
        <f ca="1">IF(J17&gt;H17,J17+K17-H17,"Bill will be submitted")</f>
        <v>604761.59999999998</v>
      </c>
    </row>
    <row r="18" spans="1:13" s="4" customFormat="1" ht="19.5" thickBot="1" x14ac:dyDescent="0.35">
      <c r="A18" s="956" t="s">
        <v>11122</v>
      </c>
      <c r="B18" s="1133"/>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11025</v>
      </c>
      <c r="B19" s="1133"/>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11666</v>
      </c>
    </row>
    <row r="20" spans="1:13" s="4" customFormat="1" ht="19.5" thickBot="1" x14ac:dyDescent="0.35">
      <c r="A20" s="955" t="s">
        <v>9877</v>
      </c>
      <c r="B20" s="1134"/>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11666</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36" t="s">
        <v>11017</v>
      </c>
      <c r="C22" s="1038">
        <v>28340413.5</v>
      </c>
      <c r="D22" s="1038"/>
      <c r="E22" s="1038">
        <f t="shared" si="0"/>
        <v>28340413.5</v>
      </c>
      <c r="F22" s="1058"/>
      <c r="G22" s="1041">
        <f ca="1">SUMIF(Posting!$B:$E,A22,Posting!$E:$E)</f>
        <v>22311005.833333332</v>
      </c>
      <c r="H22" s="1039">
        <f ca="1">SUMIF(Posting!$B:$F,A22,Posting!$F:$F)</f>
        <v>19140130</v>
      </c>
      <c r="I22" s="1041">
        <f ca="1">SUMIF(Supplier!$B:$F,A22,Supplier!$E:$E)-SUMIF(Supplier!$B:$F,A22,Supplier!$F:$F)</f>
        <v>667559</v>
      </c>
      <c r="J22" s="1041">
        <v>25423994.165999997</v>
      </c>
      <c r="K22" s="1041">
        <v>5940507.6512000002</v>
      </c>
      <c r="L22" s="1085"/>
      <c r="M22" s="1041">
        <f ca="1">J22+K22-H22-L22</f>
        <v>12224371.817199998</v>
      </c>
    </row>
    <row r="23" spans="1:13" s="4" customFormat="1" ht="19.5" thickBot="1" x14ac:dyDescent="0.35">
      <c r="A23" s="1116" t="s">
        <v>11841</v>
      </c>
      <c r="B23" s="1133"/>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11022</v>
      </c>
      <c r="B24" s="1137"/>
      <c r="C24" s="1044">
        <v>33854640.027999997</v>
      </c>
      <c r="D24" s="1044"/>
      <c r="E24" s="1044">
        <f t="shared" si="0"/>
        <v>33854640.027999997</v>
      </c>
      <c r="F24" s="1062"/>
      <c r="G24" s="1041">
        <f ca="1">SUMIF(Posting!$B:$E,A24,Posting!$E:$E)</f>
        <v>14656406.333333334</v>
      </c>
      <c r="H24" s="1045">
        <f ca="1">SUMIF(Posting!$B:$F,A24,Posting!$F:$F)</f>
        <v>22195073</v>
      </c>
      <c r="I24" s="1041">
        <f ca="1">SUMIF(Supplier!$B:$F,A24,Supplier!$E:$E)-SUMIF(Supplier!$B:$F,A24,Supplier!$F:$F)</f>
        <v>2665962</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11018</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10688</v>
      </c>
      <c r="B29" s="1040" t="s">
        <v>11019</v>
      </c>
      <c r="C29" s="1040">
        <v>55163506</v>
      </c>
      <c r="D29" s="1040"/>
      <c r="E29" s="1040">
        <f t="shared" si="0"/>
        <v>55163506</v>
      </c>
      <c r="F29" s="1060"/>
      <c r="G29" s="1041">
        <f ca="1">SUMIF(Posting!$B:$E,A29,Posting!$E:$E)</f>
        <v>27874387.333333336</v>
      </c>
      <c r="H29" s="1041">
        <f ca="1">SUMIF(Posting!$B:$F,A29,Posting!$F:$F)</f>
        <v>35032291</v>
      </c>
      <c r="I29" s="1041">
        <f ca="1">SUMIF(Supplier!$B:$F,A29,Supplier!$E:$E)-SUMIF(Supplier!$B:$F,A29,Supplier!$F:$F)</f>
        <v>4565819</v>
      </c>
      <c r="J29" s="1041"/>
      <c r="K29" s="1041"/>
      <c r="L29" s="1041"/>
      <c r="M29" s="1041"/>
    </row>
    <row r="30" spans="1:13" s="4" customFormat="1" ht="19.5" thickBot="1" x14ac:dyDescent="0.35">
      <c r="A30" s="1049" t="s">
        <v>8032</v>
      </c>
      <c r="B30" s="1044" t="s">
        <v>11020</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12025</v>
      </c>
      <c r="B32" s="1138" t="s">
        <v>11021</v>
      </c>
      <c r="C32" s="1040"/>
      <c r="D32" s="1040"/>
      <c r="E32" s="1040"/>
      <c r="F32" s="1060"/>
      <c r="G32" s="1041">
        <f ca="1">SUMIF(Posting!$B:$E,A32,Posting!$E:$E)</f>
        <v>4129100</v>
      </c>
      <c r="H32" s="1045">
        <f ca="1">SUMIF(Posting!$B:$F,A32,Posting!$F:$F)</f>
        <v>0</v>
      </c>
      <c r="I32" s="1041">
        <f ca="1">SUMIF(Supplier!$B:$F,A32,Supplier!$E:$E)-SUMIF(Supplier!$B:$F,A32,Supplier!$F:$F)</f>
        <v>-156440</v>
      </c>
      <c r="J32" s="1041"/>
      <c r="K32" s="1041"/>
      <c r="L32" s="1041"/>
      <c r="M32" s="1041"/>
    </row>
    <row r="33" spans="1:201" s="4" customFormat="1" x14ac:dyDescent="0.3">
      <c r="A33" s="1124" t="s">
        <v>9769</v>
      </c>
      <c r="B33" s="1138"/>
      <c r="C33" s="1040">
        <v>19265070</v>
      </c>
      <c r="D33" s="1040"/>
      <c r="E33" s="1040">
        <f t="shared" si="0"/>
        <v>19265070</v>
      </c>
      <c r="F33" s="1060"/>
      <c r="G33" s="1041">
        <f ca="1">SUMIF(Posting!$B:$E,A33,Posting!$E:$E)</f>
        <v>4704328.9032258065</v>
      </c>
      <c r="H33" s="1041">
        <f ca="1">SUMIF(Posting!$B:$F,A33,Posting!$F:$F)</f>
        <v>13221233</v>
      </c>
      <c r="I33" s="1041">
        <f ca="1">SUMIF(Supplier!$B:$F,A33,Supplier!$E:$E)-SUMIF(Supplier!$B:$F,A33,Supplier!$F:$F)</f>
        <v>180880</v>
      </c>
      <c r="J33" s="1041">
        <v>12816794.375</v>
      </c>
      <c r="K33" s="1041">
        <v>594057.625</v>
      </c>
      <c r="L33" s="1041"/>
      <c r="M33" s="1041">
        <f t="shared" ref="M33:M40" ca="1" si="2">J33+K33-H33-L33</f>
        <v>189619</v>
      </c>
    </row>
    <row r="34" spans="1:201" s="1048" customFormat="1" x14ac:dyDescent="0.3">
      <c r="A34" s="1124" t="s">
        <v>10449</v>
      </c>
      <c r="B34" s="1138"/>
      <c r="C34" s="1040"/>
      <c r="D34" s="1040"/>
      <c r="E34" s="1040">
        <f t="shared" si="0"/>
        <v>0</v>
      </c>
      <c r="F34" s="1060"/>
      <c r="G34" s="1041">
        <f ca="1">SUMIF(Posting!$B:$E,A34,Posting!$E:$E)</f>
        <v>4344152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11568</v>
      </c>
      <c r="B35" s="1138"/>
      <c r="C35" s="1040"/>
      <c r="D35" s="1040"/>
      <c r="E35" s="1040"/>
      <c r="F35" s="1060"/>
      <c r="G35" s="1041">
        <f ca="1">SUMIF(Posting!$B:$E,A35,Posting!$E:$E)</f>
        <v>2626214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38"/>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-46530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38"/>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38"/>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38"/>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38"/>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38"/>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11391</v>
      </c>
      <c r="B42" s="1138"/>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38"/>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12030612</v>
      </c>
      <c r="J44" s="322">
        <f>SUM(J2:J43)</f>
        <v>209310654.28528497</v>
      </c>
      <c r="K44" s="322"/>
      <c r="L44" s="322"/>
      <c r="M44" s="322">
        <f ca="1">SUM(M2:M43)</f>
        <v>70914122.310935006</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5"/>
  <sheetViews>
    <sheetView zoomScale="120" zoomScaleNormal="120" workbookViewId="0">
      <pane ySplit="1" topLeftCell="A4044" activePane="bottomLeft" state="frozen"/>
      <selection pane="bottomLeft" activeCell="G4066" sqref="G406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95" t="s">
        <v>521</v>
      </c>
    </row>
    <row r="67" spans="1:8" x14ac:dyDescent="0.25">
      <c r="A67" s="17">
        <v>42426</v>
      </c>
      <c r="B67" s="21" t="s">
        <v>129</v>
      </c>
      <c r="C67" s="13" t="s">
        <v>161</v>
      </c>
      <c r="D67" s="782"/>
      <c r="E67" s="22"/>
      <c r="F67" s="19">
        <v>60000</v>
      </c>
      <c r="G67" s="14">
        <f t="shared" si="4"/>
        <v>-60000</v>
      </c>
      <c r="H67" s="1195"/>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55" t="s">
        <v>520</v>
      </c>
    </row>
    <row r="93" spans="1:8" x14ac:dyDescent="0.25">
      <c r="A93" s="17">
        <v>42430</v>
      </c>
      <c r="B93" s="21" t="s">
        <v>40</v>
      </c>
      <c r="C93" s="13" t="s">
        <v>164</v>
      </c>
      <c r="D93" s="782">
        <v>8707</v>
      </c>
      <c r="E93" s="22">
        <v>9826</v>
      </c>
      <c r="F93" s="19"/>
      <c r="G93" s="14">
        <f t="shared" si="6"/>
        <v>9826</v>
      </c>
      <c r="H93" s="1205"/>
    </row>
    <row r="94" spans="1:8" x14ac:dyDescent="0.25">
      <c r="A94" s="17">
        <v>42432</v>
      </c>
      <c r="B94" s="21" t="s">
        <v>130</v>
      </c>
      <c r="C94" s="13" t="s">
        <v>164</v>
      </c>
      <c r="D94" s="782">
        <v>8822</v>
      </c>
      <c r="E94" s="22">
        <v>10294</v>
      </c>
      <c r="F94" s="19"/>
      <c r="G94" s="14">
        <f t="shared" si="6"/>
        <v>10294</v>
      </c>
      <c r="H94" s="1205"/>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06" t="s">
        <v>1813</v>
      </c>
    </row>
    <row r="419" spans="1:8" x14ac:dyDescent="0.25">
      <c r="A419" s="17">
        <v>42706</v>
      </c>
      <c r="B419" s="10" t="s">
        <v>1222</v>
      </c>
      <c r="C419" s="11" t="s">
        <v>168</v>
      </c>
      <c r="F419" s="9">
        <v>227869</v>
      </c>
      <c r="G419" s="6">
        <f t="shared" si="10"/>
        <v>-227869</v>
      </c>
      <c r="H419" s="1207"/>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08" t="s">
        <v>1839</v>
      </c>
    </row>
    <row r="439" spans="1:8" x14ac:dyDescent="0.25">
      <c r="A439" s="17">
        <v>42719</v>
      </c>
      <c r="B439" s="10" t="s">
        <v>1072</v>
      </c>
      <c r="C439" s="11" t="s">
        <v>168</v>
      </c>
      <c r="F439" s="9">
        <v>22800</v>
      </c>
      <c r="G439" s="6">
        <f t="shared" si="11"/>
        <v>-22800</v>
      </c>
      <c r="H439" s="1208"/>
    </row>
    <row r="440" spans="1:8" x14ac:dyDescent="0.25">
      <c r="A440" s="17">
        <v>42719</v>
      </c>
      <c r="B440" s="10" t="s">
        <v>1406</v>
      </c>
      <c r="C440" s="11" t="s">
        <v>168</v>
      </c>
      <c r="F440" s="9">
        <v>55320</v>
      </c>
      <c r="G440" s="6">
        <f t="shared" si="11"/>
        <v>-55320</v>
      </c>
      <c r="H440" s="1208"/>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06" t="s">
        <v>2209</v>
      </c>
    </row>
    <row r="571" spans="1:8" x14ac:dyDescent="0.25">
      <c r="A571" s="17">
        <v>42740</v>
      </c>
      <c r="B571" s="10" t="s">
        <v>1407</v>
      </c>
      <c r="C571" s="11" t="s">
        <v>1816</v>
      </c>
      <c r="F571" s="9">
        <v>433634</v>
      </c>
      <c r="G571" s="6">
        <f t="shared" si="11"/>
        <v>-433634</v>
      </c>
      <c r="H571" s="1209"/>
    </row>
    <row r="572" spans="1:8" x14ac:dyDescent="0.25">
      <c r="A572" s="17">
        <v>42740</v>
      </c>
      <c r="B572" s="10" t="s">
        <v>1688</v>
      </c>
      <c r="C572" s="11" t="s">
        <v>1816</v>
      </c>
      <c r="F572" s="9">
        <v>32908</v>
      </c>
      <c r="G572" s="6">
        <f t="shared" si="11"/>
        <v>-32908</v>
      </c>
      <c r="H572" s="1209"/>
    </row>
    <row r="573" spans="1:8" x14ac:dyDescent="0.25">
      <c r="A573" s="17">
        <v>42740</v>
      </c>
      <c r="B573" s="10" t="s">
        <v>32</v>
      </c>
      <c r="C573" s="11" t="s">
        <v>1816</v>
      </c>
      <c r="F573" s="9">
        <v>30468</v>
      </c>
      <c r="G573" s="6">
        <f t="shared" si="11"/>
        <v>-30468</v>
      </c>
      <c r="H573" s="1207"/>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06" t="s">
        <v>2210</v>
      </c>
    </row>
    <row r="589" spans="1:8" x14ac:dyDescent="0.25">
      <c r="A589" s="17">
        <v>42804</v>
      </c>
      <c r="B589" s="10" t="s">
        <v>1404</v>
      </c>
      <c r="C589" s="11" t="s">
        <v>1816</v>
      </c>
      <c r="F589" s="9">
        <v>100000</v>
      </c>
      <c r="G589" s="6">
        <f t="shared" si="11"/>
        <v>-100000</v>
      </c>
      <c r="H589" s="1209"/>
    </row>
    <row r="590" spans="1:8" x14ac:dyDescent="0.25">
      <c r="A590" s="17">
        <v>42804</v>
      </c>
      <c r="B590" s="10" t="s">
        <v>32</v>
      </c>
      <c r="C590" s="11" t="s">
        <v>1816</v>
      </c>
      <c r="F590" s="9">
        <v>100000</v>
      </c>
      <c r="G590" s="6">
        <f t="shared" si="11"/>
        <v>-100000</v>
      </c>
      <c r="H590" s="1207"/>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12" t="s">
        <v>2997</v>
      </c>
    </row>
    <row r="618" spans="1:8" x14ac:dyDescent="0.25">
      <c r="A618" s="17">
        <v>42661</v>
      </c>
      <c r="B618" s="10" t="s">
        <v>774</v>
      </c>
      <c r="C618" s="11" t="s">
        <v>2281</v>
      </c>
      <c r="F618" s="9">
        <v>61500</v>
      </c>
      <c r="G618" s="6">
        <f t="shared" si="16"/>
        <v>-61500</v>
      </c>
      <c r="H618" s="1213"/>
    </row>
    <row r="619" spans="1:8" x14ac:dyDescent="0.25">
      <c r="A619" s="17">
        <v>42661</v>
      </c>
      <c r="B619" s="10" t="s">
        <v>1222</v>
      </c>
      <c r="C619" s="11" t="s">
        <v>2281</v>
      </c>
      <c r="F619" s="9">
        <v>90355</v>
      </c>
      <c r="G619" s="6">
        <f t="shared" si="16"/>
        <v>-90355</v>
      </c>
      <c r="H619" s="1213"/>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10" t="s">
        <v>2994</v>
      </c>
    </row>
    <row r="630" spans="1:8" x14ac:dyDescent="0.25">
      <c r="A630" s="17">
        <v>42721</v>
      </c>
      <c r="B630" s="10" t="s">
        <v>969</v>
      </c>
      <c r="C630" s="11" t="s">
        <v>2281</v>
      </c>
      <c r="F630" s="9">
        <v>100000</v>
      </c>
      <c r="G630" s="6">
        <f t="shared" si="16"/>
        <v>-100000</v>
      </c>
      <c r="H630" s="1211"/>
    </row>
    <row r="631" spans="1:8" x14ac:dyDescent="0.25">
      <c r="A631" s="17">
        <v>42721</v>
      </c>
      <c r="B631" s="10" t="s">
        <v>1222</v>
      </c>
      <c r="C631" s="11" t="s">
        <v>2281</v>
      </c>
      <c r="F631" s="9">
        <v>50000</v>
      </c>
      <c r="G631" s="6">
        <f t="shared" si="16"/>
        <v>-50000</v>
      </c>
      <c r="H631" s="1211"/>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06" t="s">
        <v>2996</v>
      </c>
    </row>
    <row r="681" spans="1:8" x14ac:dyDescent="0.25">
      <c r="A681" s="17">
        <v>42836</v>
      </c>
      <c r="B681" s="10" t="s">
        <v>1222</v>
      </c>
      <c r="C681" s="11" t="s">
        <v>2281</v>
      </c>
      <c r="F681" s="9">
        <v>51000</v>
      </c>
      <c r="G681" s="6">
        <f t="shared" si="18"/>
        <v>-51000</v>
      </c>
      <c r="H681" s="1207"/>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06" t="s">
        <v>2430</v>
      </c>
    </row>
    <row r="723" spans="1:8" x14ac:dyDescent="0.25">
      <c r="A723" s="17">
        <v>42875</v>
      </c>
      <c r="B723" s="10" t="s">
        <v>1404</v>
      </c>
      <c r="C723" s="11" t="s">
        <v>161</v>
      </c>
      <c r="F723" s="9">
        <v>99093</v>
      </c>
      <c r="G723" s="6">
        <f t="shared" si="18"/>
        <v>-99093</v>
      </c>
      <c r="H723" s="1207"/>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06" t="s">
        <v>2438</v>
      </c>
    </row>
    <row r="741" spans="1:8" x14ac:dyDescent="0.25">
      <c r="A741" s="17">
        <v>42880</v>
      </c>
      <c r="B741" s="155" t="s">
        <v>32</v>
      </c>
      <c r="C741" s="156" t="s">
        <v>1816</v>
      </c>
      <c r="D741" s="788"/>
      <c r="E741" s="157"/>
      <c r="F741" s="158">
        <v>100000</v>
      </c>
      <c r="G741" s="159">
        <f t="shared" si="18"/>
        <v>-100000</v>
      </c>
      <c r="H741" s="1207"/>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14" t="s">
        <v>3009</v>
      </c>
    </row>
    <row r="964" spans="1:8" x14ac:dyDescent="0.25">
      <c r="A964" s="17">
        <v>43081</v>
      </c>
      <c r="B964" s="10" t="s">
        <v>2810</v>
      </c>
      <c r="C964" s="11" t="s">
        <v>166</v>
      </c>
      <c r="F964" s="9">
        <v>183600</v>
      </c>
      <c r="G964" s="6">
        <f t="shared" si="22"/>
        <v>-183600</v>
      </c>
      <c r="H964" s="1215"/>
    </row>
    <row r="965" spans="1:8" x14ac:dyDescent="0.25">
      <c r="A965" s="17">
        <v>43081</v>
      </c>
      <c r="B965" s="10" t="s">
        <v>40</v>
      </c>
      <c r="C965" s="11" t="s">
        <v>166</v>
      </c>
      <c r="F965" s="9">
        <v>69900</v>
      </c>
      <c r="G965" s="6">
        <f t="shared" si="22"/>
        <v>-69900</v>
      </c>
      <c r="H965" s="1215"/>
    </row>
    <row r="966" spans="1:8" x14ac:dyDescent="0.25">
      <c r="A966" s="17">
        <v>43081</v>
      </c>
      <c r="B966" s="10" t="s">
        <v>1407</v>
      </c>
      <c r="C966" s="11" t="s">
        <v>166</v>
      </c>
      <c r="F966" s="9">
        <v>84000</v>
      </c>
      <c r="G966" s="6">
        <f t="shared" si="22"/>
        <v>-84000</v>
      </c>
      <c r="H966" s="1215"/>
    </row>
    <row r="967" spans="1:8" x14ac:dyDescent="0.25">
      <c r="A967" s="17">
        <v>43081</v>
      </c>
      <c r="B967" s="10" t="s">
        <v>2243</v>
      </c>
      <c r="C967" s="11" t="s">
        <v>166</v>
      </c>
      <c r="F967" s="9">
        <v>35709</v>
      </c>
      <c r="G967" s="6">
        <f t="shared" si="22"/>
        <v>-35709</v>
      </c>
      <c r="H967" s="1215"/>
    </row>
    <row r="968" spans="1:8" x14ac:dyDescent="0.25">
      <c r="A968" s="17">
        <v>43081</v>
      </c>
      <c r="B968" s="10" t="s">
        <v>1404</v>
      </c>
      <c r="C968" s="11" t="s">
        <v>166</v>
      </c>
      <c r="F968" s="9">
        <v>3823</v>
      </c>
      <c r="G968" s="6">
        <f t="shared" si="22"/>
        <v>-3823</v>
      </c>
      <c r="H968" s="1216"/>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17" t="s">
        <v>3080</v>
      </c>
    </row>
    <row r="981" spans="1:8" x14ac:dyDescent="0.25">
      <c r="A981" s="17">
        <v>43122</v>
      </c>
      <c r="B981" s="10" t="s">
        <v>2810</v>
      </c>
      <c r="C981" s="11" t="s">
        <v>166</v>
      </c>
      <c r="F981" s="9">
        <f>500000-F980</f>
        <v>443523</v>
      </c>
      <c r="G981" s="6">
        <f t="shared" si="22"/>
        <v>-443523</v>
      </c>
      <c r="H981" s="1218"/>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25" t="s">
        <v>6737</v>
      </c>
    </row>
    <row r="2192" spans="1:8" x14ac:dyDescent="0.25">
      <c r="A2192" s="116">
        <v>44261</v>
      </c>
      <c r="B2192" s="10" t="s">
        <v>1407</v>
      </c>
      <c r="C2192" s="11" t="s">
        <v>166</v>
      </c>
      <c r="F2192" s="9">
        <v>50000</v>
      </c>
      <c r="G2192" s="6">
        <f t="shared" ref="G2192" si="35">E2192-F2192</f>
        <v>-50000</v>
      </c>
      <c r="H2192" s="1225"/>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26" t="s">
        <v>7035</v>
      </c>
    </row>
    <row r="2289" spans="1:8" ht="24" customHeight="1" x14ac:dyDescent="0.25">
      <c r="A2289" s="116">
        <v>44288</v>
      </c>
      <c r="B2289" s="10" t="s">
        <v>6463</v>
      </c>
      <c r="C2289" s="11" t="s">
        <v>440</v>
      </c>
      <c r="F2289" s="9">
        <v>7970</v>
      </c>
      <c r="G2289" s="6">
        <f t="shared" si="37"/>
        <v>-7970</v>
      </c>
      <c r="H2289" s="1226"/>
    </row>
    <row r="2290" spans="1:8" ht="24" customHeight="1" x14ac:dyDescent="0.25">
      <c r="A2290" s="116">
        <v>44288</v>
      </c>
      <c r="B2290" s="10" t="s">
        <v>1407</v>
      </c>
      <c r="C2290" s="11" t="s">
        <v>440</v>
      </c>
      <c r="F2290" s="9">
        <v>21500</v>
      </c>
      <c r="G2290" s="6">
        <f t="shared" si="37"/>
        <v>-21500</v>
      </c>
      <c r="H2290" s="1226"/>
    </row>
    <row r="2291" spans="1:8" ht="24" customHeight="1" x14ac:dyDescent="0.25">
      <c r="A2291" s="116">
        <v>44288</v>
      </c>
      <c r="B2291" s="10" t="s">
        <v>6463</v>
      </c>
      <c r="C2291" s="11" t="s">
        <v>440</v>
      </c>
      <c r="F2291" s="9">
        <v>2900</v>
      </c>
      <c r="G2291" s="6">
        <f t="shared" si="37"/>
        <v>-2900</v>
      </c>
      <c r="H2291" s="1226"/>
    </row>
    <row r="2292" spans="1:8" ht="24" customHeight="1" x14ac:dyDescent="0.25">
      <c r="A2292" s="116">
        <v>44280</v>
      </c>
      <c r="B2292" s="10" t="s">
        <v>1407</v>
      </c>
      <c r="C2292" s="11" t="s">
        <v>440</v>
      </c>
      <c r="F2292" s="9">
        <v>24225</v>
      </c>
      <c r="G2292" s="6">
        <f t="shared" si="37"/>
        <v>-24225</v>
      </c>
      <c r="H2292" s="1226"/>
    </row>
    <row r="2293" spans="1:8" ht="24" customHeight="1" x14ac:dyDescent="0.25">
      <c r="A2293" s="116">
        <v>44331</v>
      </c>
      <c r="B2293" s="10" t="s">
        <v>6463</v>
      </c>
      <c r="C2293" s="11" t="s">
        <v>440</v>
      </c>
      <c r="F2293" s="9">
        <v>54720</v>
      </c>
      <c r="G2293" s="6">
        <f t="shared" si="37"/>
        <v>-54720</v>
      </c>
      <c r="H2293" s="1226"/>
    </row>
    <row r="2294" spans="1:8" ht="24" customHeight="1" x14ac:dyDescent="0.25">
      <c r="A2294" s="116">
        <v>44341</v>
      </c>
      <c r="B2294" s="10" t="s">
        <v>6568</v>
      </c>
      <c r="C2294" s="11" t="s">
        <v>440</v>
      </c>
      <c r="F2294" s="9">
        <v>22415</v>
      </c>
      <c r="G2294" s="6">
        <f t="shared" si="37"/>
        <v>-22415</v>
      </c>
      <c r="H2294" s="1226"/>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93" t="s">
        <v>6970</v>
      </c>
    </row>
    <row r="2299" spans="1:8" x14ac:dyDescent="0.25">
      <c r="A2299" s="116">
        <v>44291</v>
      </c>
      <c r="B2299" s="10" t="s">
        <v>6575</v>
      </c>
      <c r="C2299" s="11" t="s">
        <v>1816</v>
      </c>
      <c r="E2299" s="112"/>
      <c r="F2299" s="114">
        <v>82220</v>
      </c>
      <c r="G2299" s="6">
        <f t="shared" si="37"/>
        <v>-82220</v>
      </c>
      <c r="H2299" s="1219"/>
    </row>
    <row r="2300" spans="1:8" x14ac:dyDescent="0.25">
      <c r="A2300" s="116">
        <v>44291</v>
      </c>
      <c r="B2300" s="10" t="s">
        <v>6568</v>
      </c>
      <c r="C2300" s="11" t="s">
        <v>1816</v>
      </c>
      <c r="E2300" s="112"/>
      <c r="F2300" s="114">
        <f>16101+25620</f>
        <v>41721</v>
      </c>
      <c r="G2300" s="6">
        <f t="shared" si="37"/>
        <v>-41721</v>
      </c>
      <c r="H2300" s="1219"/>
    </row>
    <row r="2301" spans="1:8" x14ac:dyDescent="0.25">
      <c r="A2301" s="116">
        <v>44291</v>
      </c>
      <c r="B2301" s="10" t="s">
        <v>6779</v>
      </c>
      <c r="C2301" s="11" t="s">
        <v>1816</v>
      </c>
      <c r="E2301" s="112"/>
      <c r="F2301" s="115">
        <v>200000</v>
      </c>
      <c r="G2301" s="6">
        <f t="shared" si="37"/>
        <v>-200000</v>
      </c>
      <c r="H2301" s="1194"/>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39" t="s">
        <v>6965</v>
      </c>
    </row>
    <row r="2316" spans="1:8" x14ac:dyDescent="0.25">
      <c r="A2316" s="116">
        <v>44316</v>
      </c>
      <c r="B2316" s="10" t="s">
        <v>6564</v>
      </c>
      <c r="C2316" s="11" t="s">
        <v>4853</v>
      </c>
      <c r="F2316" s="9">
        <v>36751</v>
      </c>
      <c r="G2316" s="6">
        <f t="shared" si="37"/>
        <v>-36751</v>
      </c>
      <c r="H2316" s="1140"/>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39" t="s">
        <v>6968</v>
      </c>
    </row>
    <row r="2319" spans="1:8" x14ac:dyDescent="0.25">
      <c r="A2319" s="116">
        <v>44316</v>
      </c>
      <c r="B2319" s="10" t="s">
        <v>6463</v>
      </c>
      <c r="C2319" s="11" t="s">
        <v>2327</v>
      </c>
      <c r="F2319" s="9">
        <v>44000</v>
      </c>
      <c r="G2319" s="6">
        <f t="shared" si="37"/>
        <v>-44000</v>
      </c>
      <c r="H2319" s="1140"/>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22" t="s">
        <v>7204</v>
      </c>
    </row>
    <row r="2440" spans="1:8" x14ac:dyDescent="0.25">
      <c r="A2440" s="668">
        <v>44392</v>
      </c>
      <c r="B2440" s="669" t="s">
        <v>7017</v>
      </c>
      <c r="C2440" s="670" t="s">
        <v>166</v>
      </c>
      <c r="E2440" s="671"/>
      <c r="F2440" s="674">
        <v>34800</v>
      </c>
      <c r="G2440" s="673">
        <f t="shared" si="39"/>
        <v>-34800</v>
      </c>
      <c r="H2440" s="1223"/>
    </row>
    <row r="2441" spans="1:8" ht="16.5" thickBot="1" x14ac:dyDescent="0.3">
      <c r="A2441" s="668">
        <v>44392</v>
      </c>
      <c r="B2441" s="669" t="s">
        <v>1407</v>
      </c>
      <c r="C2441" s="670" t="s">
        <v>166</v>
      </c>
      <c r="E2441" s="671"/>
      <c r="F2441" s="675">
        <v>23022</v>
      </c>
      <c r="G2441" s="673">
        <f t="shared" si="39"/>
        <v>-23022</v>
      </c>
      <c r="H2441" s="1224"/>
    </row>
    <row r="2442" spans="1:8" x14ac:dyDescent="0.25">
      <c r="A2442" s="661">
        <v>44392</v>
      </c>
      <c r="B2442" s="662" t="s">
        <v>6568</v>
      </c>
      <c r="C2442" s="663" t="s">
        <v>440</v>
      </c>
      <c r="E2442" s="664"/>
      <c r="F2442" s="665">
        <f>480791-39410</f>
        <v>441381</v>
      </c>
      <c r="G2442" s="666">
        <f t="shared" si="39"/>
        <v>-441381</v>
      </c>
      <c r="H2442" s="1227" t="s">
        <v>7206</v>
      </c>
    </row>
    <row r="2443" spans="1:8" x14ac:dyDescent="0.25">
      <c r="A2443" s="661">
        <v>44392</v>
      </c>
      <c r="B2443" s="662" t="s">
        <v>7017</v>
      </c>
      <c r="C2443" s="663" t="s">
        <v>440</v>
      </c>
      <c r="E2443" s="664"/>
      <c r="F2443" s="682">
        <v>39410</v>
      </c>
      <c r="G2443" s="666">
        <f t="shared" si="39"/>
        <v>-39410</v>
      </c>
      <c r="H2443" s="1228"/>
    </row>
    <row r="2444" spans="1:8" ht="16.5" thickBot="1" x14ac:dyDescent="0.3">
      <c r="A2444" s="661">
        <v>44392</v>
      </c>
      <c r="B2444" s="662" t="s">
        <v>6463</v>
      </c>
      <c r="C2444" s="663" t="s">
        <v>440</v>
      </c>
      <c r="E2444" s="664"/>
      <c r="F2444" s="667">
        <v>40445</v>
      </c>
      <c r="G2444" s="666">
        <f t="shared" si="39"/>
        <v>-40445</v>
      </c>
      <c r="H2444" s="1229"/>
    </row>
    <row r="2445" spans="1:8" x14ac:dyDescent="0.25">
      <c r="A2445" s="668">
        <v>44392</v>
      </c>
      <c r="B2445" s="669" t="s">
        <v>7017</v>
      </c>
      <c r="C2445" s="670" t="s">
        <v>440</v>
      </c>
      <c r="E2445" s="671"/>
      <c r="F2445" s="672">
        <v>134360</v>
      </c>
      <c r="G2445" s="673">
        <f t="shared" si="39"/>
        <v>-134360</v>
      </c>
      <c r="H2445" s="1220" t="s">
        <v>7207</v>
      </c>
    </row>
    <row r="2446" spans="1:8" x14ac:dyDescent="0.25">
      <c r="A2446" s="668">
        <v>44392</v>
      </c>
      <c r="B2446" s="669" t="s">
        <v>1407</v>
      </c>
      <c r="C2446" s="670" t="s">
        <v>440</v>
      </c>
      <c r="E2446" s="671"/>
      <c r="F2446" s="674">
        <v>79000</v>
      </c>
      <c r="G2446" s="673">
        <f t="shared" si="39"/>
        <v>-79000</v>
      </c>
      <c r="H2446" s="1221"/>
    </row>
    <row r="2447" spans="1:8" x14ac:dyDescent="0.25">
      <c r="A2447" s="668">
        <v>44392</v>
      </c>
      <c r="B2447" s="669" t="s">
        <v>6463</v>
      </c>
      <c r="C2447" s="670" t="s">
        <v>440</v>
      </c>
      <c r="E2447" s="671"/>
      <c r="F2447" s="674">
        <v>35561</v>
      </c>
      <c r="G2447" s="673">
        <f t="shared" si="39"/>
        <v>-35561</v>
      </c>
      <c r="H2447" s="1221"/>
    </row>
    <row r="2448" spans="1:8" x14ac:dyDescent="0.25">
      <c r="A2448" s="668">
        <v>44392</v>
      </c>
      <c r="B2448" s="669" t="s">
        <v>3979</v>
      </c>
      <c r="C2448" s="670" t="s">
        <v>440</v>
      </c>
      <c r="E2448" s="671"/>
      <c r="F2448" s="674">
        <v>252800</v>
      </c>
      <c r="G2448" s="673">
        <f t="shared" si="39"/>
        <v>-252800</v>
      </c>
      <c r="H2448" s="1221"/>
    </row>
    <row r="2449" spans="1:8" ht="16.5" thickBot="1" x14ac:dyDescent="0.3">
      <c r="A2449" s="668">
        <v>44392</v>
      </c>
      <c r="B2449" s="669" t="s">
        <v>7132</v>
      </c>
      <c r="C2449" s="670" t="s">
        <v>440</v>
      </c>
      <c r="E2449" s="671"/>
      <c r="F2449" s="675">
        <v>209</v>
      </c>
      <c r="G2449" s="673">
        <f t="shared" si="39"/>
        <v>-209</v>
      </c>
      <c r="H2449" s="1221"/>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0" t="s">
        <v>7281</v>
      </c>
    </row>
    <row r="2482" spans="1:8" x14ac:dyDescent="0.25">
      <c r="A2482" s="116">
        <v>44413</v>
      </c>
      <c r="B2482" s="10" t="s">
        <v>1407</v>
      </c>
      <c r="C2482" s="11" t="s">
        <v>2327</v>
      </c>
      <c r="F2482" s="9">
        <v>934</v>
      </c>
      <c r="G2482" s="6">
        <f t="shared" si="40"/>
        <v>-934</v>
      </c>
      <c r="H2482" s="1181"/>
    </row>
    <row r="2483" spans="1:8" x14ac:dyDescent="0.25">
      <c r="A2483" s="116">
        <v>44413</v>
      </c>
      <c r="B2483" s="10" t="s">
        <v>7017</v>
      </c>
      <c r="C2483" s="11" t="s">
        <v>2327</v>
      </c>
      <c r="F2483" s="9">
        <v>35130</v>
      </c>
      <c r="G2483" s="6">
        <f t="shared" si="40"/>
        <v>-35130</v>
      </c>
      <c r="H2483" s="1181"/>
    </row>
    <row r="2484" spans="1:8" x14ac:dyDescent="0.25">
      <c r="A2484" s="116">
        <v>44413</v>
      </c>
      <c r="B2484" s="10" t="s">
        <v>6568</v>
      </c>
      <c r="C2484" s="11" t="s">
        <v>2327</v>
      </c>
      <c r="F2484" s="9">
        <v>105070</v>
      </c>
      <c r="G2484" s="6">
        <f t="shared" si="40"/>
        <v>-105070</v>
      </c>
      <c r="H2484" s="1182"/>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33" t="s">
        <v>7320</v>
      </c>
    </row>
    <row r="2502" spans="1:8" x14ac:dyDescent="0.25">
      <c r="A2502" s="116">
        <v>44431</v>
      </c>
      <c r="B2502" s="10" t="s">
        <v>7177</v>
      </c>
      <c r="C2502" s="11" t="s">
        <v>7309</v>
      </c>
      <c r="F2502" s="9">
        <v>50000</v>
      </c>
      <c r="G2502" s="6">
        <f t="shared" si="40"/>
        <v>-50000</v>
      </c>
      <c r="H2502" s="1233"/>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0" t="s">
        <v>7368</v>
      </c>
    </row>
    <row r="2529" spans="1:8" x14ac:dyDescent="0.25">
      <c r="A2529" s="116">
        <v>44456</v>
      </c>
      <c r="B2529" s="10" t="s">
        <v>6568</v>
      </c>
      <c r="C2529" s="11" t="s">
        <v>440</v>
      </c>
      <c r="F2529" s="9">
        <v>137800</v>
      </c>
      <c r="G2529" s="6">
        <f t="shared" si="41"/>
        <v>-137800</v>
      </c>
      <c r="H2529" s="1181"/>
    </row>
    <row r="2530" spans="1:8" x14ac:dyDescent="0.25">
      <c r="A2530" s="116">
        <v>44456</v>
      </c>
      <c r="B2530" s="10" t="s">
        <v>7132</v>
      </c>
      <c r="C2530" s="11" t="s">
        <v>440</v>
      </c>
      <c r="F2530" s="9">
        <v>29791</v>
      </c>
      <c r="G2530" s="6">
        <f t="shared" si="41"/>
        <v>-29791</v>
      </c>
      <c r="H2530" s="1181"/>
    </row>
    <row r="2531" spans="1:8" x14ac:dyDescent="0.25">
      <c r="A2531" s="116">
        <v>44456</v>
      </c>
      <c r="B2531" s="10" t="s">
        <v>6463</v>
      </c>
      <c r="C2531" s="11" t="s">
        <v>440</v>
      </c>
      <c r="F2531" s="9">
        <v>87105</v>
      </c>
      <c r="G2531" s="6">
        <f t="shared" si="41"/>
        <v>-87105</v>
      </c>
      <c r="H2531" s="1181"/>
    </row>
    <row r="2532" spans="1:8" x14ac:dyDescent="0.25">
      <c r="A2532" s="116">
        <v>44456</v>
      </c>
      <c r="B2532" s="10" t="s">
        <v>1407</v>
      </c>
      <c r="C2532" s="11" t="s">
        <v>440</v>
      </c>
      <c r="F2532" s="9">
        <v>3014</v>
      </c>
      <c r="G2532" s="6">
        <f t="shared" si="41"/>
        <v>-3014</v>
      </c>
      <c r="H2532" s="1182"/>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34" t="s">
        <v>7384</v>
      </c>
    </row>
    <row r="2549" spans="1:8" x14ac:dyDescent="0.25">
      <c r="A2549" s="116">
        <v>44460</v>
      </c>
      <c r="B2549" s="10" t="s">
        <v>7017</v>
      </c>
      <c r="C2549" s="11" t="s">
        <v>166</v>
      </c>
      <c r="F2549" s="9">
        <v>123680</v>
      </c>
      <c r="G2549" s="6">
        <f t="shared" si="41"/>
        <v>-123680</v>
      </c>
      <c r="H2549" s="1234"/>
    </row>
    <row r="2550" spans="1:8" x14ac:dyDescent="0.25">
      <c r="A2550" s="116">
        <v>44460</v>
      </c>
      <c r="B2550" s="10" t="s">
        <v>6463</v>
      </c>
      <c r="C2550" s="11" t="s">
        <v>166</v>
      </c>
      <c r="F2550" s="9">
        <v>13600</v>
      </c>
      <c r="G2550" s="6">
        <f t="shared" si="41"/>
        <v>-13600</v>
      </c>
      <c r="H2550" s="1234"/>
    </row>
    <row r="2551" spans="1:8" x14ac:dyDescent="0.25">
      <c r="A2551" s="116">
        <v>44460</v>
      </c>
      <c r="B2551" s="10" t="s">
        <v>6568</v>
      </c>
      <c r="C2551" s="11" t="s">
        <v>166</v>
      </c>
      <c r="F2551" s="9">
        <v>6755</v>
      </c>
      <c r="G2551" s="6">
        <f t="shared" si="41"/>
        <v>-6755</v>
      </c>
      <c r="H2551" s="1234"/>
    </row>
    <row r="2552" spans="1:8" x14ac:dyDescent="0.25">
      <c r="A2552" s="116">
        <v>44460</v>
      </c>
      <c r="B2552" s="10" t="s">
        <v>1407</v>
      </c>
      <c r="C2552" s="11" t="s">
        <v>166</v>
      </c>
      <c r="F2552" s="9">
        <v>9165</v>
      </c>
      <c r="G2552" s="6">
        <f t="shared" si="41"/>
        <v>-9165</v>
      </c>
      <c r="H2552" s="1234"/>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33" t="s">
        <v>7433</v>
      </c>
    </row>
    <row r="2560" spans="1:8" x14ac:dyDescent="0.25">
      <c r="A2560" s="116">
        <v>44476</v>
      </c>
      <c r="B2560" s="10" t="s">
        <v>6463</v>
      </c>
      <c r="C2560" s="670" t="s">
        <v>7309</v>
      </c>
      <c r="E2560" s="671"/>
      <c r="F2560" s="674">
        <v>2404</v>
      </c>
      <c r="G2560" s="673">
        <f t="shared" si="41"/>
        <v>-2404</v>
      </c>
      <c r="H2560" s="1233"/>
    </row>
    <row r="2561" spans="1:8" x14ac:dyDescent="0.25">
      <c r="A2561" s="116">
        <v>44476</v>
      </c>
      <c r="B2561" s="10" t="s">
        <v>7017</v>
      </c>
      <c r="C2561" s="670" t="s">
        <v>7309</v>
      </c>
      <c r="E2561" s="671"/>
      <c r="F2561" s="674">
        <v>14457</v>
      </c>
      <c r="G2561" s="673">
        <f t="shared" si="41"/>
        <v>-14457</v>
      </c>
      <c r="H2561" s="1233"/>
    </row>
    <row r="2562" spans="1:8" x14ac:dyDescent="0.25">
      <c r="A2562" s="116">
        <v>44476</v>
      </c>
      <c r="B2562" s="10" t="s">
        <v>7177</v>
      </c>
      <c r="C2562" s="670" t="s">
        <v>7309</v>
      </c>
      <c r="E2562" s="671"/>
      <c r="F2562" s="674">
        <v>3866</v>
      </c>
      <c r="G2562" s="673">
        <f t="shared" si="41"/>
        <v>-3866</v>
      </c>
      <c r="H2562" s="1233"/>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30" t="s">
        <v>7501</v>
      </c>
    </row>
    <row r="2597" spans="1:8" x14ac:dyDescent="0.25">
      <c r="A2597" s="116">
        <v>44495</v>
      </c>
      <c r="B2597" s="21" t="s">
        <v>5862</v>
      </c>
      <c r="C2597" s="759" t="s">
        <v>440</v>
      </c>
      <c r="D2597" s="782"/>
      <c r="E2597" s="760"/>
      <c r="F2597" s="761">
        <v>63000</v>
      </c>
      <c r="G2597" s="14">
        <f t="shared" si="42"/>
        <v>-63000</v>
      </c>
      <c r="H2597" s="1230"/>
    </row>
    <row r="2598" spans="1:8" x14ac:dyDescent="0.25">
      <c r="A2598" s="116">
        <v>44495</v>
      </c>
      <c r="B2598" s="21" t="s">
        <v>3979</v>
      </c>
      <c r="C2598" s="759" t="s">
        <v>440</v>
      </c>
      <c r="D2598" s="782"/>
      <c r="E2598" s="760"/>
      <c r="F2598" s="761">
        <v>161200</v>
      </c>
      <c r="G2598" s="14">
        <f t="shared" si="42"/>
        <v>-161200</v>
      </c>
      <c r="H2598" s="1230"/>
    </row>
    <row r="2599" spans="1:8" ht="15.75" customHeight="1" x14ac:dyDescent="0.25">
      <c r="A2599" s="116">
        <v>44495</v>
      </c>
      <c r="B2599" s="21" t="s">
        <v>6463</v>
      </c>
      <c r="C2599" s="731" t="s">
        <v>2327</v>
      </c>
      <c r="D2599" s="782"/>
      <c r="E2599" s="732"/>
      <c r="F2599" s="733">
        <v>8300</v>
      </c>
      <c r="G2599" s="14">
        <f t="shared" si="42"/>
        <v>-8300</v>
      </c>
      <c r="H2599" s="1230" t="s">
        <v>7501</v>
      </c>
    </row>
    <row r="2600" spans="1:8" x14ac:dyDescent="0.25">
      <c r="A2600" s="116">
        <v>44495</v>
      </c>
      <c r="B2600" s="21" t="s">
        <v>7132</v>
      </c>
      <c r="C2600" s="731" t="s">
        <v>2327</v>
      </c>
      <c r="D2600" s="782"/>
      <c r="E2600" s="732"/>
      <c r="F2600" s="733">
        <v>280400</v>
      </c>
      <c r="G2600" s="14">
        <f t="shared" si="42"/>
        <v>-280400</v>
      </c>
      <c r="H2600" s="1230"/>
    </row>
    <row r="2601" spans="1:8" x14ac:dyDescent="0.25">
      <c r="A2601" s="116">
        <v>44495</v>
      </c>
      <c r="B2601" s="21" t="s">
        <v>2957</v>
      </c>
      <c r="C2601" s="731" t="s">
        <v>2327</v>
      </c>
      <c r="D2601" s="782"/>
      <c r="E2601" s="732"/>
      <c r="F2601" s="733">
        <v>11300</v>
      </c>
      <c r="G2601" s="14">
        <f t="shared" si="42"/>
        <v>-11300</v>
      </c>
      <c r="H2601" s="1230"/>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95" t="s">
        <v>7539</v>
      </c>
    </row>
    <row r="2619" spans="1:8" x14ac:dyDescent="0.25">
      <c r="A2619" s="116">
        <v>44510</v>
      </c>
      <c r="B2619" s="21" t="s">
        <v>7177</v>
      </c>
      <c r="C2619" s="13" t="s">
        <v>7538</v>
      </c>
      <c r="D2619" s="782"/>
      <c r="E2619" s="22"/>
      <c r="F2619" s="19">
        <v>30988</v>
      </c>
      <c r="G2619" s="14">
        <f t="shared" si="42"/>
        <v>-30988</v>
      </c>
      <c r="H2619" s="1195"/>
    </row>
    <row r="2620" spans="1:8" x14ac:dyDescent="0.25">
      <c r="A2620" s="116">
        <v>44510</v>
      </c>
      <c r="B2620" s="21" t="s">
        <v>7017</v>
      </c>
      <c r="C2620" s="13" t="s">
        <v>7538</v>
      </c>
      <c r="D2620" s="782"/>
      <c r="E2620" s="22"/>
      <c r="F2620" s="19">
        <v>21999</v>
      </c>
      <c r="G2620" s="14">
        <f t="shared" si="42"/>
        <v>-21999</v>
      </c>
      <c r="H2620" s="1195"/>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30" t="s">
        <v>7594</v>
      </c>
    </row>
    <row r="2638" spans="1:8" x14ac:dyDescent="0.25">
      <c r="A2638" s="116">
        <v>44529</v>
      </c>
      <c r="B2638" s="21" t="s">
        <v>6565</v>
      </c>
      <c r="C2638" s="13" t="s">
        <v>180</v>
      </c>
      <c r="D2638" s="782"/>
      <c r="E2638" s="22"/>
      <c r="F2638" s="19">
        <v>27915</v>
      </c>
      <c r="G2638" s="14">
        <f t="shared" si="42"/>
        <v>-27915</v>
      </c>
      <c r="H2638" s="1230"/>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32" t="s">
        <v>7608</v>
      </c>
    </row>
    <row r="2641" spans="1:8" x14ac:dyDescent="0.25">
      <c r="A2641" s="116">
        <v>44532</v>
      </c>
      <c r="B2641" s="21" t="s">
        <v>6565</v>
      </c>
      <c r="C2641" s="13" t="s">
        <v>1816</v>
      </c>
      <c r="D2641" s="782"/>
      <c r="E2641" s="22"/>
      <c r="F2641" s="19">
        <v>230169</v>
      </c>
      <c r="G2641" s="14">
        <f t="shared" si="42"/>
        <v>-230169</v>
      </c>
      <c r="H2641" s="1232"/>
    </row>
    <row r="2642" spans="1:8" x14ac:dyDescent="0.25">
      <c r="A2642" s="116">
        <v>44532</v>
      </c>
      <c r="B2642" s="21" t="s">
        <v>6568</v>
      </c>
      <c r="C2642" s="13" t="s">
        <v>1816</v>
      </c>
      <c r="D2642" s="782"/>
      <c r="E2642" s="22"/>
      <c r="F2642" s="19">
        <v>136986</v>
      </c>
      <c r="G2642" s="14">
        <f t="shared" si="42"/>
        <v>-136986</v>
      </c>
      <c r="H2642" s="1232"/>
    </row>
    <row r="2643" spans="1:8" x14ac:dyDescent="0.25">
      <c r="A2643" s="116">
        <v>44532</v>
      </c>
      <c r="B2643" s="21" t="s">
        <v>6779</v>
      </c>
      <c r="C2643" s="13" t="s">
        <v>1816</v>
      </c>
      <c r="D2643" s="782"/>
      <c r="E2643" s="22"/>
      <c r="F2643" s="19">
        <v>10112</v>
      </c>
      <c r="G2643" s="14">
        <f t="shared" si="42"/>
        <v>-10112</v>
      </c>
      <c r="H2643" s="1232"/>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04" t="s">
        <v>7609</v>
      </c>
    </row>
    <row r="2647" spans="1:8" x14ac:dyDescent="0.25">
      <c r="A2647" s="116">
        <v>44534</v>
      </c>
      <c r="B2647" s="21" t="s">
        <v>2957</v>
      </c>
      <c r="C2647" s="13" t="s">
        <v>2327</v>
      </c>
      <c r="D2647" s="782"/>
      <c r="E2647" s="22"/>
      <c r="F2647" s="19">
        <v>8500</v>
      </c>
      <c r="G2647" s="14">
        <f t="shared" si="42"/>
        <v>-8500</v>
      </c>
      <c r="H2647" s="1204"/>
    </row>
    <row r="2648" spans="1:8" x14ac:dyDescent="0.25">
      <c r="A2648" s="116">
        <v>44534</v>
      </c>
      <c r="B2648" s="21" t="s">
        <v>7177</v>
      </c>
      <c r="C2648" s="13" t="s">
        <v>2327</v>
      </c>
      <c r="D2648" s="782"/>
      <c r="E2648" s="22"/>
      <c r="F2648" s="19">
        <v>49700</v>
      </c>
      <c r="G2648" s="14">
        <f t="shared" si="42"/>
        <v>-49700</v>
      </c>
      <c r="H2648" s="1204"/>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31" t="s">
        <v>7628</v>
      </c>
    </row>
    <row r="2651" spans="1:8" x14ac:dyDescent="0.25">
      <c r="A2651" s="116">
        <v>44538</v>
      </c>
      <c r="B2651" s="21" t="s">
        <v>2675</v>
      </c>
      <c r="C2651" s="13" t="s">
        <v>5731</v>
      </c>
      <c r="D2651" s="782"/>
      <c r="E2651" s="22"/>
      <c r="F2651" s="19">
        <v>72300</v>
      </c>
      <c r="G2651" s="14">
        <f t="shared" ref="G2651:G2724" si="43">E2651-F2651</f>
        <v>-72300</v>
      </c>
      <c r="H2651" s="1231"/>
    </row>
    <row r="2652" spans="1:8" x14ac:dyDescent="0.25">
      <c r="A2652" s="116">
        <v>44538</v>
      </c>
      <c r="B2652" s="21" t="s">
        <v>6463</v>
      </c>
      <c r="C2652" s="13" t="s">
        <v>5731</v>
      </c>
      <c r="D2652" s="782"/>
      <c r="E2652" s="22"/>
      <c r="F2652" s="19">
        <v>9500</v>
      </c>
      <c r="G2652" s="14">
        <f t="shared" si="43"/>
        <v>-9500</v>
      </c>
      <c r="H2652" s="1231"/>
    </row>
    <row r="2653" spans="1:8" x14ac:dyDescent="0.25">
      <c r="A2653" s="116">
        <v>44538</v>
      </c>
      <c r="B2653" s="21" t="s">
        <v>6568</v>
      </c>
      <c r="C2653" s="13" t="s">
        <v>5731</v>
      </c>
      <c r="D2653" s="782"/>
      <c r="E2653" s="22"/>
      <c r="F2653" s="19">
        <v>59100</v>
      </c>
      <c r="G2653" s="14">
        <f t="shared" si="43"/>
        <v>-59100</v>
      </c>
      <c r="H2653" s="1231"/>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05" t="s">
        <v>7653</v>
      </c>
    </row>
    <row r="2673" spans="1:8" x14ac:dyDescent="0.25">
      <c r="A2673" s="116">
        <v>44554</v>
      </c>
      <c r="B2673" s="21" t="s">
        <v>7132</v>
      </c>
      <c r="C2673" s="13" t="s">
        <v>2327</v>
      </c>
      <c r="D2673" s="782"/>
      <c r="E2673" s="22"/>
      <c r="F2673" s="19">
        <v>95600</v>
      </c>
      <c r="G2673" s="14">
        <f t="shared" si="43"/>
        <v>-95600</v>
      </c>
      <c r="H2673" s="1205"/>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95" t="s">
        <v>7681</v>
      </c>
    </row>
    <row r="2681" spans="1:8" x14ac:dyDescent="0.25">
      <c r="A2681" s="116">
        <v>44528</v>
      </c>
      <c r="B2681" s="21" t="s">
        <v>6565</v>
      </c>
      <c r="C2681" s="13" t="s">
        <v>4853</v>
      </c>
      <c r="D2681" s="782"/>
      <c r="E2681" s="22"/>
      <c r="F2681" s="19">
        <v>29814</v>
      </c>
      <c r="G2681" s="14">
        <f t="shared" si="43"/>
        <v>-29814</v>
      </c>
      <c r="H2681" s="1195"/>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05" t="s">
        <v>7703</v>
      </c>
    </row>
    <row r="2687" spans="1:8" x14ac:dyDescent="0.25">
      <c r="A2687" s="116">
        <v>44581</v>
      </c>
      <c r="B2687" s="21" t="s">
        <v>6463</v>
      </c>
      <c r="C2687" s="13" t="s">
        <v>3738</v>
      </c>
      <c r="D2687" s="782"/>
      <c r="E2687" s="22"/>
      <c r="F2687" s="19">
        <v>11430</v>
      </c>
      <c r="G2687" s="14">
        <f t="shared" si="43"/>
        <v>-11430</v>
      </c>
      <c r="H2687" s="1205"/>
    </row>
    <row r="2688" spans="1:8" x14ac:dyDescent="0.25">
      <c r="A2688" s="116">
        <v>44581</v>
      </c>
      <c r="B2688" s="21" t="s">
        <v>6575</v>
      </c>
      <c r="C2688" s="13" t="s">
        <v>3738</v>
      </c>
      <c r="D2688" s="782"/>
      <c r="E2688" s="22"/>
      <c r="F2688" s="19">
        <v>50000</v>
      </c>
      <c r="G2688" s="14">
        <f t="shared" si="43"/>
        <v>-50000</v>
      </c>
      <c r="H2688" s="1205"/>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35" t="s">
        <v>7755</v>
      </c>
    </row>
    <row r="2709" spans="1:8" x14ac:dyDescent="0.25">
      <c r="A2709" s="116">
        <v>44610</v>
      </c>
      <c r="B2709" s="21" t="s">
        <v>7017</v>
      </c>
      <c r="C2709" s="759" t="s">
        <v>7538</v>
      </c>
      <c r="D2709" s="782"/>
      <c r="E2709" s="760"/>
      <c r="F2709" s="761">
        <f>50900+252</f>
        <v>51152</v>
      </c>
      <c r="G2709" s="760">
        <f t="shared" si="43"/>
        <v>-51152</v>
      </c>
      <c r="H2709" s="1235"/>
    </row>
    <row r="2710" spans="1:8" x14ac:dyDescent="0.25">
      <c r="A2710" s="116">
        <v>44610</v>
      </c>
      <c r="B2710" s="21" t="s">
        <v>7132</v>
      </c>
      <c r="C2710" s="759" t="s">
        <v>7538</v>
      </c>
      <c r="D2710" s="782"/>
      <c r="E2710" s="760"/>
      <c r="F2710" s="761">
        <v>30105</v>
      </c>
      <c r="G2710" s="760">
        <f t="shared" si="43"/>
        <v>-30105</v>
      </c>
      <c r="H2710" s="1235"/>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95" t="s">
        <v>7975</v>
      </c>
    </row>
    <row r="2723" spans="1:8" x14ac:dyDescent="0.25">
      <c r="A2723" s="116">
        <v>44627</v>
      </c>
      <c r="B2723" s="21" t="s">
        <v>37</v>
      </c>
      <c r="C2723" s="13" t="s">
        <v>7309</v>
      </c>
      <c r="D2723" s="782"/>
      <c r="E2723" s="22"/>
      <c r="F2723" s="19">
        <v>66360</v>
      </c>
      <c r="G2723" s="14">
        <f t="shared" si="43"/>
        <v>-66360</v>
      </c>
      <c r="H2723" s="1195"/>
    </row>
    <row r="2724" spans="1:8" x14ac:dyDescent="0.25">
      <c r="A2724" s="116">
        <v>44627</v>
      </c>
      <c r="B2724" s="21" t="s">
        <v>1407</v>
      </c>
      <c r="C2724" s="759" t="s">
        <v>166</v>
      </c>
      <c r="D2724" s="782"/>
      <c r="E2724" s="760"/>
      <c r="F2724" s="760">
        <v>204468</v>
      </c>
      <c r="G2724" s="760">
        <f t="shared" si="43"/>
        <v>-204468</v>
      </c>
      <c r="H2724" s="1196" t="s">
        <v>7865</v>
      </c>
    </row>
    <row r="2725" spans="1:8" x14ac:dyDescent="0.25">
      <c r="A2725" s="116">
        <v>44627</v>
      </c>
      <c r="B2725" s="21" t="s">
        <v>7132</v>
      </c>
      <c r="C2725" s="759" t="s">
        <v>166</v>
      </c>
      <c r="D2725" s="782"/>
      <c r="E2725" s="760"/>
      <c r="F2725" s="760">
        <v>12627</v>
      </c>
      <c r="G2725" s="760">
        <f t="shared" ref="G2725:G2862" si="44">E2725-F2725</f>
        <v>-12627</v>
      </c>
      <c r="H2725" s="1196"/>
    </row>
    <row r="2726" spans="1:8" x14ac:dyDescent="0.25">
      <c r="A2726" s="116">
        <v>44627</v>
      </c>
      <c r="B2726" s="21" t="s">
        <v>7733</v>
      </c>
      <c r="C2726" s="759" t="s">
        <v>166</v>
      </c>
      <c r="D2726" s="782"/>
      <c r="E2726" s="760"/>
      <c r="F2726" s="760">
        <v>80000</v>
      </c>
      <c r="G2726" s="760">
        <f t="shared" si="44"/>
        <v>-80000</v>
      </c>
      <c r="H2726" s="1196"/>
    </row>
    <row r="2727" spans="1:8" x14ac:dyDescent="0.25">
      <c r="A2727" s="116">
        <v>44627</v>
      </c>
      <c r="B2727" s="21" t="s">
        <v>7017</v>
      </c>
      <c r="C2727" s="759" t="s">
        <v>166</v>
      </c>
      <c r="D2727" s="782"/>
      <c r="E2727" s="760"/>
      <c r="F2727" s="760">
        <v>2905</v>
      </c>
      <c r="G2727" s="760">
        <f t="shared" si="44"/>
        <v>-2905</v>
      </c>
      <c r="H2727" s="1196"/>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197" t="s">
        <v>7784</v>
      </c>
    </row>
    <row r="2735" spans="1:8" x14ac:dyDescent="0.25">
      <c r="A2735" s="116">
        <v>44627</v>
      </c>
      <c r="B2735" s="21" t="s">
        <v>7733</v>
      </c>
      <c r="C2735" s="13" t="s">
        <v>7309</v>
      </c>
      <c r="D2735" s="794" t="s">
        <v>7783</v>
      </c>
      <c r="E2735" s="22">
        <v>19800</v>
      </c>
      <c r="F2735" s="19"/>
      <c r="G2735" s="20">
        <f t="shared" si="44"/>
        <v>19800</v>
      </c>
      <c r="H2735" s="1197"/>
    </row>
    <row r="2736" spans="1:8" x14ac:dyDescent="0.25">
      <c r="A2736" s="116">
        <v>44637</v>
      </c>
      <c r="B2736" s="21" t="s">
        <v>7733</v>
      </c>
      <c r="C2736" s="13" t="s">
        <v>5731</v>
      </c>
      <c r="D2736" s="782">
        <v>35</v>
      </c>
      <c r="E2736" s="22">
        <f>11300+8400+7000+11700+2500</f>
        <v>40900</v>
      </c>
      <c r="F2736" s="19"/>
      <c r="G2736" s="20">
        <f t="shared" si="44"/>
        <v>40900</v>
      </c>
      <c r="H2736" s="1197" t="s">
        <v>7784</v>
      </c>
    </row>
    <row r="2737" spans="1:8" x14ac:dyDescent="0.25">
      <c r="A2737" s="116">
        <v>44637</v>
      </c>
      <c r="B2737" s="21" t="s">
        <v>7627</v>
      </c>
      <c r="C2737" s="13" t="s">
        <v>5731</v>
      </c>
      <c r="D2737" s="782">
        <v>35</v>
      </c>
      <c r="E2737" s="22">
        <f>7600+3500</f>
        <v>11100</v>
      </c>
      <c r="F2737" s="19"/>
      <c r="G2737" s="20">
        <f t="shared" si="44"/>
        <v>11100</v>
      </c>
      <c r="H2737" s="1197"/>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02" t="s">
        <v>7827</v>
      </c>
    </row>
    <row r="2753" spans="1:8" x14ac:dyDescent="0.25">
      <c r="A2753" s="116">
        <v>44645</v>
      </c>
      <c r="B2753" s="21" t="s">
        <v>6562</v>
      </c>
      <c r="C2753" s="13" t="s">
        <v>166</v>
      </c>
      <c r="D2753" s="782"/>
      <c r="E2753" s="22"/>
      <c r="F2753" s="19">
        <v>51585</v>
      </c>
      <c r="G2753" s="14">
        <f t="shared" si="44"/>
        <v>-51585</v>
      </c>
      <c r="H2753" s="1202"/>
    </row>
    <row r="2754" spans="1:8" x14ac:dyDescent="0.25">
      <c r="A2754" s="116">
        <v>44645</v>
      </c>
      <c r="B2754" s="21" t="s">
        <v>7733</v>
      </c>
      <c r="C2754" s="13" t="s">
        <v>166</v>
      </c>
      <c r="D2754" s="782"/>
      <c r="E2754" s="22"/>
      <c r="F2754" s="19">
        <v>122000</v>
      </c>
      <c r="G2754" s="14">
        <f t="shared" si="44"/>
        <v>-122000</v>
      </c>
      <c r="H2754" s="1202"/>
    </row>
    <row r="2755" spans="1:8" x14ac:dyDescent="0.25">
      <c r="A2755" s="116">
        <v>44645</v>
      </c>
      <c r="B2755" s="21" t="s">
        <v>37</v>
      </c>
      <c r="C2755" s="13" t="s">
        <v>166</v>
      </c>
      <c r="D2755" s="782"/>
      <c r="E2755" s="22"/>
      <c r="F2755" s="19">
        <v>8000</v>
      </c>
      <c r="G2755" s="14">
        <f t="shared" si="44"/>
        <v>-8000</v>
      </c>
      <c r="H2755" s="1202"/>
    </row>
    <row r="2756" spans="1:8" x14ac:dyDescent="0.25">
      <c r="A2756" s="116">
        <v>44645</v>
      </c>
      <c r="B2756" s="21" t="s">
        <v>7627</v>
      </c>
      <c r="C2756" s="13" t="s">
        <v>166</v>
      </c>
      <c r="D2756" s="782"/>
      <c r="E2756" s="22"/>
      <c r="F2756" s="19">
        <v>7857</v>
      </c>
      <c r="G2756" s="14">
        <f t="shared" si="44"/>
        <v>-7857</v>
      </c>
      <c r="H2756" s="1202"/>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196" t="s">
        <v>7829</v>
      </c>
    </row>
    <row r="2759" spans="1:8" x14ac:dyDescent="0.25">
      <c r="A2759" s="116">
        <v>44651</v>
      </c>
      <c r="B2759" s="21" t="s">
        <v>7177</v>
      </c>
      <c r="C2759" s="13" t="s">
        <v>164</v>
      </c>
      <c r="D2759" s="782"/>
      <c r="E2759" s="22"/>
      <c r="F2759" s="19">
        <v>100000</v>
      </c>
      <c r="G2759" s="14">
        <f t="shared" si="44"/>
        <v>-100000</v>
      </c>
      <c r="H2759" s="1196"/>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00" t="s">
        <v>7833</v>
      </c>
    </row>
    <row r="2766" spans="1:8" x14ac:dyDescent="0.25">
      <c r="A2766" s="116">
        <v>44651</v>
      </c>
      <c r="B2766" s="21" t="s">
        <v>7811</v>
      </c>
      <c r="C2766" s="13" t="s">
        <v>180</v>
      </c>
      <c r="D2766" s="782" t="s">
        <v>3951</v>
      </c>
      <c r="E2766" s="22"/>
      <c r="F2766" s="19">
        <v>710</v>
      </c>
      <c r="G2766" s="14">
        <f t="shared" si="44"/>
        <v>-710</v>
      </c>
      <c r="H2766" s="1200"/>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00" t="s">
        <v>7892</v>
      </c>
    </row>
    <row r="2782" spans="1:8" x14ac:dyDescent="0.25">
      <c r="A2782" s="116">
        <v>44669</v>
      </c>
      <c r="B2782" s="21" t="s">
        <v>7733</v>
      </c>
      <c r="C2782" s="13" t="s">
        <v>7309</v>
      </c>
      <c r="D2782" s="782"/>
      <c r="E2782" s="22"/>
      <c r="F2782" s="19">
        <v>14740</v>
      </c>
      <c r="G2782" s="14">
        <f t="shared" si="44"/>
        <v>-14740</v>
      </c>
      <c r="H2782" s="1200"/>
    </row>
    <row r="2783" spans="1:8" x14ac:dyDescent="0.25">
      <c r="A2783" s="116">
        <v>44669</v>
      </c>
      <c r="B2783" s="21" t="s">
        <v>7177</v>
      </c>
      <c r="C2783" s="13" t="s">
        <v>7309</v>
      </c>
      <c r="D2783" s="782"/>
      <c r="E2783" s="22"/>
      <c r="F2783" s="19">
        <v>12000</v>
      </c>
      <c r="G2783" s="14">
        <f t="shared" si="44"/>
        <v>-12000</v>
      </c>
      <c r="H2783" s="1200"/>
    </row>
    <row r="2784" spans="1:8" x14ac:dyDescent="0.25">
      <c r="A2784" s="116">
        <v>44669</v>
      </c>
      <c r="B2784" s="21" t="s">
        <v>7627</v>
      </c>
      <c r="C2784" s="13" t="s">
        <v>7309</v>
      </c>
      <c r="D2784" s="782"/>
      <c r="E2784" s="22"/>
      <c r="F2784" s="19">
        <v>14230</v>
      </c>
      <c r="G2784" s="14">
        <f t="shared" si="44"/>
        <v>-14230</v>
      </c>
      <c r="H2784" s="1200"/>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03" t="s">
        <v>7924</v>
      </c>
    </row>
    <row r="2792" spans="1:8" x14ac:dyDescent="0.25">
      <c r="A2792" s="729">
        <v>44676</v>
      </c>
      <c r="B2792" s="730" t="s">
        <v>3979</v>
      </c>
      <c r="C2792" s="731" t="s">
        <v>440</v>
      </c>
      <c r="D2792" s="782"/>
      <c r="E2792" s="732"/>
      <c r="F2792" s="733">
        <v>2600</v>
      </c>
      <c r="G2792" s="732">
        <f t="shared" si="44"/>
        <v>-2600</v>
      </c>
      <c r="H2792" s="1203"/>
    </row>
    <row r="2793" spans="1:8" x14ac:dyDescent="0.25">
      <c r="A2793" s="729">
        <v>44676</v>
      </c>
      <c r="B2793" s="730" t="s">
        <v>7177</v>
      </c>
      <c r="C2793" s="731" t="s">
        <v>440</v>
      </c>
      <c r="D2793" s="782"/>
      <c r="E2793" s="732"/>
      <c r="F2793" s="733">
        <v>24420</v>
      </c>
      <c r="G2793" s="732">
        <f t="shared" si="44"/>
        <v>-24420</v>
      </c>
      <c r="H2793" s="1203"/>
    </row>
    <row r="2794" spans="1:8" x14ac:dyDescent="0.25">
      <c r="A2794" s="729">
        <v>44676</v>
      </c>
      <c r="B2794" s="730" t="s">
        <v>1407</v>
      </c>
      <c r="C2794" s="731" t="s">
        <v>440</v>
      </c>
      <c r="D2794" s="782"/>
      <c r="E2794" s="732"/>
      <c r="F2794" s="733">
        <v>57690</v>
      </c>
      <c r="G2794" s="732">
        <f t="shared" si="44"/>
        <v>-57690</v>
      </c>
      <c r="H2794" s="1203"/>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04" t="s">
        <v>8071</v>
      </c>
    </row>
    <row r="2816" spans="1:8" x14ac:dyDescent="0.25">
      <c r="A2816" s="116">
        <v>44695</v>
      </c>
      <c r="B2816" s="21" t="s">
        <v>7177</v>
      </c>
      <c r="C2816" s="13" t="s">
        <v>166</v>
      </c>
      <c r="D2816" s="782"/>
      <c r="E2816" s="22"/>
      <c r="F2816" s="19">
        <v>3880</v>
      </c>
      <c r="G2816" s="14">
        <f t="shared" si="44"/>
        <v>-3880</v>
      </c>
      <c r="H2816" s="1204"/>
    </row>
    <row r="2817" spans="1:8" x14ac:dyDescent="0.25">
      <c r="A2817" s="116">
        <v>44695</v>
      </c>
      <c r="B2817" s="21" t="s">
        <v>7627</v>
      </c>
      <c r="C2817" s="13" t="s">
        <v>166</v>
      </c>
      <c r="D2817" s="782"/>
      <c r="E2817" s="22"/>
      <c r="F2817" s="19">
        <v>25143</v>
      </c>
      <c r="G2817" s="14">
        <f t="shared" si="44"/>
        <v>-25143</v>
      </c>
      <c r="H2817" s="1204"/>
    </row>
    <row r="2818" spans="1:8" x14ac:dyDescent="0.25">
      <c r="A2818" s="116">
        <v>44695</v>
      </c>
      <c r="B2818" s="21" t="s">
        <v>1407</v>
      </c>
      <c r="C2818" s="13" t="s">
        <v>166</v>
      </c>
      <c r="D2818" s="782"/>
      <c r="E2818" s="22"/>
      <c r="F2818" s="19">
        <v>116480</v>
      </c>
      <c r="G2818" s="14">
        <f t="shared" si="44"/>
        <v>-116480</v>
      </c>
      <c r="H2818" s="1204"/>
    </row>
    <row r="2819" spans="1:8" x14ac:dyDescent="0.25">
      <c r="A2819" s="116">
        <v>44695</v>
      </c>
      <c r="B2819" s="21" t="s">
        <v>7825</v>
      </c>
      <c r="C2819" s="13" t="s">
        <v>166</v>
      </c>
      <c r="D2819" s="782"/>
      <c r="E2819" s="22"/>
      <c r="F2819" s="19">
        <v>24000</v>
      </c>
      <c r="G2819" s="14">
        <f t="shared" si="44"/>
        <v>-24000</v>
      </c>
      <c r="H2819" s="1204"/>
    </row>
    <row r="2820" spans="1:8" x14ac:dyDescent="0.25">
      <c r="A2820" s="116">
        <v>44695</v>
      </c>
      <c r="B2820" s="21" t="s">
        <v>7896</v>
      </c>
      <c r="C2820" s="13" t="s">
        <v>166</v>
      </c>
      <c r="D2820" s="782"/>
      <c r="E2820" s="22"/>
      <c r="F2820" s="19">
        <v>15820</v>
      </c>
      <c r="G2820" s="14">
        <f t="shared" si="44"/>
        <v>-15820</v>
      </c>
      <c r="H2820" s="1204"/>
    </row>
    <row r="2821" spans="1:8" x14ac:dyDescent="0.25">
      <c r="A2821" s="116">
        <v>44695</v>
      </c>
      <c r="B2821" s="21" t="s">
        <v>3978</v>
      </c>
      <c r="C2821" s="13" t="s">
        <v>166</v>
      </c>
      <c r="D2821" s="782"/>
      <c r="E2821" s="22"/>
      <c r="F2821" s="19">
        <v>5200</v>
      </c>
      <c r="G2821" s="14">
        <f t="shared" si="44"/>
        <v>-5200</v>
      </c>
      <c r="H2821" s="1204"/>
    </row>
    <row r="2822" spans="1:8" x14ac:dyDescent="0.25">
      <c r="A2822" s="116">
        <v>44695</v>
      </c>
      <c r="B2822" s="21" t="s">
        <v>1407</v>
      </c>
      <c r="C2822" s="13" t="s">
        <v>166</v>
      </c>
      <c r="D2822" s="782"/>
      <c r="E2822" s="22"/>
      <c r="F2822" s="19">
        <v>84852</v>
      </c>
      <c r="G2822" s="14">
        <f t="shared" si="44"/>
        <v>-84852</v>
      </c>
      <c r="H2822" s="1204"/>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199" t="s">
        <v>7979</v>
      </c>
    </row>
    <row r="2827" spans="1:8" x14ac:dyDescent="0.25">
      <c r="A2827" s="116">
        <v>44709</v>
      </c>
      <c r="B2827" s="21" t="s">
        <v>7132</v>
      </c>
      <c r="C2827" s="13" t="s">
        <v>164</v>
      </c>
      <c r="D2827" s="782"/>
      <c r="E2827" s="22"/>
      <c r="F2827" s="19">
        <v>49174</v>
      </c>
      <c r="G2827" s="14">
        <f t="shared" si="44"/>
        <v>-49174</v>
      </c>
      <c r="H2827" s="1199"/>
    </row>
    <row r="2828" spans="1:8" x14ac:dyDescent="0.25">
      <c r="A2828" s="116">
        <v>44709</v>
      </c>
      <c r="B2828" s="21" t="s">
        <v>7177</v>
      </c>
      <c r="C2828" s="13" t="s">
        <v>164</v>
      </c>
      <c r="D2828" s="782"/>
      <c r="E2828" s="22"/>
      <c r="F2828" s="19">
        <v>36997</v>
      </c>
      <c r="G2828" s="14">
        <f t="shared" si="44"/>
        <v>-36997</v>
      </c>
      <c r="H2828" s="1199"/>
    </row>
    <row r="2829" spans="1:8" x14ac:dyDescent="0.25">
      <c r="A2829" s="116">
        <v>44709</v>
      </c>
      <c r="B2829" s="21" t="s">
        <v>7627</v>
      </c>
      <c r="C2829" s="13" t="s">
        <v>164</v>
      </c>
      <c r="D2829" s="782"/>
      <c r="E2829" s="22"/>
      <c r="F2829" s="19">
        <v>4174</v>
      </c>
      <c r="G2829" s="14">
        <f t="shared" si="44"/>
        <v>-4174</v>
      </c>
      <c r="H2829" s="1199"/>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199" t="s">
        <v>7980</v>
      </c>
    </row>
    <row r="2833" spans="1:8" x14ac:dyDescent="0.25">
      <c r="A2833" s="116">
        <v>44711</v>
      </c>
      <c r="B2833" s="21" t="s">
        <v>7627</v>
      </c>
      <c r="C2833" s="13" t="s">
        <v>5731</v>
      </c>
      <c r="D2833" s="782"/>
      <c r="E2833" s="22"/>
      <c r="F2833" s="19">
        <v>5700</v>
      </c>
      <c r="G2833" s="14">
        <f t="shared" si="44"/>
        <v>-5700</v>
      </c>
      <c r="H2833" s="1199"/>
    </row>
    <row r="2834" spans="1:8" x14ac:dyDescent="0.25">
      <c r="A2834" s="116">
        <v>44711</v>
      </c>
      <c r="B2834" s="21" t="s">
        <v>7825</v>
      </c>
      <c r="C2834" s="13" t="s">
        <v>5731</v>
      </c>
      <c r="D2834" s="782"/>
      <c r="E2834" s="22"/>
      <c r="F2834" s="19">
        <v>74800</v>
      </c>
      <c r="G2834" s="14">
        <f t="shared" si="44"/>
        <v>-74800</v>
      </c>
      <c r="H2834" s="1199"/>
    </row>
    <row r="2835" spans="1:8" x14ac:dyDescent="0.25">
      <c r="A2835" s="116">
        <v>44711</v>
      </c>
      <c r="B2835" s="21" t="s">
        <v>7627</v>
      </c>
      <c r="C2835" s="13" t="s">
        <v>7309</v>
      </c>
      <c r="D2835" s="782"/>
      <c r="E2835" s="22"/>
      <c r="F2835" s="19">
        <v>50320</v>
      </c>
      <c r="G2835" s="14">
        <f t="shared" si="44"/>
        <v>-50320</v>
      </c>
      <c r="H2835" s="1199" t="s">
        <v>7981</v>
      </c>
    </row>
    <row r="2836" spans="1:8" x14ac:dyDescent="0.25">
      <c r="A2836" s="116">
        <v>44711</v>
      </c>
      <c r="B2836" s="21" t="s">
        <v>7733</v>
      </c>
      <c r="C2836" s="13" t="s">
        <v>7309</v>
      </c>
      <c r="D2836" s="782"/>
      <c r="E2836" s="22"/>
      <c r="F2836" s="19">
        <v>8180</v>
      </c>
      <c r="G2836" s="14">
        <f t="shared" si="44"/>
        <v>-8180</v>
      </c>
      <c r="H2836" s="1199"/>
    </row>
    <row r="2837" spans="1:8" x14ac:dyDescent="0.25">
      <c r="A2837" s="116">
        <v>44711</v>
      </c>
      <c r="B2837" s="21" t="s">
        <v>7896</v>
      </c>
      <c r="C2837" s="13" t="s">
        <v>7309</v>
      </c>
      <c r="D2837" s="782"/>
      <c r="E2837" s="22"/>
      <c r="F2837" s="19">
        <v>17000</v>
      </c>
      <c r="G2837" s="14">
        <f t="shared" si="44"/>
        <v>-17000</v>
      </c>
      <c r="H2837" s="1199"/>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199" t="s">
        <v>1164</v>
      </c>
    </row>
    <row r="2843" spans="1:8" x14ac:dyDescent="0.25">
      <c r="A2843" s="116">
        <v>44712</v>
      </c>
      <c r="B2843" s="21" t="s">
        <v>6463</v>
      </c>
      <c r="C2843" s="13" t="s">
        <v>3039</v>
      </c>
      <c r="D2843" s="782"/>
      <c r="E2843" s="22"/>
      <c r="F2843" s="19">
        <v>28567</v>
      </c>
      <c r="G2843" s="14">
        <f t="shared" si="44"/>
        <v>-28567</v>
      </c>
      <c r="H2843" s="1199"/>
    </row>
    <row r="2844" spans="1:8" x14ac:dyDescent="0.25">
      <c r="A2844" s="116">
        <v>44712</v>
      </c>
      <c r="B2844" s="21" t="s">
        <v>6568</v>
      </c>
      <c r="C2844" s="13" t="s">
        <v>3039</v>
      </c>
      <c r="D2844" s="782"/>
      <c r="E2844" s="22"/>
      <c r="F2844" s="19">
        <v>3053</v>
      </c>
      <c r="G2844" s="14">
        <f t="shared" si="44"/>
        <v>-3053</v>
      </c>
      <c r="H2844" s="1199"/>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198" t="s">
        <v>8074</v>
      </c>
    </row>
    <row r="2855" spans="1:8" x14ac:dyDescent="0.25">
      <c r="A2855" s="116">
        <v>44726</v>
      </c>
      <c r="B2855" s="21" t="s">
        <v>8000</v>
      </c>
      <c r="C2855" s="13" t="s">
        <v>166</v>
      </c>
      <c r="D2855" s="782"/>
      <c r="E2855" s="22"/>
      <c r="F2855" s="19">
        <v>132000</v>
      </c>
      <c r="G2855" s="14">
        <f t="shared" si="44"/>
        <v>-132000</v>
      </c>
      <c r="H2855" s="1198"/>
    </row>
    <row r="2856" spans="1:8" x14ac:dyDescent="0.25">
      <c r="A2856" s="116">
        <v>44726</v>
      </c>
      <c r="B2856" s="21" t="s">
        <v>8000</v>
      </c>
      <c r="C2856" s="13" t="s">
        <v>166</v>
      </c>
      <c r="D2856" s="782"/>
      <c r="E2856" s="22"/>
      <c r="F2856" s="19">
        <v>151650</v>
      </c>
      <c r="G2856" s="14">
        <f t="shared" si="44"/>
        <v>-151650</v>
      </c>
      <c r="H2856" s="1198"/>
    </row>
    <row r="2857" spans="1:8" x14ac:dyDescent="0.25">
      <c r="A2857" s="116">
        <v>44726</v>
      </c>
      <c r="B2857" s="21" t="s">
        <v>8000</v>
      </c>
      <c r="C2857" s="13" t="s">
        <v>166</v>
      </c>
      <c r="D2857" s="782"/>
      <c r="E2857" s="22"/>
      <c r="F2857" s="19">
        <f>500000-F2856-F2855-F2854</f>
        <v>60560</v>
      </c>
      <c r="G2857" s="14">
        <f t="shared" si="44"/>
        <v>-60560</v>
      </c>
      <c r="H2857" s="1198"/>
    </row>
    <row r="2858" spans="1:8" ht="15.75" customHeight="1" x14ac:dyDescent="0.25">
      <c r="A2858" s="116">
        <v>44726</v>
      </c>
      <c r="B2858" s="21" t="s">
        <v>2957</v>
      </c>
      <c r="C2858" s="13" t="s">
        <v>161</v>
      </c>
      <c r="D2858" s="782"/>
      <c r="E2858" s="22"/>
      <c r="F2858" s="19">
        <v>21337</v>
      </c>
      <c r="G2858" s="14">
        <f t="shared" si="44"/>
        <v>-21337</v>
      </c>
      <c r="H2858" s="1201" t="s">
        <v>8043</v>
      </c>
    </row>
    <row r="2859" spans="1:8" ht="15.75" customHeight="1" x14ac:dyDescent="0.25">
      <c r="A2859" s="116">
        <v>44726</v>
      </c>
      <c r="B2859" s="21" t="s">
        <v>7811</v>
      </c>
      <c r="C2859" s="13" t="s">
        <v>161</v>
      </c>
      <c r="D2859" s="782"/>
      <c r="E2859" s="22"/>
      <c r="F2859" s="19">
        <v>44651</v>
      </c>
      <c r="G2859" s="14">
        <f t="shared" si="44"/>
        <v>-44651</v>
      </c>
      <c r="H2859" s="1201"/>
    </row>
    <row r="2860" spans="1:8" ht="15.75" customHeight="1" x14ac:dyDescent="0.25">
      <c r="A2860" s="116">
        <v>44726</v>
      </c>
      <c r="B2860" s="21" t="s">
        <v>7825</v>
      </c>
      <c r="C2860" s="13" t="s">
        <v>161</v>
      </c>
      <c r="D2860" s="782"/>
      <c r="E2860" s="22"/>
      <c r="F2860" s="19">
        <v>33179</v>
      </c>
      <c r="G2860" s="14">
        <f t="shared" si="44"/>
        <v>-33179</v>
      </c>
      <c r="H2860" s="1201"/>
    </row>
    <row r="2861" spans="1:8" ht="16.5" customHeight="1" x14ac:dyDescent="0.25">
      <c r="A2861" s="116">
        <v>44726</v>
      </c>
      <c r="B2861" s="21" t="s">
        <v>7896</v>
      </c>
      <c r="C2861" s="13" t="s">
        <v>161</v>
      </c>
      <c r="D2861" s="782"/>
      <c r="E2861" s="22"/>
      <c r="F2861" s="19">
        <v>58530</v>
      </c>
      <c r="G2861" s="14">
        <f t="shared" si="44"/>
        <v>-58530</v>
      </c>
      <c r="H2861" s="1201"/>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05" t="s">
        <v>8634</v>
      </c>
    </row>
    <row r="3027" spans="1:8" x14ac:dyDescent="0.25">
      <c r="A3027" s="116">
        <v>44859</v>
      </c>
      <c r="B3027" s="21" t="s">
        <v>8156</v>
      </c>
      <c r="C3027" s="13" t="s">
        <v>166</v>
      </c>
      <c r="D3027" s="782"/>
      <c r="E3027" s="22"/>
      <c r="F3027" s="19">
        <v>31200</v>
      </c>
      <c r="G3027" s="14">
        <f t="shared" si="50"/>
        <v>-31200</v>
      </c>
      <c r="H3027" s="1205"/>
    </row>
    <row r="3028" spans="1:8" x14ac:dyDescent="0.25">
      <c r="A3028" s="116">
        <v>44859</v>
      </c>
      <c r="B3028" s="21" t="s">
        <v>8653</v>
      </c>
      <c r="C3028" s="13" t="s">
        <v>166</v>
      </c>
      <c r="D3028" s="782"/>
      <c r="E3028" s="22"/>
      <c r="F3028" s="19">
        <v>109718</v>
      </c>
      <c r="G3028" s="14">
        <f t="shared" si="50"/>
        <v>-109718</v>
      </c>
      <c r="H3028" s="1205"/>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30" t="s">
        <v>8648</v>
      </c>
    </row>
    <row r="3033" spans="1:8" x14ac:dyDescent="0.25">
      <c r="A3033" s="116">
        <v>44860</v>
      </c>
      <c r="B3033" s="21" t="s">
        <v>6562</v>
      </c>
      <c r="C3033" s="13" t="s">
        <v>2212</v>
      </c>
      <c r="D3033" s="782"/>
      <c r="E3033" s="22"/>
      <c r="F3033" s="19">
        <v>23920</v>
      </c>
      <c r="G3033" s="14">
        <f t="shared" si="50"/>
        <v>-23920</v>
      </c>
      <c r="H3033" s="1230"/>
    </row>
    <row r="3034" spans="1:8" x14ac:dyDescent="0.25">
      <c r="A3034" s="116">
        <v>44860</v>
      </c>
      <c r="B3034" s="21" t="s">
        <v>8653</v>
      </c>
      <c r="C3034" s="13" t="s">
        <v>2212</v>
      </c>
      <c r="D3034" s="782"/>
      <c r="E3034" s="22"/>
      <c r="F3034" s="19">
        <v>11080</v>
      </c>
      <c r="G3034" s="14">
        <f t="shared" si="50"/>
        <v>-11080</v>
      </c>
      <c r="H3034" s="1230"/>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95" t="s">
        <v>8722</v>
      </c>
    </row>
    <row r="3059" spans="1:8" x14ac:dyDescent="0.25">
      <c r="A3059" s="116">
        <v>44872</v>
      </c>
      <c r="B3059" s="21" t="s">
        <v>7896</v>
      </c>
      <c r="C3059" s="13" t="s">
        <v>162</v>
      </c>
      <c r="D3059" s="782"/>
      <c r="E3059" s="22"/>
      <c r="F3059" s="19">
        <v>35000</v>
      </c>
      <c r="G3059" s="14">
        <f t="shared" si="50"/>
        <v>-35000</v>
      </c>
      <c r="H3059" s="1195"/>
    </row>
    <row r="3060" spans="1:8" x14ac:dyDescent="0.25">
      <c r="A3060" s="116">
        <v>44872</v>
      </c>
      <c r="B3060" s="21" t="s">
        <v>8000</v>
      </c>
      <c r="C3060" s="13" t="s">
        <v>162</v>
      </c>
      <c r="D3060" s="782"/>
      <c r="E3060" s="22"/>
      <c r="F3060" s="19">
        <v>26000</v>
      </c>
      <c r="G3060" s="14">
        <f t="shared" si="50"/>
        <v>-26000</v>
      </c>
      <c r="H3060" s="1195"/>
    </row>
    <row r="3061" spans="1:8" x14ac:dyDescent="0.25">
      <c r="A3061" s="116">
        <v>44872</v>
      </c>
      <c r="B3061" s="21" t="s">
        <v>8156</v>
      </c>
      <c r="C3061" s="13" t="s">
        <v>162</v>
      </c>
      <c r="D3061" s="782"/>
      <c r="E3061" s="22"/>
      <c r="F3061" s="19">
        <v>32000</v>
      </c>
      <c r="G3061" s="14">
        <f t="shared" si="50"/>
        <v>-32000</v>
      </c>
      <c r="H3061" s="1195"/>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95" t="s">
        <v>8771</v>
      </c>
    </row>
    <row r="3079" spans="1:8" x14ac:dyDescent="0.25">
      <c r="A3079" s="116">
        <v>44882</v>
      </c>
      <c r="B3079" s="21" t="s">
        <v>8122</v>
      </c>
      <c r="C3079" s="13" t="s">
        <v>161</v>
      </c>
      <c r="D3079" s="782"/>
      <c r="E3079" s="22"/>
      <c r="F3079" s="19">
        <v>60000</v>
      </c>
      <c r="G3079" s="14">
        <f t="shared" si="51"/>
        <v>-60000</v>
      </c>
      <c r="H3079" s="1195"/>
    </row>
    <row r="3080" spans="1:8" x14ac:dyDescent="0.25">
      <c r="A3080" s="116">
        <v>44882</v>
      </c>
      <c r="B3080" s="21" t="s">
        <v>7896</v>
      </c>
      <c r="C3080" s="13" t="s">
        <v>161</v>
      </c>
      <c r="D3080" s="782"/>
      <c r="E3080" s="22"/>
      <c r="F3080" s="19">
        <v>95</v>
      </c>
      <c r="G3080" s="14">
        <f t="shared" si="51"/>
        <v>-95</v>
      </c>
      <c r="H3080" s="1195" t="s">
        <v>5019</v>
      </c>
    </row>
    <row r="3081" spans="1:8" x14ac:dyDescent="0.25">
      <c r="A3081" s="116">
        <v>44882</v>
      </c>
      <c r="B3081" s="21" t="s">
        <v>8122</v>
      </c>
      <c r="C3081" s="13" t="s">
        <v>161</v>
      </c>
      <c r="D3081" s="782"/>
      <c r="E3081" s="22"/>
      <c r="F3081" s="19">
        <v>383</v>
      </c>
      <c r="G3081" s="14">
        <f t="shared" si="51"/>
        <v>-383</v>
      </c>
      <c r="H3081" s="1195"/>
    </row>
    <row r="3082" spans="1:8" x14ac:dyDescent="0.25">
      <c r="A3082" s="116">
        <v>44882</v>
      </c>
      <c r="B3082" s="21" t="s">
        <v>8000</v>
      </c>
      <c r="C3082" s="13" t="s">
        <v>8483</v>
      </c>
      <c r="D3082" s="782"/>
      <c r="E3082" s="22"/>
      <c r="F3082" s="19">
        <v>100000</v>
      </c>
      <c r="G3082" s="14">
        <f t="shared" si="51"/>
        <v>-100000</v>
      </c>
      <c r="H3082" s="1243" t="s">
        <v>8730</v>
      </c>
    </row>
    <row r="3083" spans="1:8" x14ac:dyDescent="0.25">
      <c r="A3083" s="116">
        <v>44882</v>
      </c>
      <c r="B3083" s="21" t="s">
        <v>8122</v>
      </c>
      <c r="C3083" s="13" t="s">
        <v>8483</v>
      </c>
      <c r="D3083" s="782"/>
      <c r="E3083" s="22"/>
      <c r="F3083" s="19">
        <v>100000</v>
      </c>
      <c r="G3083" s="14">
        <f t="shared" si="51"/>
        <v>-100000</v>
      </c>
      <c r="H3083" s="1243"/>
    </row>
    <row r="3084" spans="1:8" x14ac:dyDescent="0.25">
      <c r="A3084" s="116">
        <v>44882</v>
      </c>
      <c r="B3084" s="21" t="s">
        <v>8653</v>
      </c>
      <c r="C3084" s="13" t="s">
        <v>8483</v>
      </c>
      <c r="D3084" s="782"/>
      <c r="E3084" s="22"/>
      <c r="F3084" s="19">
        <v>200000</v>
      </c>
      <c r="G3084" s="14">
        <f t="shared" si="51"/>
        <v>-200000</v>
      </c>
      <c r="H3084" s="1243"/>
    </row>
    <row r="3085" spans="1:8" x14ac:dyDescent="0.25">
      <c r="A3085" s="116">
        <v>44882</v>
      </c>
      <c r="B3085" s="21" t="s">
        <v>8625</v>
      </c>
      <c r="C3085" s="13" t="s">
        <v>8483</v>
      </c>
      <c r="D3085" s="782"/>
      <c r="E3085" s="22"/>
      <c r="F3085" s="19">
        <v>100000</v>
      </c>
      <c r="G3085" s="14">
        <f t="shared" si="51"/>
        <v>-100000</v>
      </c>
      <c r="H3085" s="1243"/>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199" t="s">
        <v>8816</v>
      </c>
    </row>
    <row r="3105" spans="1:8" x14ac:dyDescent="0.25">
      <c r="A3105" s="116">
        <v>44888</v>
      </c>
      <c r="B3105" s="21" t="s">
        <v>8032</v>
      </c>
      <c r="C3105" s="13" t="s">
        <v>180</v>
      </c>
      <c r="D3105" s="782"/>
      <c r="E3105" s="22"/>
      <c r="F3105" s="19">
        <v>28000</v>
      </c>
      <c r="G3105" s="14">
        <f t="shared" si="51"/>
        <v>-28000</v>
      </c>
      <c r="H3105" s="1199"/>
    </row>
    <row r="3106" spans="1:8" x14ac:dyDescent="0.25">
      <c r="A3106" s="116">
        <v>44888</v>
      </c>
      <c r="B3106" s="21" t="s">
        <v>8122</v>
      </c>
      <c r="C3106" s="13" t="s">
        <v>180</v>
      </c>
      <c r="D3106" s="782"/>
      <c r="E3106" s="22"/>
      <c r="F3106" s="19">
        <v>100000</v>
      </c>
      <c r="G3106" s="14">
        <f t="shared" si="51"/>
        <v>-100000</v>
      </c>
      <c r="H3106" s="1199"/>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02" t="s">
        <v>8730</v>
      </c>
    </row>
    <row r="3120" spans="1:8" x14ac:dyDescent="0.25">
      <c r="A3120" s="116">
        <v>44889</v>
      </c>
      <c r="B3120" s="21" t="s">
        <v>8122</v>
      </c>
      <c r="C3120" s="13" t="s">
        <v>8483</v>
      </c>
      <c r="D3120" s="782"/>
      <c r="E3120" s="22"/>
      <c r="F3120" s="19">
        <v>50117</v>
      </c>
      <c r="G3120" s="14">
        <f t="shared" si="51"/>
        <v>-50117</v>
      </c>
      <c r="H3120" s="1202"/>
    </row>
    <row r="3121" spans="1:8" x14ac:dyDescent="0.25">
      <c r="A3121" s="116">
        <v>44889</v>
      </c>
      <c r="B3121" s="21" t="s">
        <v>8156</v>
      </c>
      <c r="C3121" s="13" t="s">
        <v>8483</v>
      </c>
      <c r="D3121" s="782"/>
      <c r="E3121" s="22"/>
      <c r="F3121" s="19">
        <v>13496</v>
      </c>
      <c r="G3121" s="14">
        <f t="shared" si="51"/>
        <v>-13496</v>
      </c>
      <c r="H3121" s="1202"/>
    </row>
    <row r="3122" spans="1:8" x14ac:dyDescent="0.25">
      <c r="A3122" s="116">
        <v>44889</v>
      </c>
      <c r="B3122" s="21" t="s">
        <v>8653</v>
      </c>
      <c r="C3122" s="13" t="s">
        <v>8483</v>
      </c>
      <c r="D3122" s="782"/>
      <c r="E3122" s="22"/>
      <c r="F3122" s="19">
        <v>115599</v>
      </c>
      <c r="G3122" s="14">
        <f t="shared" si="51"/>
        <v>-115599</v>
      </c>
      <c r="H3122" s="1202"/>
    </row>
    <row r="3123" spans="1:8" x14ac:dyDescent="0.25">
      <c r="A3123" s="116">
        <v>44889</v>
      </c>
      <c r="B3123" s="21" t="s">
        <v>8625</v>
      </c>
      <c r="C3123" s="13" t="s">
        <v>8483</v>
      </c>
      <c r="D3123" s="782"/>
      <c r="E3123" s="22"/>
      <c r="F3123" s="19">
        <v>72562</v>
      </c>
      <c r="G3123" s="14">
        <f t="shared" si="51"/>
        <v>-72562</v>
      </c>
      <c r="H3123" s="1202"/>
    </row>
    <row r="3124" spans="1:8" x14ac:dyDescent="0.25">
      <c r="A3124" s="116">
        <v>44889</v>
      </c>
      <c r="B3124" s="21" t="s">
        <v>8752</v>
      </c>
      <c r="C3124" s="13" t="s">
        <v>8483</v>
      </c>
      <c r="D3124" s="782"/>
      <c r="E3124" s="22"/>
      <c r="F3124" s="19">
        <f>500000-F3123-F3122-F3121-F3120-F3119</f>
        <v>197007</v>
      </c>
      <c r="G3124" s="14">
        <f t="shared" si="51"/>
        <v>-197007</v>
      </c>
      <c r="H3124" s="1202"/>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10077</v>
      </c>
      <c r="C3149" s="11" t="s">
        <v>168</v>
      </c>
      <c r="F3149" s="9">
        <v>80055</v>
      </c>
      <c r="G3149" s="6">
        <f t="shared" ref="G3149:G3150" si="52">E3149-F3149</f>
        <v>-80055</v>
      </c>
      <c r="H3149" s="7" t="s">
        <v>11228</v>
      </c>
    </row>
    <row r="3150" spans="1:8" x14ac:dyDescent="0.25">
      <c r="A3150" s="116">
        <v>44901</v>
      </c>
      <c r="B3150" s="10" t="s">
        <v>10077</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42" t="s">
        <v>8928</v>
      </c>
    </row>
    <row r="3155" spans="1:8" x14ac:dyDescent="0.25">
      <c r="A3155" s="116">
        <v>44902</v>
      </c>
      <c r="B3155" s="10" t="s">
        <v>8426</v>
      </c>
      <c r="C3155" s="11" t="s">
        <v>2212</v>
      </c>
      <c r="F3155" s="9">
        <v>39210</v>
      </c>
      <c r="G3155" s="6">
        <f t="shared" si="51"/>
        <v>-39210</v>
      </c>
      <c r="H3155" s="1242"/>
    </row>
    <row r="3156" spans="1:8" x14ac:dyDescent="0.25">
      <c r="A3156" s="116">
        <v>44902</v>
      </c>
      <c r="B3156" s="10" t="s">
        <v>8653</v>
      </c>
      <c r="C3156" s="11" t="s">
        <v>2212</v>
      </c>
      <c r="F3156" s="9">
        <v>18450</v>
      </c>
      <c r="G3156" s="6">
        <f t="shared" si="51"/>
        <v>-18450</v>
      </c>
      <c r="H3156" s="1242"/>
    </row>
    <row r="3157" spans="1:8" x14ac:dyDescent="0.25">
      <c r="A3157" s="116">
        <v>44902</v>
      </c>
      <c r="B3157" s="10" t="s">
        <v>8752</v>
      </c>
      <c r="C3157" s="11" t="s">
        <v>2212</v>
      </c>
      <c r="F3157" s="9">
        <v>80000</v>
      </c>
      <c r="G3157" s="6">
        <f t="shared" si="51"/>
        <v>-80000</v>
      </c>
      <c r="H3157" s="1242"/>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04" t="s">
        <v>8955</v>
      </c>
    </row>
    <row r="3166" spans="1:8" x14ac:dyDescent="0.25">
      <c r="A3166" s="116">
        <v>44907</v>
      </c>
      <c r="B3166" s="756" t="s">
        <v>3979</v>
      </c>
      <c r="C3166" s="764" t="s">
        <v>440</v>
      </c>
      <c r="D3166" s="795"/>
      <c r="E3166" s="765"/>
      <c r="F3166" s="766">
        <v>68000</v>
      </c>
      <c r="G3166" s="767">
        <f t="shared" si="51"/>
        <v>-68000</v>
      </c>
      <c r="H3166" s="1204"/>
    </row>
    <row r="3167" spans="1:8" x14ac:dyDescent="0.25">
      <c r="A3167" s="116">
        <v>44907</v>
      </c>
      <c r="B3167" s="756" t="s">
        <v>1407</v>
      </c>
      <c r="C3167" s="764" t="s">
        <v>440</v>
      </c>
      <c r="D3167" s="795"/>
      <c r="E3167" s="765"/>
      <c r="F3167" s="766">
        <v>7600</v>
      </c>
      <c r="G3167" s="767">
        <f t="shared" si="51"/>
        <v>-7600</v>
      </c>
      <c r="H3167" s="1204"/>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41" t="s">
        <v>8975</v>
      </c>
    </row>
    <row r="3177" spans="1:8" x14ac:dyDescent="0.25">
      <c r="A3177" s="116">
        <v>44910</v>
      </c>
      <c r="B3177" s="756" t="s">
        <v>6562</v>
      </c>
      <c r="C3177" s="764" t="s">
        <v>164</v>
      </c>
      <c r="D3177" s="795"/>
      <c r="E3177" s="765"/>
      <c r="F3177" s="766">
        <v>9328</v>
      </c>
      <c r="G3177" s="767">
        <f t="shared" si="51"/>
        <v>-9328</v>
      </c>
      <c r="H3177" s="1241"/>
    </row>
    <row r="3178" spans="1:8" x14ac:dyDescent="0.25">
      <c r="A3178" s="116">
        <v>44910</v>
      </c>
      <c r="B3178" s="756" t="s">
        <v>7132</v>
      </c>
      <c r="C3178" s="764" t="s">
        <v>164</v>
      </c>
      <c r="D3178" s="795"/>
      <c r="E3178" s="765"/>
      <c r="F3178" s="766">
        <v>247</v>
      </c>
      <c r="G3178" s="767">
        <f t="shared" si="51"/>
        <v>-247</v>
      </c>
      <c r="H3178" s="1241"/>
    </row>
    <row r="3179" spans="1:8" x14ac:dyDescent="0.25">
      <c r="A3179" s="116">
        <v>44910</v>
      </c>
      <c r="B3179" s="756" t="s">
        <v>1407</v>
      </c>
      <c r="C3179" s="764" t="s">
        <v>164</v>
      </c>
      <c r="D3179" s="795"/>
      <c r="E3179" s="765"/>
      <c r="F3179" s="766">
        <v>23076</v>
      </c>
      <c r="G3179" s="767">
        <f t="shared" si="51"/>
        <v>-23076</v>
      </c>
      <c r="H3179" s="1241"/>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40" t="s">
        <v>9002</v>
      </c>
    </row>
    <row r="3188" spans="1:8" x14ac:dyDescent="0.25">
      <c r="A3188" s="116">
        <v>44914</v>
      </c>
      <c r="B3188" s="756" t="s">
        <v>6568</v>
      </c>
      <c r="C3188" s="764" t="s">
        <v>3039</v>
      </c>
      <c r="D3188" s="795"/>
      <c r="E3188" s="765"/>
      <c r="F3188" s="766">
        <v>11000</v>
      </c>
      <c r="G3188" s="767">
        <f t="shared" si="51"/>
        <v>-11000</v>
      </c>
      <c r="H3188" s="1240"/>
    </row>
    <row r="3189" spans="1:8" x14ac:dyDescent="0.25">
      <c r="A3189" s="116">
        <v>44914</v>
      </c>
      <c r="B3189" s="756" t="s">
        <v>8122</v>
      </c>
      <c r="C3189" s="764" t="s">
        <v>3039</v>
      </c>
      <c r="D3189" s="795"/>
      <c r="E3189" s="765"/>
      <c r="F3189" s="766">
        <v>25000</v>
      </c>
      <c r="G3189" s="767">
        <f t="shared" si="51"/>
        <v>-25000</v>
      </c>
      <c r="H3189" s="1240"/>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53" t="s">
        <v>9095</v>
      </c>
    </row>
    <row r="3224" spans="1:8" x14ac:dyDescent="0.25">
      <c r="A3224" s="116">
        <v>44933</v>
      </c>
      <c r="B3224" s="21" t="s">
        <v>8000</v>
      </c>
      <c r="C3224" s="13" t="s">
        <v>8545</v>
      </c>
      <c r="D3224" s="782"/>
      <c r="E3224" s="22"/>
      <c r="F3224" s="19">
        <v>42000</v>
      </c>
      <c r="G3224" s="14">
        <f t="shared" si="51"/>
        <v>-42000</v>
      </c>
      <c r="H3224" s="1155"/>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93" t="s">
        <v>9140</v>
      </c>
    </row>
    <row r="3241" spans="1:8" x14ac:dyDescent="0.25">
      <c r="A3241" s="116">
        <v>44942</v>
      </c>
      <c r="B3241" s="21" t="s">
        <v>8000</v>
      </c>
      <c r="C3241" s="13" t="s">
        <v>166</v>
      </c>
      <c r="D3241" s="782"/>
      <c r="E3241" s="799"/>
      <c r="F3241" s="148">
        <v>25000</v>
      </c>
      <c r="G3241" s="800">
        <f t="shared" si="51"/>
        <v>-25000</v>
      </c>
      <c r="H3241" s="1219"/>
    </row>
    <row r="3242" spans="1:8" x14ac:dyDescent="0.25">
      <c r="A3242" s="116">
        <v>44942</v>
      </c>
      <c r="B3242" s="21" t="s">
        <v>8426</v>
      </c>
      <c r="C3242" s="13" t="s">
        <v>166</v>
      </c>
      <c r="D3242" s="782"/>
      <c r="E3242" s="799"/>
      <c r="F3242" s="148">
        <v>69000</v>
      </c>
      <c r="G3242" s="800">
        <f t="shared" si="51"/>
        <v>-69000</v>
      </c>
      <c r="H3242" s="1219"/>
    </row>
    <row r="3243" spans="1:8" x14ac:dyDescent="0.25">
      <c r="A3243" s="116">
        <v>44942</v>
      </c>
      <c r="B3243" s="21" t="s">
        <v>8653</v>
      </c>
      <c r="C3243" s="13" t="s">
        <v>166</v>
      </c>
      <c r="D3243" s="782"/>
      <c r="E3243" s="799"/>
      <c r="F3243" s="148">
        <v>15282</v>
      </c>
      <c r="G3243" s="800">
        <f t="shared" si="51"/>
        <v>-15282</v>
      </c>
      <c r="H3243" s="1219"/>
    </row>
    <row r="3244" spans="1:8" ht="16.5" thickBot="1" x14ac:dyDescent="0.3">
      <c r="A3244" s="116">
        <v>44942</v>
      </c>
      <c r="B3244" s="21" t="s">
        <v>8625</v>
      </c>
      <c r="C3244" s="13" t="s">
        <v>166</v>
      </c>
      <c r="D3244" s="782"/>
      <c r="E3244" s="799"/>
      <c r="F3244" s="802">
        <v>47891</v>
      </c>
      <c r="G3244" s="800">
        <f t="shared" si="51"/>
        <v>-47891</v>
      </c>
      <c r="H3244" s="1194"/>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53" t="s">
        <v>9181</v>
      </c>
    </row>
    <row r="3251" spans="1:8" x14ac:dyDescent="0.25">
      <c r="A3251" s="116">
        <v>44949</v>
      </c>
      <c r="B3251" s="21" t="s">
        <v>8426</v>
      </c>
      <c r="C3251" s="13" t="s">
        <v>169</v>
      </c>
      <c r="D3251" s="782"/>
      <c r="E3251" s="22"/>
      <c r="F3251" s="19">
        <v>65227</v>
      </c>
      <c r="G3251" s="800">
        <f t="shared" si="51"/>
        <v>-65227</v>
      </c>
      <c r="H3251" s="1155"/>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93" t="s">
        <v>10427</v>
      </c>
    </row>
    <row r="3266" spans="1:8" x14ac:dyDescent="0.25">
      <c r="A3266" s="116">
        <v>44957</v>
      </c>
      <c r="B3266" s="21" t="s">
        <v>8752</v>
      </c>
      <c r="C3266" s="13" t="s">
        <v>7309</v>
      </c>
      <c r="D3266" s="782"/>
      <c r="E3266" s="22"/>
      <c r="F3266" s="19">
        <v>443603</v>
      </c>
      <c r="G3266" s="14">
        <f t="shared" ref="G3266" si="53">E3266-F3266</f>
        <v>-443603</v>
      </c>
      <c r="H3266" s="1194"/>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50" t="s">
        <v>9414</v>
      </c>
      <c r="E3274" s="22">
        <v>56000</v>
      </c>
      <c r="F3274" s="19"/>
      <c r="G3274" s="14">
        <f t="shared" si="51"/>
        <v>56000</v>
      </c>
      <c r="H3274" s="938" t="s">
        <v>9415</v>
      </c>
    </row>
    <row r="3275" spans="1:8" x14ac:dyDescent="0.25">
      <c r="A3275" s="116">
        <v>44965</v>
      </c>
      <c r="B3275" s="21" t="s">
        <v>8122</v>
      </c>
      <c r="C3275" s="13" t="s">
        <v>169</v>
      </c>
      <c r="D3275" s="1151"/>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39" t="s">
        <v>9416</v>
      </c>
    </row>
    <row r="3277" spans="1:8" x14ac:dyDescent="0.25">
      <c r="A3277" s="116">
        <v>44965</v>
      </c>
      <c r="B3277" s="21" t="s">
        <v>8426</v>
      </c>
      <c r="C3277" s="13" t="s">
        <v>169</v>
      </c>
      <c r="D3277" s="782"/>
      <c r="E3277" s="22"/>
      <c r="F3277" s="19">
        <v>10173</v>
      </c>
      <c r="G3277" s="14">
        <f t="shared" si="51"/>
        <v>-10173</v>
      </c>
      <c r="H3277" s="1179"/>
    </row>
    <row r="3278" spans="1:8" x14ac:dyDescent="0.25">
      <c r="A3278" s="116">
        <v>44965</v>
      </c>
      <c r="B3278" s="21" t="s">
        <v>8982</v>
      </c>
      <c r="C3278" s="13" t="s">
        <v>169</v>
      </c>
      <c r="D3278" s="782"/>
      <c r="E3278" s="22"/>
      <c r="F3278" s="19">
        <v>23827</v>
      </c>
      <c r="G3278" s="14">
        <f t="shared" si="51"/>
        <v>-23827</v>
      </c>
      <c r="H3278" s="1140"/>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50" t="s">
        <v>9432</v>
      </c>
      <c r="E3281" s="22">
        <f>6336+15840+24960+43680</f>
        <v>90816</v>
      </c>
      <c r="F3281" s="19"/>
      <c r="G3281" s="14">
        <f t="shared" si="51"/>
        <v>90816</v>
      </c>
      <c r="H3281" s="1191" t="s">
        <v>9433</v>
      </c>
    </row>
    <row r="3282" spans="1:8" x14ac:dyDescent="0.25">
      <c r="A3282" s="116">
        <v>44967</v>
      </c>
      <c r="B3282" s="21" t="s">
        <v>8122</v>
      </c>
      <c r="C3282" s="13" t="s">
        <v>5234</v>
      </c>
      <c r="D3282" s="1151"/>
      <c r="E3282" s="22">
        <f>5032+5596</f>
        <v>10628</v>
      </c>
      <c r="F3282" s="19"/>
      <c r="G3282" s="14">
        <f t="shared" si="51"/>
        <v>10628</v>
      </c>
      <c r="H3282" s="1192"/>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50" t="s">
        <v>9457</v>
      </c>
      <c r="E3284" s="22">
        <f>15552+18000</f>
        <v>33552</v>
      </c>
      <c r="F3284" s="19"/>
      <c r="G3284" s="14">
        <f t="shared" si="51"/>
        <v>33552</v>
      </c>
      <c r="H3284" s="1191" t="s">
        <v>9433</v>
      </c>
    </row>
    <row r="3285" spans="1:8" x14ac:dyDescent="0.25">
      <c r="A3285" s="116">
        <v>44967</v>
      </c>
      <c r="B3285" s="21" t="s">
        <v>8426</v>
      </c>
      <c r="C3285" s="13" t="s">
        <v>5234</v>
      </c>
      <c r="D3285" s="1151"/>
      <c r="E3285" s="22">
        <v>28080</v>
      </c>
      <c r="F3285" s="19"/>
      <c r="G3285" s="14">
        <f t="shared" si="51"/>
        <v>28080</v>
      </c>
      <c r="H3285" s="1192"/>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0" t="s">
        <v>9458</v>
      </c>
    </row>
    <row r="3304" spans="1:8" x14ac:dyDescent="0.25">
      <c r="A3304" s="116">
        <v>44973</v>
      </c>
      <c r="B3304" s="21" t="s">
        <v>8156</v>
      </c>
      <c r="C3304" s="13" t="s">
        <v>5234</v>
      </c>
      <c r="D3304" s="782"/>
      <c r="E3304" s="22"/>
      <c r="F3304" s="19">
        <v>63132</v>
      </c>
      <c r="G3304" s="14">
        <f t="shared" si="51"/>
        <v>-63132</v>
      </c>
      <c r="H3304" s="1181"/>
    </row>
    <row r="3305" spans="1:8" x14ac:dyDescent="0.25">
      <c r="A3305" s="116">
        <v>44973</v>
      </c>
      <c r="B3305" s="21" t="s">
        <v>8426</v>
      </c>
      <c r="C3305" s="13" t="s">
        <v>5234</v>
      </c>
      <c r="D3305" s="782"/>
      <c r="E3305" s="22"/>
      <c r="F3305" s="19">
        <v>98924</v>
      </c>
      <c r="G3305" s="14">
        <f t="shared" si="51"/>
        <v>-98924</v>
      </c>
      <c r="H3305" s="1182"/>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44" t="s">
        <v>9566</v>
      </c>
    </row>
    <row r="3322" spans="1:8" x14ac:dyDescent="0.25">
      <c r="A3322" s="116">
        <v>45001</v>
      </c>
      <c r="B3322" s="21" t="s">
        <v>8625</v>
      </c>
      <c r="C3322" s="13" t="s">
        <v>166</v>
      </c>
      <c r="D3322" s="782"/>
      <c r="E3322" s="22"/>
      <c r="F3322" s="19">
        <v>15069</v>
      </c>
      <c r="G3322" s="14">
        <f t="shared" si="51"/>
        <v>-15069</v>
      </c>
      <c r="H3322" s="1145"/>
    </row>
    <row r="3323" spans="1:8" x14ac:dyDescent="0.25">
      <c r="A3323" s="116">
        <v>45001</v>
      </c>
      <c r="B3323" s="21" t="s">
        <v>8752</v>
      </c>
      <c r="C3323" s="13" t="s">
        <v>166</v>
      </c>
      <c r="D3323" s="782"/>
      <c r="E3323" s="22"/>
      <c r="F3323" s="19">
        <v>848690</v>
      </c>
      <c r="G3323" s="14">
        <f t="shared" si="51"/>
        <v>-848690</v>
      </c>
      <c r="H3323" s="1145"/>
    </row>
    <row r="3324" spans="1:8" x14ac:dyDescent="0.25">
      <c r="A3324" s="116">
        <v>45001</v>
      </c>
      <c r="B3324" s="21" t="s">
        <v>8974</v>
      </c>
      <c r="C3324" s="13" t="s">
        <v>166</v>
      </c>
      <c r="D3324" s="782"/>
      <c r="E3324" s="22"/>
      <c r="F3324" s="19">
        <v>78000</v>
      </c>
      <c r="G3324" s="14">
        <f t="shared" si="51"/>
        <v>-78000</v>
      </c>
      <c r="H3324" s="1145"/>
    </row>
    <row r="3325" spans="1:8" x14ac:dyDescent="0.25">
      <c r="A3325" s="116">
        <v>45001</v>
      </c>
      <c r="B3325" s="21" t="s">
        <v>8982</v>
      </c>
      <c r="C3325" s="13" t="s">
        <v>166</v>
      </c>
      <c r="D3325" s="782"/>
      <c r="E3325" s="22"/>
      <c r="F3325" s="19">
        <v>115000</v>
      </c>
      <c r="G3325" s="14">
        <f t="shared" si="51"/>
        <v>-115000</v>
      </c>
      <c r="H3325" s="1146"/>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36" t="s">
        <v>9587</v>
      </c>
    </row>
    <row r="3329" spans="1:8" x14ac:dyDescent="0.25">
      <c r="A3329" s="116">
        <v>45002</v>
      </c>
      <c r="B3329" s="21" t="s">
        <v>8974</v>
      </c>
      <c r="C3329" s="13" t="s">
        <v>180</v>
      </c>
      <c r="D3329" s="782"/>
      <c r="E3329" s="22"/>
      <c r="F3329" s="19">
        <v>164160</v>
      </c>
      <c r="G3329" s="14">
        <f t="shared" si="51"/>
        <v>-164160</v>
      </c>
      <c r="H3329" s="1237"/>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36" t="s">
        <v>9113</v>
      </c>
    </row>
    <row r="3334" spans="1:8" x14ac:dyDescent="0.25">
      <c r="A3334" s="116">
        <v>45005</v>
      </c>
      <c r="B3334" s="21" t="s">
        <v>8752</v>
      </c>
      <c r="C3334" s="13" t="s">
        <v>8483</v>
      </c>
      <c r="D3334" s="782"/>
      <c r="E3334" s="22"/>
      <c r="F3334" s="19">
        <v>371446</v>
      </c>
      <c r="G3334" s="14">
        <f t="shared" si="57"/>
        <v>-371446</v>
      </c>
      <c r="H3334" s="1237"/>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38" t="s">
        <v>9390</v>
      </c>
      <c r="E3346" s="22">
        <v>28496</v>
      </c>
      <c r="F3346" s="19"/>
      <c r="G3346" s="14">
        <f t="shared" si="57"/>
        <v>28496</v>
      </c>
      <c r="H3346" s="1191" t="s">
        <v>9433</v>
      </c>
    </row>
    <row r="3347" spans="1:8" x14ac:dyDescent="0.25">
      <c r="A3347" s="116">
        <v>45019</v>
      </c>
      <c r="B3347" s="21" t="s">
        <v>3979</v>
      </c>
      <c r="C3347" s="13" t="s">
        <v>8483</v>
      </c>
      <c r="D3347" s="1239"/>
      <c r="E3347" s="22">
        <v>8745</v>
      </c>
      <c r="F3347" s="19"/>
      <c r="G3347" s="14">
        <f t="shared" si="57"/>
        <v>8745</v>
      </c>
      <c r="H3347" s="1192"/>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50" t="s">
        <v>9710</v>
      </c>
      <c r="E3351" s="22">
        <v>20000</v>
      </c>
      <c r="F3351" s="19"/>
      <c r="G3351" s="14">
        <f t="shared" si="57"/>
        <v>20000</v>
      </c>
      <c r="H3351" s="1191" t="s">
        <v>9433</v>
      </c>
    </row>
    <row r="3352" spans="1:8" x14ac:dyDescent="0.25">
      <c r="A3352" s="116">
        <v>45024</v>
      </c>
      <c r="B3352" s="21" t="s">
        <v>8122</v>
      </c>
      <c r="C3352" s="13" t="s">
        <v>5234</v>
      </c>
      <c r="D3352" s="1151"/>
      <c r="E3352" s="22">
        <v>15000</v>
      </c>
      <c r="F3352" s="19"/>
      <c r="G3352" s="14">
        <f t="shared" si="57"/>
        <v>15000</v>
      </c>
      <c r="H3352" s="1192"/>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188" t="s">
        <v>1164</v>
      </c>
    </row>
    <row r="3356" spans="1:8" x14ac:dyDescent="0.25">
      <c r="A3356" s="116">
        <v>45026</v>
      </c>
      <c r="B3356" s="21" t="s">
        <v>8426</v>
      </c>
      <c r="C3356" s="13" t="s">
        <v>5234</v>
      </c>
      <c r="D3356" s="782"/>
      <c r="E3356" s="22"/>
      <c r="F3356" s="19">
        <v>20624</v>
      </c>
      <c r="G3356" s="14">
        <f t="shared" si="57"/>
        <v>-20624</v>
      </c>
      <c r="H3356" s="1189"/>
    </row>
    <row r="3357" spans="1:8" x14ac:dyDescent="0.25">
      <c r="A3357" s="116">
        <v>45026</v>
      </c>
      <c r="B3357" s="21" t="s">
        <v>8982</v>
      </c>
      <c r="C3357" s="13" t="s">
        <v>5234</v>
      </c>
      <c r="D3357" s="782"/>
      <c r="E3357" s="22"/>
      <c r="F3357" s="19">
        <v>34826</v>
      </c>
      <c r="G3357" s="14">
        <f t="shared" si="57"/>
        <v>-34826</v>
      </c>
      <c r="H3357" s="1190"/>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70" t="s">
        <v>9764</v>
      </c>
    </row>
    <row r="3362" spans="1:8" ht="15.75" customHeight="1" x14ac:dyDescent="0.25">
      <c r="A3362" s="116">
        <v>45029</v>
      </c>
      <c r="B3362" s="21" t="s">
        <v>7733</v>
      </c>
      <c r="C3362" s="13" t="s">
        <v>5731</v>
      </c>
      <c r="D3362" s="782"/>
      <c r="E3362" s="799"/>
      <c r="F3362" s="148">
        <v>40900</v>
      </c>
      <c r="G3362" s="800">
        <f t="shared" si="57"/>
        <v>-40900</v>
      </c>
      <c r="H3362" s="1171"/>
    </row>
    <row r="3363" spans="1:8" ht="15.75" customHeight="1" x14ac:dyDescent="0.25">
      <c r="A3363" s="116">
        <v>45029</v>
      </c>
      <c r="B3363" s="21" t="s">
        <v>7627</v>
      </c>
      <c r="C3363" s="13" t="s">
        <v>5731</v>
      </c>
      <c r="D3363" s="782"/>
      <c r="E3363" s="799"/>
      <c r="F3363" s="148">
        <v>5400</v>
      </c>
      <c r="G3363" s="800">
        <f t="shared" si="57"/>
        <v>-5400</v>
      </c>
      <c r="H3363" s="1171"/>
    </row>
    <row r="3364" spans="1:8" ht="16.5" thickBot="1" x14ac:dyDescent="0.3">
      <c r="A3364" s="116">
        <v>45029</v>
      </c>
      <c r="B3364" s="21" t="s">
        <v>8752</v>
      </c>
      <c r="C3364" s="13" t="s">
        <v>5731</v>
      </c>
      <c r="D3364" s="782"/>
      <c r="E3364" s="799"/>
      <c r="F3364" s="802">
        <v>40520</v>
      </c>
      <c r="G3364" s="800">
        <f t="shared" si="57"/>
        <v>-40520</v>
      </c>
      <c r="H3364" s="1172"/>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170" t="s">
        <v>9764</v>
      </c>
    </row>
    <row r="3368" spans="1:8" x14ac:dyDescent="0.25">
      <c r="A3368" s="116">
        <v>45031</v>
      </c>
      <c r="B3368" s="21" t="s">
        <v>8982</v>
      </c>
      <c r="C3368" s="13" t="s">
        <v>169</v>
      </c>
      <c r="D3368" s="782"/>
      <c r="E3368" s="799"/>
      <c r="F3368" s="148">
        <v>18365</v>
      </c>
      <c r="G3368" s="800">
        <f t="shared" si="57"/>
        <v>-18365</v>
      </c>
      <c r="H3368" s="1171"/>
    </row>
    <row r="3369" spans="1:8" x14ac:dyDescent="0.25">
      <c r="A3369" s="116">
        <v>45031</v>
      </c>
      <c r="B3369" s="21" t="s">
        <v>9516</v>
      </c>
      <c r="C3369" s="13" t="s">
        <v>169</v>
      </c>
      <c r="D3369" s="782"/>
      <c r="E3369" s="799"/>
      <c r="F3369" s="148">
        <v>20500</v>
      </c>
      <c r="G3369" s="800">
        <f t="shared" si="57"/>
        <v>-20500</v>
      </c>
      <c r="H3369" s="1171"/>
    </row>
    <row r="3370" spans="1:8" ht="16.5" thickBot="1" x14ac:dyDescent="0.3">
      <c r="A3370" s="116">
        <v>45031</v>
      </c>
      <c r="B3370" s="21" t="s">
        <v>9516</v>
      </c>
      <c r="C3370" s="13" t="s">
        <v>169</v>
      </c>
      <c r="D3370" s="782"/>
      <c r="E3370" s="799"/>
      <c r="F3370" s="802">
        <v>4135</v>
      </c>
      <c r="G3370" s="800">
        <f t="shared" si="57"/>
        <v>-4135</v>
      </c>
      <c r="H3370" s="1172"/>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185" t="s">
        <v>9834</v>
      </c>
    </row>
    <row r="3375" spans="1:8" x14ac:dyDescent="0.25">
      <c r="A3375" s="116">
        <v>45035</v>
      </c>
      <c r="B3375" s="21" t="s">
        <v>8752</v>
      </c>
      <c r="C3375" s="13" t="s">
        <v>8483</v>
      </c>
      <c r="D3375" s="782"/>
      <c r="E3375" s="799"/>
      <c r="F3375" s="148">
        <v>51861</v>
      </c>
      <c r="G3375" s="14">
        <f t="shared" si="58"/>
        <v>-51861</v>
      </c>
      <c r="H3375" s="1186"/>
    </row>
    <row r="3376" spans="1:8" x14ac:dyDescent="0.25">
      <c r="A3376" s="116">
        <v>45035</v>
      </c>
      <c r="B3376" s="21" t="s">
        <v>8982</v>
      </c>
      <c r="C3376" s="13" t="s">
        <v>8483</v>
      </c>
      <c r="D3376" s="782"/>
      <c r="E3376" s="799"/>
      <c r="F3376" s="148">
        <v>17015</v>
      </c>
      <c r="G3376" s="14">
        <f t="shared" si="58"/>
        <v>-17015</v>
      </c>
      <c r="H3376" s="1186"/>
    </row>
    <row r="3377" spans="1:8" x14ac:dyDescent="0.25">
      <c r="A3377" s="116">
        <v>45035</v>
      </c>
      <c r="B3377" s="21" t="s">
        <v>9615</v>
      </c>
      <c r="C3377" s="13" t="s">
        <v>8483</v>
      </c>
      <c r="D3377" s="782"/>
      <c r="E3377" s="799"/>
      <c r="F3377" s="148">
        <v>28496</v>
      </c>
      <c r="G3377" s="14">
        <f t="shared" si="58"/>
        <v>-28496</v>
      </c>
      <c r="H3377" s="1186"/>
    </row>
    <row r="3378" spans="1:8" x14ac:dyDescent="0.25">
      <c r="A3378" s="116">
        <v>45035</v>
      </c>
      <c r="B3378" s="21" t="s">
        <v>9463</v>
      </c>
      <c r="C3378" s="13" t="s">
        <v>8483</v>
      </c>
      <c r="D3378" s="782"/>
      <c r="E3378" s="971"/>
      <c r="F3378" s="153">
        <v>93883</v>
      </c>
      <c r="G3378" s="14">
        <f t="shared" si="58"/>
        <v>-93883</v>
      </c>
      <c r="H3378" s="1187"/>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183" t="s">
        <v>9846</v>
      </c>
    </row>
    <row r="3383" spans="1:8" x14ac:dyDescent="0.25">
      <c r="A3383" s="116">
        <v>45043</v>
      </c>
      <c r="B3383" s="21" t="s">
        <v>8752</v>
      </c>
      <c r="C3383" s="13" t="s">
        <v>8483</v>
      </c>
      <c r="D3383" s="782"/>
      <c r="E3383" s="22"/>
      <c r="F3383" s="19">
        <v>447612</v>
      </c>
      <c r="G3383" s="14">
        <f t="shared" si="58"/>
        <v>-447612</v>
      </c>
      <c r="H3383" s="1184"/>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53" t="s">
        <v>9908</v>
      </c>
    </row>
    <row r="3390" spans="1:8" x14ac:dyDescent="0.25">
      <c r="A3390" s="116">
        <v>45049</v>
      </c>
      <c r="B3390" s="21" t="s">
        <v>9769</v>
      </c>
      <c r="C3390" s="13" t="s">
        <v>8483</v>
      </c>
      <c r="D3390" s="782"/>
      <c r="E3390" s="22"/>
      <c r="F3390" s="19">
        <f>730000-F3389</f>
        <v>235093</v>
      </c>
      <c r="G3390" s="14">
        <f t="shared" si="58"/>
        <v>-235093</v>
      </c>
      <c r="H3390" s="1154"/>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53" t="s">
        <v>9956</v>
      </c>
    </row>
    <row r="3400" spans="1:8" ht="16.5" thickBot="1" x14ac:dyDescent="0.3">
      <c r="A3400" s="116">
        <v>45056</v>
      </c>
      <c r="B3400" s="21" t="s">
        <v>9463</v>
      </c>
      <c r="C3400" s="13" t="s">
        <v>169</v>
      </c>
      <c r="D3400" s="782"/>
      <c r="E3400" s="799"/>
      <c r="F3400" s="802">
        <v>124699</v>
      </c>
      <c r="G3400" s="800">
        <f t="shared" si="58"/>
        <v>-124699</v>
      </c>
      <c r="H3400" s="1155"/>
    </row>
    <row r="3401" spans="1:8" x14ac:dyDescent="0.25">
      <c r="A3401" s="116">
        <v>45056</v>
      </c>
      <c r="B3401" s="21" t="s">
        <v>8982</v>
      </c>
      <c r="C3401" s="13" t="s">
        <v>180</v>
      </c>
      <c r="D3401" s="782"/>
      <c r="E3401" s="799"/>
      <c r="F3401" s="801">
        <v>380920</v>
      </c>
      <c r="G3401" s="800">
        <f t="shared" si="58"/>
        <v>-380920</v>
      </c>
      <c r="H3401" s="1153" t="s">
        <v>9957</v>
      </c>
    </row>
    <row r="3402" spans="1:8" ht="16.5" thickBot="1" x14ac:dyDescent="0.3">
      <c r="A3402" s="116">
        <v>45056</v>
      </c>
      <c r="B3402" s="21" t="s">
        <v>9516</v>
      </c>
      <c r="C3402" s="13" t="s">
        <v>180</v>
      </c>
      <c r="D3402" s="782"/>
      <c r="E3402" s="799"/>
      <c r="F3402" s="802">
        <v>192080</v>
      </c>
      <c r="G3402" s="800">
        <f t="shared" si="58"/>
        <v>-192080</v>
      </c>
      <c r="H3402" s="1155"/>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53" t="s">
        <v>9975</v>
      </c>
    </row>
    <row r="3405" spans="1:8" x14ac:dyDescent="0.25">
      <c r="A3405" s="116">
        <v>45056</v>
      </c>
      <c r="B3405" s="21" t="s">
        <v>8982</v>
      </c>
      <c r="C3405" s="13" t="s">
        <v>5234</v>
      </c>
      <c r="D3405" s="782"/>
      <c r="E3405" s="22"/>
      <c r="F3405" s="115">
        <v>150000</v>
      </c>
      <c r="G3405" s="14">
        <f t="shared" si="58"/>
        <v>-150000</v>
      </c>
      <c r="H3405" s="1154"/>
    </row>
    <row r="3406" spans="1:8" x14ac:dyDescent="0.25">
      <c r="A3406" s="116">
        <v>45056</v>
      </c>
      <c r="B3406" s="21" t="s">
        <v>8982</v>
      </c>
      <c r="C3406" s="13" t="s">
        <v>5234</v>
      </c>
      <c r="D3406" s="782"/>
      <c r="E3406" s="22"/>
      <c r="F3406" s="115">
        <v>35000</v>
      </c>
      <c r="G3406" s="14">
        <f t="shared" si="58"/>
        <v>-35000</v>
      </c>
      <c r="H3406" s="1154"/>
    </row>
    <row r="3407" spans="1:8" x14ac:dyDescent="0.25">
      <c r="A3407" s="116">
        <v>45056</v>
      </c>
      <c r="B3407" s="21" t="s">
        <v>8982</v>
      </c>
      <c r="C3407" s="13" t="s">
        <v>5234</v>
      </c>
      <c r="D3407" s="782"/>
      <c r="E3407" s="22"/>
      <c r="F3407" s="115">
        <v>5000</v>
      </c>
      <c r="G3407" s="14">
        <f t="shared" si="58"/>
        <v>-5000</v>
      </c>
      <c r="H3407" s="1155"/>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10338</v>
      </c>
      <c r="E3409" s="22">
        <v>5187</v>
      </c>
      <c r="F3409" s="115"/>
      <c r="G3409" s="14">
        <f t="shared" si="58"/>
        <v>5187</v>
      </c>
      <c r="H3409" s="972"/>
    </row>
    <row r="3410" spans="1:8" x14ac:dyDescent="0.25">
      <c r="A3410" s="116">
        <v>45056</v>
      </c>
      <c r="B3410" s="21" t="s">
        <v>11207</v>
      </c>
      <c r="C3410" s="13" t="s">
        <v>12081</v>
      </c>
      <c r="D3410" s="782"/>
      <c r="E3410" s="22"/>
      <c r="F3410" s="115">
        <v>5000000</v>
      </c>
      <c r="G3410" s="14">
        <f t="shared" si="58"/>
        <v>-5000000</v>
      </c>
      <c r="H3410" s="972" t="s">
        <v>9941</v>
      </c>
    </row>
    <row r="3411" spans="1:8" x14ac:dyDescent="0.25">
      <c r="A3411" s="116">
        <v>45056</v>
      </c>
      <c r="B3411" s="21" t="s">
        <v>11207</v>
      </c>
      <c r="C3411" s="13" t="s">
        <v>12081</v>
      </c>
      <c r="D3411" s="782"/>
      <c r="E3411" s="22"/>
      <c r="F3411" s="115">
        <v>-500000</v>
      </c>
      <c r="G3411" s="14">
        <f t="shared" si="58"/>
        <v>500000</v>
      </c>
      <c r="H3411" s="351" t="s">
        <v>12088</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10088</v>
      </c>
      <c r="E3413" s="22">
        <v>77980</v>
      </c>
      <c r="F3413" s="19"/>
      <c r="G3413" s="14">
        <f t="shared" si="58"/>
        <v>77980</v>
      </c>
      <c r="H3413" s="13" t="s">
        <v>10089</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10296</v>
      </c>
      <c r="E3416" s="22">
        <v>37560</v>
      </c>
      <c r="F3416" s="19"/>
      <c r="G3416" s="14">
        <f t="shared" si="58"/>
        <v>37560</v>
      </c>
      <c r="H3416" s="13"/>
    </row>
    <row r="3417" spans="1:8" x14ac:dyDescent="0.25">
      <c r="A3417" s="116">
        <v>45062</v>
      </c>
      <c r="B3417" s="21" t="s">
        <v>10077</v>
      </c>
      <c r="C3417" s="13" t="s">
        <v>166</v>
      </c>
      <c r="D3417" s="782" t="s">
        <v>10078</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10070</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10079</v>
      </c>
      <c r="E3424" s="22">
        <v>6900</v>
      </c>
      <c r="F3424" s="19"/>
      <c r="G3424" s="14">
        <f t="shared" si="59"/>
        <v>6900</v>
      </c>
      <c r="H3424" s="13" t="s">
        <v>10080</v>
      </c>
    </row>
    <row r="3425" spans="1:8" x14ac:dyDescent="0.25">
      <c r="A3425" s="116">
        <v>45065</v>
      </c>
      <c r="B3425" s="21" t="s">
        <v>9769</v>
      </c>
      <c r="C3425" s="13" t="s">
        <v>7538</v>
      </c>
      <c r="D3425" s="782" t="s">
        <v>10090</v>
      </c>
      <c r="E3425" s="22">
        <v>51648</v>
      </c>
      <c r="F3425" s="19"/>
      <c r="G3425" s="14">
        <f t="shared" si="59"/>
        <v>51648</v>
      </c>
      <c r="H3425" s="13" t="s">
        <v>10091</v>
      </c>
    </row>
    <row r="3426" spans="1:8" x14ac:dyDescent="0.25">
      <c r="A3426" s="116">
        <v>45065</v>
      </c>
      <c r="B3426" s="21" t="s">
        <v>10077</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10071</v>
      </c>
      <c r="E3428" s="22">
        <v>329527</v>
      </c>
      <c r="F3428" s="19"/>
      <c r="G3428" s="14">
        <f t="shared" si="59"/>
        <v>329527</v>
      </c>
      <c r="H3428" s="13"/>
    </row>
    <row r="3429" spans="1:8" x14ac:dyDescent="0.25">
      <c r="A3429" s="116">
        <v>45069</v>
      </c>
      <c r="B3429" s="21" t="s">
        <v>9769</v>
      </c>
      <c r="C3429" s="13" t="s">
        <v>8483</v>
      </c>
      <c r="D3429" s="782" t="s">
        <v>10072</v>
      </c>
      <c r="E3429" s="22">
        <v>154261</v>
      </c>
      <c r="F3429" s="19"/>
      <c r="G3429" s="14">
        <f t="shared" si="59"/>
        <v>154261</v>
      </c>
      <c r="H3429" s="13"/>
    </row>
    <row r="3430" spans="1:8" x14ac:dyDescent="0.25">
      <c r="A3430" s="116">
        <v>45069</v>
      </c>
      <c r="B3430" s="21" t="s">
        <v>10077</v>
      </c>
      <c r="C3430" s="13" t="s">
        <v>1816</v>
      </c>
      <c r="D3430" s="782"/>
      <c r="E3430" s="799">
        <v>873</v>
      </c>
      <c r="F3430" s="113"/>
      <c r="G3430" s="800">
        <f>E3430-F3430</f>
        <v>873</v>
      </c>
      <c r="H3430" s="351"/>
    </row>
    <row r="3431" spans="1:8" x14ac:dyDescent="0.25">
      <c r="A3431" s="116">
        <v>45069</v>
      </c>
      <c r="B3431" s="21" t="s">
        <v>9463</v>
      </c>
      <c r="C3431" s="13" t="s">
        <v>169</v>
      </c>
      <c r="D3431" s="782" t="s">
        <v>10300</v>
      </c>
      <c r="E3431" s="22">
        <v>7880</v>
      </c>
      <c r="F3431" s="19"/>
      <c r="G3431" s="14">
        <f t="shared" si="59"/>
        <v>7880</v>
      </c>
      <c r="H3431" s="13"/>
    </row>
    <row r="3432" spans="1:8" x14ac:dyDescent="0.25">
      <c r="A3432" s="116">
        <v>45070</v>
      </c>
      <c r="B3432" s="21" t="s">
        <v>9877</v>
      </c>
      <c r="C3432" s="13" t="s">
        <v>8483</v>
      </c>
      <c r="D3432" s="782" t="s">
        <v>10073</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10339</v>
      </c>
      <c r="E3434" s="22">
        <v>2537</v>
      </c>
      <c r="F3434" s="19"/>
      <c r="G3434" s="14">
        <f t="shared" si="58"/>
        <v>2537</v>
      </c>
      <c r="H3434" s="13"/>
    </row>
    <row r="3435" spans="1:8" x14ac:dyDescent="0.25">
      <c r="A3435" s="116">
        <v>45072</v>
      </c>
      <c r="B3435" s="21" t="s">
        <v>9769</v>
      </c>
      <c r="C3435" s="13" t="s">
        <v>7538</v>
      </c>
      <c r="D3435" s="782" t="s">
        <v>10092</v>
      </c>
      <c r="E3435" s="22">
        <v>10200</v>
      </c>
      <c r="F3435" s="19"/>
      <c r="G3435" s="14">
        <f t="shared" si="58"/>
        <v>10200</v>
      </c>
      <c r="H3435" s="13" t="s">
        <v>10093</v>
      </c>
    </row>
    <row r="3436" spans="1:8" x14ac:dyDescent="0.25">
      <c r="A3436" s="116">
        <v>45072</v>
      </c>
      <c r="B3436" s="21" t="s">
        <v>11207</v>
      </c>
      <c r="C3436" s="13" t="s">
        <v>12081</v>
      </c>
      <c r="D3436" s="782"/>
      <c r="E3436" s="22"/>
      <c r="F3436" s="115">
        <v>3000000</v>
      </c>
      <c r="G3436" s="14">
        <f t="shared" ref="G3436" si="60">E3436-F3436</f>
        <v>-3000000</v>
      </c>
      <c r="H3436" s="351" t="s">
        <v>10067</v>
      </c>
    </row>
    <row r="3437" spans="1:8" x14ac:dyDescent="0.25">
      <c r="A3437" s="116">
        <v>45076</v>
      </c>
      <c r="B3437" s="21" t="s">
        <v>8653</v>
      </c>
      <c r="C3437" s="13" t="s">
        <v>7309</v>
      </c>
      <c r="D3437" s="782"/>
      <c r="E3437" s="22"/>
      <c r="F3437" s="19">
        <v>536250</v>
      </c>
      <c r="G3437" s="14">
        <f t="shared" si="58"/>
        <v>-536250</v>
      </c>
      <c r="H3437" s="13" t="s">
        <v>10064</v>
      </c>
    </row>
    <row r="3438" spans="1:8" ht="15.75" customHeight="1" x14ac:dyDescent="0.25">
      <c r="A3438" s="116">
        <v>45076</v>
      </c>
      <c r="B3438" s="21" t="s">
        <v>1407</v>
      </c>
      <c r="C3438" s="13" t="s">
        <v>7309</v>
      </c>
      <c r="D3438" s="782"/>
      <c r="E3438" s="22"/>
      <c r="F3438" s="19">
        <v>148548</v>
      </c>
      <c r="G3438" s="14">
        <f t="shared" si="58"/>
        <v>-148548</v>
      </c>
      <c r="H3438" s="1144" t="s">
        <v>10428</v>
      </c>
    </row>
    <row r="3439" spans="1:8" x14ac:dyDescent="0.25">
      <c r="A3439" s="116">
        <v>45076</v>
      </c>
      <c r="B3439" s="21" t="s">
        <v>8122</v>
      </c>
      <c r="C3439" s="13" t="s">
        <v>7309</v>
      </c>
      <c r="D3439" s="782"/>
      <c r="E3439" s="22"/>
      <c r="F3439" s="19">
        <v>141655</v>
      </c>
      <c r="G3439" s="14">
        <f t="shared" si="58"/>
        <v>-141655</v>
      </c>
      <c r="H3439" s="1145"/>
    </row>
    <row r="3440" spans="1:8" x14ac:dyDescent="0.25">
      <c r="A3440" s="116">
        <v>45076</v>
      </c>
      <c r="B3440" s="21" t="s">
        <v>8426</v>
      </c>
      <c r="C3440" s="13" t="s">
        <v>7309</v>
      </c>
      <c r="D3440" s="782"/>
      <c r="E3440" s="22"/>
      <c r="F3440" s="19">
        <v>27798</v>
      </c>
      <c r="G3440" s="14">
        <f t="shared" si="58"/>
        <v>-27798</v>
      </c>
      <c r="H3440" s="1145"/>
    </row>
    <row r="3441" spans="1:8" x14ac:dyDescent="0.25">
      <c r="A3441" s="116">
        <v>45076</v>
      </c>
      <c r="B3441" s="21" t="s">
        <v>8653</v>
      </c>
      <c r="C3441" s="13" t="s">
        <v>7309</v>
      </c>
      <c r="D3441" s="782"/>
      <c r="E3441" s="22"/>
      <c r="F3441" s="19">
        <v>65342</v>
      </c>
      <c r="G3441" s="14">
        <f t="shared" si="58"/>
        <v>-65342</v>
      </c>
      <c r="H3441" s="1145"/>
    </row>
    <row r="3442" spans="1:8" x14ac:dyDescent="0.25">
      <c r="A3442" s="116">
        <v>45076</v>
      </c>
      <c r="B3442" s="21" t="s">
        <v>8752</v>
      </c>
      <c r="C3442" s="13" t="s">
        <v>7309</v>
      </c>
      <c r="D3442" s="782"/>
      <c r="E3442" s="22"/>
      <c r="F3442" s="19">
        <v>188071</v>
      </c>
      <c r="G3442" s="14">
        <f t="shared" si="58"/>
        <v>-188071</v>
      </c>
      <c r="H3442" s="1145"/>
    </row>
    <row r="3443" spans="1:8" x14ac:dyDescent="0.25">
      <c r="A3443" s="116">
        <v>45076</v>
      </c>
      <c r="B3443" s="21" t="s">
        <v>8974</v>
      </c>
      <c r="C3443" s="13" t="s">
        <v>7309</v>
      </c>
      <c r="D3443" s="782"/>
      <c r="E3443" s="22"/>
      <c r="F3443" s="19">
        <v>3983</v>
      </c>
      <c r="G3443" s="14">
        <f t="shared" si="58"/>
        <v>-3983</v>
      </c>
      <c r="H3443" s="1145"/>
    </row>
    <row r="3444" spans="1:8" x14ac:dyDescent="0.25">
      <c r="A3444" s="116">
        <v>45076</v>
      </c>
      <c r="B3444" s="21" t="s">
        <v>8982</v>
      </c>
      <c r="C3444" s="13" t="s">
        <v>7309</v>
      </c>
      <c r="D3444" s="782"/>
      <c r="E3444" s="22"/>
      <c r="F3444" s="19">
        <v>48076</v>
      </c>
      <c r="G3444" s="14">
        <f t="shared" si="58"/>
        <v>-48076</v>
      </c>
      <c r="H3444" s="1145"/>
    </row>
    <row r="3445" spans="1:8" x14ac:dyDescent="0.25">
      <c r="A3445" s="116">
        <v>45076</v>
      </c>
      <c r="B3445" s="21" t="s">
        <v>9516</v>
      </c>
      <c r="C3445" s="13" t="s">
        <v>7309</v>
      </c>
      <c r="D3445" s="782"/>
      <c r="E3445" s="22"/>
      <c r="F3445" s="19">
        <v>48076</v>
      </c>
      <c r="G3445" s="14">
        <f t="shared" si="58"/>
        <v>-48076</v>
      </c>
      <c r="H3445" s="1146"/>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10077</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10065</v>
      </c>
    </row>
    <row r="3449" spans="1:8" x14ac:dyDescent="0.25">
      <c r="A3449" s="116">
        <v>45070</v>
      </c>
      <c r="B3449" s="21" t="s">
        <v>8653</v>
      </c>
      <c r="C3449" s="13" t="s">
        <v>7309</v>
      </c>
      <c r="D3449" s="782"/>
      <c r="E3449" s="22"/>
      <c r="F3449" s="19">
        <v>50000</v>
      </c>
      <c r="G3449" s="14">
        <f t="shared" si="58"/>
        <v>-50000</v>
      </c>
      <c r="H3449" s="13" t="s">
        <v>10066</v>
      </c>
    </row>
    <row r="3450" spans="1:8" x14ac:dyDescent="0.25">
      <c r="A3450" s="116">
        <v>45071</v>
      </c>
      <c r="B3450" s="21" t="s">
        <v>9877</v>
      </c>
      <c r="C3450" s="13" t="s">
        <v>166</v>
      </c>
      <c r="D3450" s="782" t="s">
        <v>10081</v>
      </c>
      <c r="E3450" s="22">
        <v>44000</v>
      </c>
      <c r="F3450" s="19"/>
      <c r="G3450" s="14">
        <f t="shared" si="58"/>
        <v>44000</v>
      </c>
      <c r="H3450" s="13" t="s">
        <v>10082</v>
      </c>
    </row>
    <row r="3451" spans="1:8" x14ac:dyDescent="0.25">
      <c r="A3451" s="116">
        <v>45072</v>
      </c>
      <c r="B3451" s="21" t="s">
        <v>9769</v>
      </c>
      <c r="C3451" s="13" t="s">
        <v>166</v>
      </c>
      <c r="D3451" s="782" t="s">
        <v>10083</v>
      </c>
      <c r="E3451" s="22">
        <v>9200</v>
      </c>
      <c r="F3451" s="19"/>
      <c r="G3451" s="14">
        <f t="shared" si="58"/>
        <v>9200</v>
      </c>
      <c r="H3451" s="13" t="s">
        <v>10080</v>
      </c>
    </row>
    <row r="3452" spans="1:8" x14ac:dyDescent="0.25">
      <c r="A3452" s="116">
        <v>45073</v>
      </c>
      <c r="B3452" s="21" t="s">
        <v>9877</v>
      </c>
      <c r="C3452" s="13" t="s">
        <v>8483</v>
      </c>
      <c r="D3452" s="782" t="s">
        <v>10257</v>
      </c>
      <c r="E3452" s="22">
        <v>114314</v>
      </c>
      <c r="F3452" s="19"/>
      <c r="G3452" s="14">
        <f t="shared" si="58"/>
        <v>114314</v>
      </c>
      <c r="H3452" s="13"/>
    </row>
    <row r="3453" spans="1:8" x14ac:dyDescent="0.25">
      <c r="A3453" s="116">
        <v>45073</v>
      </c>
      <c r="B3453" s="21" t="s">
        <v>9769</v>
      </c>
      <c r="C3453" s="13" t="s">
        <v>5234</v>
      </c>
      <c r="D3453" s="782" t="s">
        <v>10294</v>
      </c>
      <c r="E3453" s="22">
        <v>68320</v>
      </c>
      <c r="F3453" s="19"/>
      <c r="G3453" s="14">
        <f t="shared" si="58"/>
        <v>68320</v>
      </c>
      <c r="H3453" s="13"/>
    </row>
    <row r="3454" spans="1:8" x14ac:dyDescent="0.25">
      <c r="A3454" s="116">
        <v>45073</v>
      </c>
      <c r="B3454" s="21" t="s">
        <v>9769</v>
      </c>
      <c r="C3454" s="13" t="s">
        <v>5234</v>
      </c>
      <c r="D3454" s="782" t="s">
        <v>10295</v>
      </c>
      <c r="E3454" s="22">
        <v>75000</v>
      </c>
      <c r="F3454" s="19"/>
      <c r="G3454" s="14">
        <f t="shared" si="58"/>
        <v>75000</v>
      </c>
      <c r="H3454" s="13"/>
    </row>
    <row r="3455" spans="1:8" x14ac:dyDescent="0.25">
      <c r="A3455" s="116">
        <v>45073</v>
      </c>
      <c r="B3455" s="21" t="s">
        <v>8752</v>
      </c>
      <c r="C3455" s="13" t="s">
        <v>5234</v>
      </c>
      <c r="D3455" s="782" t="s">
        <v>10297</v>
      </c>
      <c r="E3455" s="22">
        <v>217008</v>
      </c>
      <c r="F3455" s="19"/>
      <c r="G3455" s="14">
        <f t="shared" si="58"/>
        <v>217008</v>
      </c>
      <c r="H3455" s="13"/>
    </row>
    <row r="3456" spans="1:8" x14ac:dyDescent="0.25">
      <c r="A3456" s="116">
        <v>45073</v>
      </c>
      <c r="B3456" s="21" t="s">
        <v>11025</v>
      </c>
      <c r="C3456" s="13" t="s">
        <v>5234</v>
      </c>
      <c r="D3456" s="782" t="s">
        <v>10298</v>
      </c>
      <c r="E3456" s="22">
        <v>15000</v>
      </c>
      <c r="F3456" s="19"/>
      <c r="G3456" s="14">
        <f t="shared" si="58"/>
        <v>15000</v>
      </c>
      <c r="H3456" s="13"/>
    </row>
    <row r="3457" spans="1:8" x14ac:dyDescent="0.25">
      <c r="A3457" s="116">
        <v>45073</v>
      </c>
      <c r="B3457" s="21" t="s">
        <v>8982</v>
      </c>
      <c r="C3457" s="13" t="s">
        <v>5234</v>
      </c>
      <c r="D3457" s="782" t="s">
        <v>10300</v>
      </c>
      <c r="E3457" s="22">
        <v>15600</v>
      </c>
      <c r="F3457" s="19"/>
      <c r="G3457" s="14">
        <f t="shared" si="58"/>
        <v>15600</v>
      </c>
      <c r="H3457" s="13"/>
    </row>
    <row r="3458" spans="1:8" x14ac:dyDescent="0.25">
      <c r="A3458" s="116">
        <v>45073</v>
      </c>
      <c r="B3458" s="21" t="s">
        <v>8982</v>
      </c>
      <c r="C3458" s="13" t="s">
        <v>5234</v>
      </c>
      <c r="D3458" s="782" t="s">
        <v>10299</v>
      </c>
      <c r="E3458" s="22">
        <v>960</v>
      </c>
      <c r="F3458" s="19"/>
      <c r="G3458" s="14">
        <f t="shared" si="58"/>
        <v>960</v>
      </c>
      <c r="H3458" s="13"/>
    </row>
    <row r="3459" spans="1:8" x14ac:dyDescent="0.25">
      <c r="A3459" s="116">
        <v>45073</v>
      </c>
      <c r="B3459" s="21" t="s">
        <v>10096</v>
      </c>
      <c r="C3459" s="13" t="s">
        <v>169</v>
      </c>
      <c r="D3459" s="782" t="s">
        <v>10301</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10069</v>
      </c>
    </row>
    <row r="3461" spans="1:8" x14ac:dyDescent="0.25">
      <c r="A3461" s="116">
        <v>45075</v>
      </c>
      <c r="B3461" s="21" t="s">
        <v>8752</v>
      </c>
      <c r="C3461" s="13" t="s">
        <v>166</v>
      </c>
      <c r="D3461" s="782"/>
      <c r="E3461" s="22"/>
      <c r="F3461" s="19">
        <v>600000</v>
      </c>
      <c r="G3461" s="14">
        <f t="shared" si="58"/>
        <v>-600000</v>
      </c>
      <c r="H3461" s="13" t="s">
        <v>10069</v>
      </c>
    </row>
    <row r="3462" spans="1:8" x14ac:dyDescent="0.25">
      <c r="A3462" s="116">
        <v>45075</v>
      </c>
      <c r="B3462" s="21" t="s">
        <v>9769</v>
      </c>
      <c r="C3462" s="13" t="s">
        <v>166</v>
      </c>
      <c r="D3462" s="782" t="s">
        <v>10085</v>
      </c>
      <c r="E3462" s="22">
        <v>4600</v>
      </c>
      <c r="F3462" s="19"/>
      <c r="G3462" s="14">
        <f t="shared" si="58"/>
        <v>4600</v>
      </c>
      <c r="H3462" s="13" t="s">
        <v>10080</v>
      </c>
    </row>
    <row r="3463" spans="1:8" x14ac:dyDescent="0.25">
      <c r="A3463" s="116">
        <v>45075</v>
      </c>
      <c r="B3463" s="21" t="s">
        <v>9877</v>
      </c>
      <c r="C3463" s="13" t="s">
        <v>180</v>
      </c>
      <c r="D3463" s="782" t="s">
        <v>10086</v>
      </c>
      <c r="E3463" s="22">
        <v>1849080</v>
      </c>
      <c r="F3463" s="19"/>
      <c r="G3463" s="14">
        <f t="shared" si="58"/>
        <v>1849080</v>
      </c>
      <c r="H3463" s="13" t="s">
        <v>10087</v>
      </c>
    </row>
    <row r="3464" spans="1:8" x14ac:dyDescent="0.25">
      <c r="A3464" s="116">
        <v>45075</v>
      </c>
      <c r="B3464" s="21" t="s">
        <v>9769</v>
      </c>
      <c r="C3464" s="13" t="s">
        <v>7538</v>
      </c>
      <c r="D3464" s="782" t="s">
        <v>10094</v>
      </c>
      <c r="E3464" s="22">
        <v>32000</v>
      </c>
      <c r="F3464" s="19"/>
      <c r="G3464" s="14">
        <f t="shared" si="58"/>
        <v>32000</v>
      </c>
      <c r="H3464" s="13" t="s">
        <v>10095</v>
      </c>
    </row>
    <row r="3465" spans="1:8" x14ac:dyDescent="0.25">
      <c r="A3465" s="116">
        <v>45075</v>
      </c>
      <c r="B3465" s="21" t="s">
        <v>10096</v>
      </c>
      <c r="C3465" s="13" t="s">
        <v>7538</v>
      </c>
      <c r="D3465" s="782" t="s">
        <v>10097</v>
      </c>
      <c r="E3465" s="22">
        <v>25630</v>
      </c>
      <c r="F3465" s="19"/>
      <c r="G3465" s="14">
        <f t="shared" si="58"/>
        <v>25630</v>
      </c>
      <c r="H3465" s="13" t="s">
        <v>10098</v>
      </c>
    </row>
    <row r="3466" spans="1:8" x14ac:dyDescent="0.25">
      <c r="A3466" s="116">
        <v>45075</v>
      </c>
      <c r="B3466" s="21" t="s">
        <v>9769</v>
      </c>
      <c r="C3466" s="13" t="s">
        <v>8483</v>
      </c>
      <c r="D3466" s="782" t="s">
        <v>10258</v>
      </c>
      <c r="E3466" s="22">
        <v>197917</v>
      </c>
      <c r="F3466" s="19"/>
      <c r="G3466" s="14">
        <f t="shared" si="58"/>
        <v>197917</v>
      </c>
      <c r="H3466" s="13"/>
    </row>
    <row r="3467" spans="1:8" x14ac:dyDescent="0.25">
      <c r="A3467" s="116">
        <v>45076</v>
      </c>
      <c r="B3467" s="21" t="s">
        <v>10261</v>
      </c>
      <c r="C3467" s="13" t="s">
        <v>8483</v>
      </c>
      <c r="D3467" s="782" t="s">
        <v>10074</v>
      </c>
      <c r="E3467" s="22">
        <v>69785</v>
      </c>
      <c r="F3467" s="19"/>
      <c r="G3467" s="14">
        <f t="shared" si="58"/>
        <v>69785</v>
      </c>
      <c r="H3467" s="13"/>
    </row>
    <row r="3468" spans="1:8" x14ac:dyDescent="0.25">
      <c r="A3468" s="116">
        <v>45076</v>
      </c>
      <c r="B3468" s="21" t="s">
        <v>8752</v>
      </c>
      <c r="C3468" s="13" t="s">
        <v>8483</v>
      </c>
      <c r="D3468" s="782" t="s">
        <v>10075</v>
      </c>
      <c r="E3468" s="22">
        <v>44259</v>
      </c>
      <c r="F3468" s="19"/>
      <c r="G3468" s="14">
        <f t="shared" si="58"/>
        <v>44259</v>
      </c>
      <c r="H3468" s="13"/>
    </row>
    <row r="3469" spans="1:8" x14ac:dyDescent="0.25">
      <c r="A3469" s="116">
        <v>45076</v>
      </c>
      <c r="B3469" s="21" t="s">
        <v>9769</v>
      </c>
      <c r="C3469" s="13" t="s">
        <v>8483</v>
      </c>
      <c r="D3469" s="782" t="s">
        <v>10076</v>
      </c>
      <c r="E3469" s="22">
        <v>63065</v>
      </c>
      <c r="F3469" s="19"/>
      <c r="G3469" s="14">
        <f t="shared" si="58"/>
        <v>63065</v>
      </c>
      <c r="H3469" s="13"/>
    </row>
    <row r="3470" spans="1:8" x14ac:dyDescent="0.25">
      <c r="A3470" s="116">
        <v>45077</v>
      </c>
      <c r="B3470" s="21" t="s">
        <v>9769</v>
      </c>
      <c r="C3470" s="13" t="s">
        <v>166</v>
      </c>
      <c r="D3470" s="782" t="s">
        <v>10084</v>
      </c>
      <c r="E3470" s="22">
        <v>11500</v>
      </c>
      <c r="F3470" s="19"/>
      <c r="G3470" s="14">
        <f t="shared" si="58"/>
        <v>11500</v>
      </c>
      <c r="H3470" s="13" t="s">
        <v>10080</v>
      </c>
    </row>
    <row r="3471" spans="1:8" x14ac:dyDescent="0.25">
      <c r="A3471" s="116">
        <v>45076</v>
      </c>
      <c r="B3471" s="21" t="s">
        <v>9877</v>
      </c>
      <c r="C3471" s="13" t="s">
        <v>8483</v>
      </c>
      <c r="D3471" s="782"/>
      <c r="E3471" s="22"/>
      <c r="F3471" s="19">
        <v>500000</v>
      </c>
      <c r="G3471" s="14">
        <f t="shared" si="58"/>
        <v>-500000</v>
      </c>
      <c r="H3471" s="13" t="s">
        <v>10099</v>
      </c>
    </row>
    <row r="3472" spans="1:8" x14ac:dyDescent="0.25">
      <c r="A3472" s="116">
        <v>45078</v>
      </c>
      <c r="B3472" s="21" t="s">
        <v>10077</v>
      </c>
      <c r="C3472" s="13" t="s">
        <v>1816</v>
      </c>
      <c r="D3472" s="782"/>
      <c r="E3472" s="799">
        <v>4215</v>
      </c>
      <c r="F3472" s="113"/>
      <c r="G3472" s="800">
        <f>E3472-F3472</f>
        <v>4215</v>
      </c>
      <c r="H3472" s="351"/>
    </row>
    <row r="3473" spans="1:8" x14ac:dyDescent="0.25">
      <c r="A3473" s="116">
        <v>45078</v>
      </c>
      <c r="B3473" s="21" t="s">
        <v>9877</v>
      </c>
      <c r="C3473" s="13" t="s">
        <v>8483</v>
      </c>
      <c r="D3473" s="782" t="s">
        <v>10259</v>
      </c>
      <c r="E3473" s="22">
        <v>272244</v>
      </c>
      <c r="F3473" s="19"/>
      <c r="G3473" s="14">
        <f t="shared" si="58"/>
        <v>272244</v>
      </c>
      <c r="H3473" s="13"/>
    </row>
    <row r="3474" spans="1:8" x14ac:dyDescent="0.25">
      <c r="A3474" s="116">
        <v>45078</v>
      </c>
      <c r="B3474" s="21" t="s">
        <v>9463</v>
      </c>
      <c r="C3474" s="13" t="s">
        <v>8483</v>
      </c>
      <c r="D3474" s="782" t="s">
        <v>10260</v>
      </c>
      <c r="E3474" s="22">
        <v>101572</v>
      </c>
      <c r="F3474" s="19"/>
      <c r="G3474" s="14">
        <f t="shared" si="58"/>
        <v>101572</v>
      </c>
      <c r="H3474" s="13"/>
    </row>
    <row r="3475" spans="1:8" x14ac:dyDescent="0.25">
      <c r="A3475" s="116">
        <v>45079</v>
      </c>
      <c r="B3475" s="21" t="s">
        <v>9769</v>
      </c>
      <c r="C3475" s="13" t="s">
        <v>166</v>
      </c>
      <c r="D3475" s="782" t="s">
        <v>10371</v>
      </c>
      <c r="E3475" s="22">
        <v>16100</v>
      </c>
      <c r="F3475" s="19"/>
      <c r="G3475" s="14">
        <f t="shared" si="58"/>
        <v>16100</v>
      </c>
      <c r="H3475" s="13"/>
    </row>
    <row r="3476" spans="1:8" x14ac:dyDescent="0.25">
      <c r="A3476" s="116">
        <v>45079</v>
      </c>
      <c r="B3476" s="21" t="s">
        <v>10077</v>
      </c>
      <c r="C3476" s="13" t="s">
        <v>1816</v>
      </c>
      <c r="D3476" s="782"/>
      <c r="E3476" s="799">
        <v>14792</v>
      </c>
      <c r="F3476" s="113"/>
      <c r="G3476" s="800">
        <f>E3476-F3476</f>
        <v>14792</v>
      </c>
      <c r="H3476" s="351"/>
    </row>
    <row r="3477" spans="1:8" x14ac:dyDescent="0.25">
      <c r="A3477" s="116">
        <v>45080</v>
      </c>
      <c r="B3477" s="21" t="s">
        <v>10261</v>
      </c>
      <c r="C3477" s="13" t="s">
        <v>8483</v>
      </c>
      <c r="D3477" s="782" t="s">
        <v>10262</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10263</v>
      </c>
      <c r="E3480" s="22">
        <v>106851</v>
      </c>
      <c r="F3480" s="19"/>
      <c r="G3480" s="14">
        <f t="shared" si="58"/>
        <v>106851</v>
      </c>
      <c r="H3480" s="13"/>
    </row>
    <row r="3481" spans="1:8" x14ac:dyDescent="0.25">
      <c r="A3481" s="116">
        <v>45083</v>
      </c>
      <c r="B3481" s="21" t="s">
        <v>9463</v>
      </c>
      <c r="C3481" s="13" t="s">
        <v>7538</v>
      </c>
      <c r="D3481" s="782" t="s">
        <v>10375</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10261</v>
      </c>
      <c r="C3484" s="13" t="s">
        <v>8483</v>
      </c>
      <c r="D3484" s="782" t="s">
        <v>10264</v>
      </c>
      <c r="E3484" s="22">
        <v>131823</v>
      </c>
      <c r="F3484" s="19"/>
      <c r="G3484" s="14">
        <f t="shared" si="58"/>
        <v>131823</v>
      </c>
      <c r="H3484" s="56"/>
    </row>
    <row r="3485" spans="1:8" x14ac:dyDescent="0.25">
      <c r="A3485" s="116">
        <v>45084</v>
      </c>
      <c r="B3485" s="21" t="s">
        <v>10077</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10265</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176" t="s">
        <v>10237</v>
      </c>
    </row>
    <row r="3489" spans="1:8" x14ac:dyDescent="0.25">
      <c r="A3489" s="116">
        <v>45086</v>
      </c>
      <c r="B3489" s="21" t="s">
        <v>8122</v>
      </c>
      <c r="C3489" s="13" t="s">
        <v>7538</v>
      </c>
      <c r="D3489" s="782"/>
      <c r="E3489" s="799"/>
      <c r="F3489" s="148">
        <v>176124</v>
      </c>
      <c r="G3489" s="800">
        <f t="shared" ref="G3489:G3559" si="61">E3489-F3489</f>
        <v>-176124</v>
      </c>
      <c r="H3489" s="1177"/>
    </row>
    <row r="3490" spans="1:8" x14ac:dyDescent="0.25">
      <c r="A3490" s="116">
        <v>45086</v>
      </c>
      <c r="B3490" s="21" t="s">
        <v>8426</v>
      </c>
      <c r="C3490" s="13" t="s">
        <v>7538</v>
      </c>
      <c r="D3490" s="782"/>
      <c r="E3490" s="799"/>
      <c r="F3490" s="148">
        <v>265939</v>
      </c>
      <c r="G3490" s="800">
        <f t="shared" si="61"/>
        <v>-265939</v>
      </c>
      <c r="H3490" s="1177"/>
    </row>
    <row r="3491" spans="1:8" x14ac:dyDescent="0.25">
      <c r="A3491" s="116">
        <v>45086</v>
      </c>
      <c r="B3491" s="21" t="s">
        <v>8653</v>
      </c>
      <c r="C3491" s="13" t="s">
        <v>7538</v>
      </c>
      <c r="D3491" s="782"/>
      <c r="E3491" s="799"/>
      <c r="F3491" s="148">
        <v>245863</v>
      </c>
      <c r="G3491" s="800">
        <f t="shared" si="61"/>
        <v>-245863</v>
      </c>
      <c r="H3491" s="1177"/>
    </row>
    <row r="3492" spans="1:8" ht="16.5" thickBot="1" x14ac:dyDescent="0.3">
      <c r="A3492" s="116">
        <v>45086</v>
      </c>
      <c r="B3492" s="21" t="s">
        <v>8982</v>
      </c>
      <c r="C3492" s="13" t="s">
        <v>7538</v>
      </c>
      <c r="D3492" s="782"/>
      <c r="E3492" s="799"/>
      <c r="F3492" s="802">
        <v>201031</v>
      </c>
      <c r="G3492" s="800">
        <f t="shared" si="61"/>
        <v>-201031</v>
      </c>
      <c r="H3492" s="1178"/>
    </row>
    <row r="3493" spans="1:8" x14ac:dyDescent="0.25">
      <c r="A3493" s="116">
        <v>45089</v>
      </c>
      <c r="B3493" s="21" t="s">
        <v>8752</v>
      </c>
      <c r="C3493" s="13" t="s">
        <v>8483</v>
      </c>
      <c r="D3493" s="782" t="s">
        <v>10266</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167" t="s">
        <v>10237</v>
      </c>
    </row>
    <row r="3495" spans="1:8" x14ac:dyDescent="0.25">
      <c r="A3495" s="116">
        <v>45089</v>
      </c>
      <c r="B3495" s="21" t="s">
        <v>9769</v>
      </c>
      <c r="C3495" s="13" t="s">
        <v>8483</v>
      </c>
      <c r="D3495" s="782"/>
      <c r="E3495" s="22"/>
      <c r="F3495" s="19">
        <v>100000</v>
      </c>
      <c r="G3495" s="14">
        <f t="shared" si="61"/>
        <v>-100000</v>
      </c>
      <c r="H3495" s="1168"/>
    </row>
    <row r="3496" spans="1:8" x14ac:dyDescent="0.25">
      <c r="A3496" s="116">
        <v>45089</v>
      </c>
      <c r="B3496" s="21" t="s">
        <v>8752</v>
      </c>
      <c r="C3496" s="13" t="s">
        <v>8483</v>
      </c>
      <c r="D3496" s="782"/>
      <c r="E3496" s="22"/>
      <c r="F3496" s="19">
        <v>350000</v>
      </c>
      <c r="G3496" s="14">
        <f t="shared" si="61"/>
        <v>-350000</v>
      </c>
      <c r="H3496" s="1169"/>
    </row>
    <row r="3497" spans="1:8" x14ac:dyDescent="0.25">
      <c r="A3497" s="116">
        <v>45090</v>
      </c>
      <c r="B3497" s="21" t="s">
        <v>10077</v>
      </c>
      <c r="C3497" s="13" t="s">
        <v>169</v>
      </c>
      <c r="D3497" s="782" t="s">
        <v>10302</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10287</v>
      </c>
    </row>
    <row r="3499" spans="1:8" x14ac:dyDescent="0.25">
      <c r="A3499" s="116">
        <v>45091</v>
      </c>
      <c r="B3499" s="21" t="s">
        <v>9463</v>
      </c>
      <c r="C3499" s="13" t="s">
        <v>7538</v>
      </c>
      <c r="D3499" s="782" t="s">
        <v>10376</v>
      </c>
      <c r="E3499" s="22">
        <v>94595</v>
      </c>
      <c r="F3499" s="113"/>
      <c r="G3499" s="14">
        <f t="shared" si="61"/>
        <v>94595</v>
      </c>
      <c r="H3499" s="13"/>
    </row>
    <row r="3500" spans="1:8" x14ac:dyDescent="0.25">
      <c r="A3500" s="116">
        <v>45091</v>
      </c>
      <c r="B3500" s="21" t="s">
        <v>10077</v>
      </c>
      <c r="C3500" s="13" t="s">
        <v>1816</v>
      </c>
      <c r="D3500" s="782"/>
      <c r="E3500" s="799">
        <v>1177</v>
      </c>
      <c r="F3500" s="113"/>
      <c r="G3500" s="800">
        <f>E3500-F3500</f>
        <v>1177</v>
      </c>
      <c r="H3500" s="351"/>
    </row>
    <row r="3501" spans="1:8" x14ac:dyDescent="0.25">
      <c r="A3501" s="116">
        <v>45092</v>
      </c>
      <c r="B3501" s="21" t="s">
        <v>8752</v>
      </c>
      <c r="C3501" s="13" t="s">
        <v>8483</v>
      </c>
      <c r="D3501" s="782" t="s">
        <v>10367</v>
      </c>
      <c r="E3501" s="22">
        <v>72442</v>
      </c>
      <c r="F3501" s="113"/>
      <c r="G3501" s="14">
        <f t="shared" si="61"/>
        <v>72442</v>
      </c>
      <c r="H3501" s="13"/>
    </row>
    <row r="3502" spans="1:8" x14ac:dyDescent="0.25">
      <c r="A3502" s="116">
        <v>45092</v>
      </c>
      <c r="B3502" s="21" t="s">
        <v>10261</v>
      </c>
      <c r="C3502" s="13" t="s">
        <v>8483</v>
      </c>
      <c r="D3502" s="782" t="s">
        <v>10368</v>
      </c>
      <c r="E3502" s="22">
        <v>10332</v>
      </c>
      <c r="F3502" s="113"/>
      <c r="G3502" s="14">
        <f t="shared" si="61"/>
        <v>10332</v>
      </c>
      <c r="H3502" s="13"/>
    </row>
    <row r="3503" spans="1:8" x14ac:dyDescent="0.25">
      <c r="A3503" s="116">
        <v>45092</v>
      </c>
      <c r="B3503" s="21" t="s">
        <v>10077</v>
      </c>
      <c r="C3503" s="13" t="s">
        <v>168</v>
      </c>
      <c r="D3503" s="782" t="s">
        <v>10372</v>
      </c>
      <c r="E3503" s="22">
        <v>82924</v>
      </c>
      <c r="F3503" s="113"/>
      <c r="G3503" s="14">
        <f t="shared" si="61"/>
        <v>82924</v>
      </c>
      <c r="H3503" s="13"/>
    </row>
    <row r="3504" spans="1:8" x14ac:dyDescent="0.25">
      <c r="A3504" s="116">
        <v>45093</v>
      </c>
      <c r="B3504" s="21" t="s">
        <v>9463</v>
      </c>
      <c r="C3504" s="13" t="s">
        <v>7538</v>
      </c>
      <c r="D3504" s="782" t="s">
        <v>10377</v>
      </c>
      <c r="E3504" s="22">
        <v>118790</v>
      </c>
      <c r="F3504" s="113"/>
      <c r="G3504" s="14">
        <f t="shared" si="61"/>
        <v>118790</v>
      </c>
      <c r="H3504" s="13"/>
    </row>
    <row r="3505" spans="1:8" ht="16.5" thickBot="1" x14ac:dyDescent="0.3">
      <c r="A3505" s="116">
        <v>45094</v>
      </c>
      <c r="B3505" s="21" t="s">
        <v>10077</v>
      </c>
      <c r="C3505" s="13" t="s">
        <v>164</v>
      </c>
      <c r="D3505" s="782" t="s">
        <v>10341</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39" t="s">
        <v>10343</v>
      </c>
    </row>
    <row r="3507" spans="1:8" x14ac:dyDescent="0.25">
      <c r="A3507" s="116">
        <v>45094</v>
      </c>
      <c r="B3507" s="21" t="s">
        <v>9877</v>
      </c>
      <c r="C3507" s="13" t="s">
        <v>180</v>
      </c>
      <c r="D3507" s="782"/>
      <c r="E3507" s="799"/>
      <c r="F3507" s="148">
        <v>49080</v>
      </c>
      <c r="G3507" s="800">
        <f t="shared" si="61"/>
        <v>-49080</v>
      </c>
      <c r="H3507" s="1179"/>
    </row>
    <row r="3508" spans="1:8" x14ac:dyDescent="0.25">
      <c r="A3508" s="116">
        <v>45094</v>
      </c>
      <c r="B3508" s="21" t="s">
        <v>10406</v>
      </c>
      <c r="C3508" s="13" t="s">
        <v>180</v>
      </c>
      <c r="D3508" s="782"/>
      <c r="E3508" s="799"/>
      <c r="F3508" s="153">
        <v>151960</v>
      </c>
      <c r="G3508" s="800">
        <f t="shared" si="61"/>
        <v>-151960</v>
      </c>
      <c r="H3508" s="1179"/>
    </row>
    <row r="3509" spans="1:8" ht="16.5" thickBot="1" x14ac:dyDescent="0.3">
      <c r="A3509" s="116">
        <v>45094</v>
      </c>
      <c r="B3509" s="21" t="s">
        <v>10342</v>
      </c>
      <c r="C3509" s="13" t="s">
        <v>180</v>
      </c>
      <c r="D3509" s="782"/>
      <c r="E3509" s="799"/>
      <c r="F3509" s="802">
        <f>875000-F3508-F3507-F3506</f>
        <v>3960</v>
      </c>
      <c r="G3509" s="800">
        <f t="shared" si="61"/>
        <v>-3960</v>
      </c>
      <c r="H3509" s="1140"/>
    </row>
    <row r="3510" spans="1:8" x14ac:dyDescent="0.25">
      <c r="A3510" s="116">
        <v>45094</v>
      </c>
      <c r="B3510" s="21" t="s">
        <v>10096</v>
      </c>
      <c r="C3510" s="13" t="s">
        <v>169</v>
      </c>
      <c r="D3510" s="782" t="s">
        <v>10359</v>
      </c>
      <c r="E3510" s="799">
        <v>95762</v>
      </c>
      <c r="F3510" s="220"/>
      <c r="G3510" s="800">
        <f t="shared" si="61"/>
        <v>95762</v>
      </c>
      <c r="H3510" s="351"/>
    </row>
    <row r="3511" spans="1:8" x14ac:dyDescent="0.25">
      <c r="A3511" s="116">
        <v>45094</v>
      </c>
      <c r="B3511" s="21" t="s">
        <v>10096</v>
      </c>
      <c r="C3511" s="13" t="s">
        <v>164</v>
      </c>
      <c r="D3511" s="782" t="s">
        <v>10793</v>
      </c>
      <c r="E3511" s="22">
        <v>5855</v>
      </c>
      <c r="F3511" s="19"/>
      <c r="G3511" s="14">
        <f>E3511-F3511</f>
        <v>5855</v>
      </c>
      <c r="H3511" s="13"/>
    </row>
    <row r="3512" spans="1:8" x14ac:dyDescent="0.25">
      <c r="A3512" s="116">
        <v>45094</v>
      </c>
      <c r="B3512" s="21" t="s">
        <v>9463</v>
      </c>
      <c r="C3512" s="13" t="s">
        <v>8483</v>
      </c>
      <c r="D3512" s="782" t="s">
        <v>10369</v>
      </c>
      <c r="E3512" s="799">
        <v>194536</v>
      </c>
      <c r="F3512" s="113"/>
      <c r="G3512" s="800">
        <f t="shared" si="61"/>
        <v>194536</v>
      </c>
      <c r="H3512" s="351"/>
    </row>
    <row r="3513" spans="1:8" x14ac:dyDescent="0.25">
      <c r="A3513" s="116">
        <v>45096</v>
      </c>
      <c r="B3513" s="21" t="s">
        <v>8752</v>
      </c>
      <c r="C3513" s="13" t="s">
        <v>8483</v>
      </c>
      <c r="D3513" s="782" t="s">
        <v>10370</v>
      </c>
      <c r="E3513" s="799">
        <v>23532</v>
      </c>
      <c r="F3513" s="113"/>
      <c r="G3513" s="800">
        <f t="shared" si="61"/>
        <v>23532</v>
      </c>
      <c r="H3513" s="351"/>
    </row>
    <row r="3514" spans="1:8" x14ac:dyDescent="0.25">
      <c r="A3514" s="116">
        <v>45096</v>
      </c>
      <c r="B3514" s="21" t="s">
        <v>10077</v>
      </c>
      <c r="C3514" s="13" t="s">
        <v>164</v>
      </c>
      <c r="D3514" s="782" t="s">
        <v>10340</v>
      </c>
      <c r="E3514" s="22">
        <v>1786</v>
      </c>
      <c r="F3514" s="113"/>
      <c r="G3514" s="14">
        <f t="shared" si="61"/>
        <v>1786</v>
      </c>
      <c r="H3514" s="13"/>
    </row>
    <row r="3515" spans="1:8" x14ac:dyDescent="0.25">
      <c r="A3515" s="116">
        <v>45096</v>
      </c>
      <c r="B3515" s="21" t="s">
        <v>9940</v>
      </c>
      <c r="C3515" s="13" t="s">
        <v>12081</v>
      </c>
      <c r="D3515" s="782" t="s">
        <v>10373</v>
      </c>
      <c r="E3515" s="22"/>
      <c r="F3515" s="113"/>
      <c r="G3515" s="14">
        <f t="shared" si="61"/>
        <v>0</v>
      </c>
      <c r="H3515" s="13"/>
    </row>
    <row r="3516" spans="1:8" x14ac:dyDescent="0.25">
      <c r="A3516" s="116">
        <v>45096</v>
      </c>
      <c r="B3516" s="21" t="s">
        <v>10096</v>
      </c>
      <c r="C3516" s="13" t="s">
        <v>168</v>
      </c>
      <c r="D3516" s="782" t="s">
        <v>10374</v>
      </c>
      <c r="E3516" s="22">
        <v>399840</v>
      </c>
      <c r="F3516" s="113"/>
      <c r="G3516" s="14">
        <f t="shared" si="61"/>
        <v>399840</v>
      </c>
      <c r="H3516" s="13"/>
    </row>
    <row r="3517" spans="1:8" x14ac:dyDescent="0.25">
      <c r="A3517" s="116">
        <v>45096</v>
      </c>
      <c r="B3517" s="21" t="s">
        <v>10096</v>
      </c>
      <c r="C3517" s="13" t="s">
        <v>169</v>
      </c>
      <c r="D3517" s="782" t="s">
        <v>10360</v>
      </c>
      <c r="E3517" s="22">
        <v>5187</v>
      </c>
      <c r="F3517" s="113"/>
      <c r="G3517" s="14">
        <f t="shared" si="61"/>
        <v>5187</v>
      </c>
      <c r="H3517" s="13"/>
    </row>
    <row r="3518" spans="1:8" x14ac:dyDescent="0.25">
      <c r="A3518" s="116">
        <v>45096</v>
      </c>
      <c r="B3518" s="21" t="s">
        <v>10077</v>
      </c>
      <c r="C3518" s="13" t="s">
        <v>169</v>
      </c>
      <c r="D3518" s="782" t="s">
        <v>10361</v>
      </c>
      <c r="E3518" s="22">
        <v>23382</v>
      </c>
      <c r="F3518" s="115"/>
      <c r="G3518" s="14">
        <f t="shared" si="61"/>
        <v>23382</v>
      </c>
      <c r="H3518" s="13"/>
    </row>
    <row r="3519" spans="1:8" x14ac:dyDescent="0.25">
      <c r="A3519" s="116">
        <v>45096</v>
      </c>
      <c r="B3519" s="21" t="s">
        <v>9463</v>
      </c>
      <c r="C3519" s="13" t="s">
        <v>169</v>
      </c>
      <c r="D3519" s="782" t="s">
        <v>10362</v>
      </c>
      <c r="E3519" s="22">
        <v>616374</v>
      </c>
      <c r="F3519" s="114"/>
      <c r="G3519" s="14">
        <f t="shared" si="61"/>
        <v>616374</v>
      </c>
      <c r="H3519" s="13"/>
    </row>
    <row r="3520" spans="1:8" ht="16.5" thickBot="1" x14ac:dyDescent="0.3">
      <c r="A3520" s="116">
        <v>45096</v>
      </c>
      <c r="B3520" s="21" t="s">
        <v>9940</v>
      </c>
      <c r="C3520" s="13" t="s">
        <v>12081</v>
      </c>
      <c r="D3520" s="782" t="s">
        <v>10373</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39" t="s">
        <v>10366</v>
      </c>
    </row>
    <row r="3522" spans="1:8" x14ac:dyDescent="0.25">
      <c r="A3522" s="116">
        <v>45096</v>
      </c>
      <c r="B3522" s="21" t="s">
        <v>10077</v>
      </c>
      <c r="C3522" s="13" t="s">
        <v>169</v>
      </c>
      <c r="D3522" s="782"/>
      <c r="E3522" s="799"/>
      <c r="F3522" s="158">
        <v>23382</v>
      </c>
      <c r="G3522" s="800">
        <f t="shared" si="61"/>
        <v>-23382</v>
      </c>
      <c r="H3522" s="1179"/>
    </row>
    <row r="3523" spans="1:8" ht="16.5" thickBot="1" x14ac:dyDescent="0.3">
      <c r="A3523" s="116">
        <v>45096</v>
      </c>
      <c r="B3523" s="21" t="s">
        <v>10096</v>
      </c>
      <c r="C3523" s="13" t="s">
        <v>169</v>
      </c>
      <c r="D3523" s="782"/>
      <c r="E3523" s="799"/>
      <c r="F3523" s="304">
        <v>102854</v>
      </c>
      <c r="G3523" s="800">
        <f t="shared" si="61"/>
        <v>-102854</v>
      </c>
      <c r="H3523" s="1140"/>
    </row>
    <row r="3524" spans="1:8" ht="16.5" thickBot="1" x14ac:dyDescent="0.3">
      <c r="A3524" s="116">
        <v>45097</v>
      </c>
      <c r="B3524" s="21" t="s">
        <v>9463</v>
      </c>
      <c r="C3524" s="13" t="s">
        <v>169</v>
      </c>
      <c r="D3524" s="782"/>
      <c r="E3524" s="799"/>
      <c r="F3524" s="309">
        <v>250000</v>
      </c>
      <c r="G3524" s="800">
        <f t="shared" si="61"/>
        <v>-250000</v>
      </c>
      <c r="H3524" s="13" t="s">
        <v>10329</v>
      </c>
    </row>
    <row r="3525" spans="1:8" ht="16.5" thickBot="1" x14ac:dyDescent="0.3">
      <c r="A3525" s="116">
        <v>45097</v>
      </c>
      <c r="B3525" s="21" t="s">
        <v>9463</v>
      </c>
      <c r="C3525" s="13" t="s">
        <v>169</v>
      </c>
      <c r="D3525" s="782"/>
      <c r="E3525" s="799"/>
      <c r="F3525" s="309">
        <v>250000</v>
      </c>
      <c r="G3525" s="800">
        <f t="shared" si="61"/>
        <v>-250000</v>
      </c>
      <c r="H3525" s="13" t="s">
        <v>10329</v>
      </c>
    </row>
    <row r="3526" spans="1:8" x14ac:dyDescent="0.25">
      <c r="A3526" s="116">
        <v>45096</v>
      </c>
      <c r="B3526" s="21" t="s">
        <v>1407</v>
      </c>
      <c r="C3526" s="13" t="s">
        <v>164</v>
      </c>
      <c r="D3526" s="782"/>
      <c r="E3526" s="22"/>
      <c r="F3526" s="115">
        <v>7264</v>
      </c>
      <c r="G3526" s="14">
        <f t="shared" si="61"/>
        <v>-7264</v>
      </c>
      <c r="H3526" s="1153" t="s">
        <v>10345</v>
      </c>
    </row>
    <row r="3527" spans="1:8" x14ac:dyDescent="0.25">
      <c r="A3527" s="116">
        <v>45096</v>
      </c>
      <c r="B3527" s="21" t="s">
        <v>6562</v>
      </c>
      <c r="C3527" s="13" t="s">
        <v>164</v>
      </c>
      <c r="D3527" s="782"/>
      <c r="E3527" s="22"/>
      <c r="F3527" s="19">
        <v>1320</v>
      </c>
      <c r="G3527" s="14">
        <f t="shared" si="61"/>
        <v>-1320</v>
      </c>
      <c r="H3527" s="1154"/>
    </row>
    <row r="3528" spans="1:8" x14ac:dyDescent="0.25">
      <c r="A3528" s="116">
        <v>45096</v>
      </c>
      <c r="B3528" s="21" t="s">
        <v>8974</v>
      </c>
      <c r="C3528" s="13" t="s">
        <v>164</v>
      </c>
      <c r="D3528" s="782"/>
      <c r="E3528" s="22"/>
      <c r="F3528" s="19">
        <v>2773</v>
      </c>
      <c r="G3528" s="14">
        <f t="shared" si="61"/>
        <v>-2773</v>
      </c>
      <c r="H3528" s="1154"/>
    </row>
    <row r="3529" spans="1:8" x14ac:dyDescent="0.25">
      <c r="A3529" s="116">
        <v>45096</v>
      </c>
      <c r="B3529" s="21" t="s">
        <v>9463</v>
      </c>
      <c r="C3529" s="13" t="s">
        <v>164</v>
      </c>
      <c r="D3529" s="782"/>
      <c r="E3529" s="22"/>
      <c r="F3529" s="19">
        <v>12911</v>
      </c>
      <c r="G3529" s="14">
        <f t="shared" si="61"/>
        <v>-12911</v>
      </c>
      <c r="H3529" s="1154"/>
    </row>
    <row r="3530" spans="1:8" x14ac:dyDescent="0.25">
      <c r="A3530" s="116">
        <v>45096</v>
      </c>
      <c r="B3530" s="21" t="s">
        <v>9615</v>
      </c>
      <c r="C3530" s="13" t="s">
        <v>164</v>
      </c>
      <c r="D3530" s="782"/>
      <c r="E3530" s="22"/>
      <c r="F3530" s="19">
        <v>3303</v>
      </c>
      <c r="G3530" s="14">
        <f t="shared" si="61"/>
        <v>-3303</v>
      </c>
      <c r="H3530" s="1154"/>
    </row>
    <row r="3531" spans="1:8" x14ac:dyDescent="0.25">
      <c r="A3531" s="116">
        <v>45096</v>
      </c>
      <c r="B3531" s="21" t="s">
        <v>11025</v>
      </c>
      <c r="C3531" s="13" t="s">
        <v>164</v>
      </c>
      <c r="D3531" s="782"/>
      <c r="E3531" s="22"/>
      <c r="F3531" s="19">
        <v>64935</v>
      </c>
      <c r="G3531" s="14">
        <f t="shared" si="61"/>
        <v>-64935</v>
      </c>
      <c r="H3531" s="1154"/>
    </row>
    <row r="3532" spans="1:8" x14ac:dyDescent="0.25">
      <c r="A3532" s="116">
        <v>45096</v>
      </c>
      <c r="B3532" s="21" t="s">
        <v>10077</v>
      </c>
      <c r="C3532" s="13" t="s">
        <v>164</v>
      </c>
      <c r="D3532" s="782"/>
      <c r="E3532" s="22"/>
      <c r="F3532" s="19">
        <v>5073</v>
      </c>
      <c r="G3532" s="14">
        <f t="shared" si="61"/>
        <v>-5073</v>
      </c>
      <c r="H3532" s="1154"/>
    </row>
    <row r="3533" spans="1:8" x14ac:dyDescent="0.25">
      <c r="A3533" s="116">
        <v>45096</v>
      </c>
      <c r="B3533" s="21" t="s">
        <v>10096</v>
      </c>
      <c r="C3533" s="13" t="s">
        <v>164</v>
      </c>
      <c r="D3533" s="782"/>
      <c r="E3533" s="22"/>
      <c r="F3533" s="113">
        <f>100000-F3532-F3531-3485-F3529-F3528-F3527-F3526</f>
        <v>2239</v>
      </c>
      <c r="G3533" s="14">
        <f t="shared" si="61"/>
        <v>-2239</v>
      </c>
      <c r="H3533" s="1155"/>
    </row>
    <row r="3534" spans="1:8" x14ac:dyDescent="0.25">
      <c r="A3534" s="116">
        <v>45097</v>
      </c>
      <c r="B3534" s="21" t="s">
        <v>10077</v>
      </c>
      <c r="C3534" s="13" t="s">
        <v>168</v>
      </c>
      <c r="D3534" s="782" t="s">
        <v>10536</v>
      </c>
      <c r="E3534" s="799">
        <v>48749</v>
      </c>
      <c r="F3534" s="220"/>
      <c r="G3534" s="14">
        <f t="shared" si="61"/>
        <v>48749</v>
      </c>
      <c r="H3534" s="351" t="s">
        <v>10537</v>
      </c>
    </row>
    <row r="3535" spans="1:8" x14ac:dyDescent="0.25">
      <c r="A3535" s="116">
        <v>45097</v>
      </c>
      <c r="B3535" s="21" t="s">
        <v>9877</v>
      </c>
      <c r="C3535" s="13" t="s">
        <v>166</v>
      </c>
      <c r="D3535" s="782" t="s">
        <v>10580</v>
      </c>
      <c r="E3535" s="799">
        <v>22000</v>
      </c>
      <c r="F3535" s="220"/>
      <c r="G3535" s="14">
        <f t="shared" ref="G3535" si="62">E3535-F3535</f>
        <v>22000</v>
      </c>
      <c r="H3535" s="351" t="s">
        <v>10581</v>
      </c>
    </row>
    <row r="3536" spans="1:8" ht="16.5" thickBot="1" x14ac:dyDescent="0.3">
      <c r="A3536" s="116">
        <v>45099</v>
      </c>
      <c r="B3536" s="21" t="s">
        <v>8974</v>
      </c>
      <c r="C3536" s="13" t="s">
        <v>168</v>
      </c>
      <c r="D3536" s="782" t="s">
        <v>10538</v>
      </c>
      <c r="E3536" s="799">
        <v>214220</v>
      </c>
      <c r="F3536" s="220"/>
      <c r="G3536" s="14">
        <f t="shared" si="61"/>
        <v>214220</v>
      </c>
      <c r="H3536" s="351" t="s">
        <v>10539</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157" t="s">
        <v>10237</v>
      </c>
    </row>
    <row r="3542" spans="1:10" x14ac:dyDescent="0.25">
      <c r="A3542" s="116">
        <v>45099</v>
      </c>
      <c r="B3542" s="21" t="s">
        <v>9877</v>
      </c>
      <c r="C3542" s="13" t="s">
        <v>8483</v>
      </c>
      <c r="D3542" s="782"/>
      <c r="E3542" s="799"/>
      <c r="F3542" s="220">
        <v>500000</v>
      </c>
      <c r="G3542" s="800">
        <f t="shared" si="61"/>
        <v>-500000</v>
      </c>
      <c r="H3542" s="1158"/>
    </row>
    <row r="3543" spans="1:10" x14ac:dyDescent="0.25">
      <c r="A3543" s="116">
        <v>45101</v>
      </c>
      <c r="B3543" s="21" t="s">
        <v>8752</v>
      </c>
      <c r="C3543" s="13" t="s">
        <v>5731</v>
      </c>
      <c r="D3543" s="782"/>
      <c r="E3543" s="22"/>
      <c r="F3543" s="115">
        <v>200000</v>
      </c>
      <c r="G3543" s="14">
        <f t="shared" si="61"/>
        <v>-200000</v>
      </c>
      <c r="H3543" s="13" t="s">
        <v>10398</v>
      </c>
    </row>
    <row r="3544" spans="1:10" x14ac:dyDescent="0.25">
      <c r="A3544" s="116">
        <v>45101</v>
      </c>
      <c r="B3544" s="21" t="s">
        <v>8974</v>
      </c>
      <c r="C3544" s="13" t="s">
        <v>168</v>
      </c>
      <c r="D3544" s="782" t="s">
        <v>10540</v>
      </c>
      <c r="E3544" s="22">
        <v>13500</v>
      </c>
      <c r="F3544" s="115"/>
      <c r="G3544" s="14">
        <f t="shared" si="61"/>
        <v>13500</v>
      </c>
      <c r="H3544" s="56" t="s">
        <v>10541</v>
      </c>
    </row>
    <row r="3545" spans="1:10" x14ac:dyDescent="0.25">
      <c r="A3545" s="116">
        <v>45103</v>
      </c>
      <c r="B3545" s="21" t="s">
        <v>10406</v>
      </c>
      <c r="C3545" s="13" t="s">
        <v>180</v>
      </c>
      <c r="D3545" s="782" t="s">
        <v>10586</v>
      </c>
      <c r="E3545" s="22">
        <v>151960</v>
      </c>
      <c r="F3545" s="115"/>
      <c r="G3545" s="14">
        <f t="shared" si="61"/>
        <v>151960</v>
      </c>
      <c r="H3545" s="56" t="s">
        <v>10587</v>
      </c>
    </row>
    <row r="3546" spans="1:10" x14ac:dyDescent="0.25">
      <c r="A3546" s="116">
        <v>45103</v>
      </c>
      <c r="B3546" s="21" t="s">
        <v>10077</v>
      </c>
      <c r="C3546" s="13" t="s">
        <v>1816</v>
      </c>
      <c r="D3546" s="782"/>
      <c r="E3546" s="22"/>
      <c r="F3546" s="115">
        <v>65000</v>
      </c>
      <c r="G3546" s="14">
        <f t="shared" si="61"/>
        <v>-65000</v>
      </c>
      <c r="H3546" s="56" t="s">
        <v>10329</v>
      </c>
    </row>
    <row r="3547" spans="1:10" ht="15.75" customHeight="1" x14ac:dyDescent="0.25">
      <c r="A3547" s="116">
        <v>45104</v>
      </c>
      <c r="B3547" s="21" t="s">
        <v>8982</v>
      </c>
      <c r="C3547" s="13" t="s">
        <v>7309</v>
      </c>
      <c r="D3547" s="782"/>
      <c r="E3547" s="22"/>
      <c r="F3547" s="19">
        <v>169188</v>
      </c>
      <c r="G3547" s="14">
        <f t="shared" si="61"/>
        <v>-169188</v>
      </c>
      <c r="H3547" s="1144" t="s">
        <v>10509</v>
      </c>
    </row>
    <row r="3548" spans="1:10" ht="15.75" customHeight="1" x14ac:dyDescent="0.25">
      <c r="A3548" s="116">
        <v>45104</v>
      </c>
      <c r="B3548" s="21" t="s">
        <v>9516</v>
      </c>
      <c r="C3548" s="13" t="s">
        <v>7309</v>
      </c>
      <c r="D3548" s="782"/>
      <c r="E3548" s="22"/>
      <c r="F3548" s="19">
        <v>116894</v>
      </c>
      <c r="G3548" s="14">
        <f t="shared" si="61"/>
        <v>-116894</v>
      </c>
      <c r="H3548" s="1145"/>
    </row>
    <row r="3549" spans="1:10" x14ac:dyDescent="0.25">
      <c r="A3549" s="116">
        <v>45104</v>
      </c>
      <c r="B3549" s="21"/>
      <c r="C3549" s="13" t="s">
        <v>7309</v>
      </c>
      <c r="D3549" s="782"/>
      <c r="E3549" s="22"/>
      <c r="F3549" s="19">
        <v>13918</v>
      </c>
      <c r="G3549" s="14">
        <f t="shared" si="61"/>
        <v>-13918</v>
      </c>
      <c r="H3549" s="1146"/>
    </row>
    <row r="3550" spans="1:10" x14ac:dyDescent="0.25">
      <c r="A3550" s="116">
        <v>45098</v>
      </c>
      <c r="B3550" s="21" t="s">
        <v>10261</v>
      </c>
      <c r="C3550" s="13" t="s">
        <v>8483</v>
      </c>
      <c r="D3550" s="782" t="s">
        <v>10431</v>
      </c>
      <c r="E3550" s="22">
        <v>461789</v>
      </c>
      <c r="F3550" s="19"/>
      <c r="G3550" s="14">
        <f t="shared" si="61"/>
        <v>461789</v>
      </c>
      <c r="H3550" s="13"/>
    </row>
    <row r="3551" spans="1:10" x14ac:dyDescent="0.25">
      <c r="A3551" s="116">
        <v>45099</v>
      </c>
      <c r="B3551" s="21" t="s">
        <v>10261</v>
      </c>
      <c r="C3551" s="13" t="s">
        <v>7538</v>
      </c>
      <c r="D3551" s="782" t="s">
        <v>10553</v>
      </c>
      <c r="E3551" s="22">
        <v>149260</v>
      </c>
      <c r="F3551" s="19"/>
      <c r="G3551" s="14">
        <f t="shared" si="61"/>
        <v>149260</v>
      </c>
      <c r="H3551" s="13" t="s">
        <v>10554</v>
      </c>
    </row>
    <row r="3552" spans="1:10" x14ac:dyDescent="0.25">
      <c r="A3552" s="116">
        <v>45100</v>
      </c>
      <c r="B3552" s="21" t="s">
        <v>8974</v>
      </c>
      <c r="C3552" s="13" t="s">
        <v>8483</v>
      </c>
      <c r="D3552" s="782" t="s">
        <v>10432</v>
      </c>
      <c r="E3552" s="22">
        <v>243048</v>
      </c>
      <c r="F3552" s="19"/>
      <c r="G3552" s="14">
        <f t="shared" si="61"/>
        <v>243048</v>
      </c>
      <c r="H3552" s="13"/>
    </row>
    <row r="3553" spans="1:8" x14ac:dyDescent="0.25">
      <c r="A3553" s="116">
        <v>45100</v>
      </c>
      <c r="B3553" s="21" t="s">
        <v>9877</v>
      </c>
      <c r="C3553" s="13" t="s">
        <v>8483</v>
      </c>
      <c r="D3553" s="782" t="s">
        <v>10433</v>
      </c>
      <c r="E3553" s="22">
        <v>113981</v>
      </c>
      <c r="F3553" s="19"/>
      <c r="G3553" s="14">
        <f t="shared" si="61"/>
        <v>113981</v>
      </c>
      <c r="H3553" s="13"/>
    </row>
    <row r="3554" spans="1:8" x14ac:dyDescent="0.25">
      <c r="A3554" s="116">
        <v>45111</v>
      </c>
      <c r="B3554" s="21" t="s">
        <v>10582</v>
      </c>
      <c r="C3554" s="13" t="s">
        <v>166</v>
      </c>
      <c r="D3554" s="782" t="s">
        <v>10583</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141" t="s">
        <v>10436</v>
      </c>
    </row>
    <row r="3556" spans="1:8" x14ac:dyDescent="0.25">
      <c r="A3556" s="116">
        <v>45112</v>
      </c>
      <c r="B3556" s="21" t="s">
        <v>8974</v>
      </c>
      <c r="C3556" s="13" t="s">
        <v>8483</v>
      </c>
      <c r="D3556" s="782"/>
      <c r="E3556" s="22"/>
      <c r="F3556" s="19">
        <v>200000</v>
      </c>
      <c r="G3556" s="14">
        <f t="shared" si="61"/>
        <v>-200000</v>
      </c>
      <c r="H3556" s="1142"/>
    </row>
    <row r="3557" spans="1:8" x14ac:dyDescent="0.25">
      <c r="A3557" s="116">
        <v>45112</v>
      </c>
      <c r="B3557" s="21" t="s">
        <v>9463</v>
      </c>
      <c r="C3557" s="13" t="s">
        <v>8483</v>
      </c>
      <c r="D3557" s="782"/>
      <c r="E3557" s="22"/>
      <c r="F3557" s="19">
        <v>270000</v>
      </c>
      <c r="G3557" s="14">
        <f t="shared" si="61"/>
        <v>-270000</v>
      </c>
      <c r="H3557" s="1142"/>
    </row>
    <row r="3558" spans="1:8" x14ac:dyDescent="0.25">
      <c r="A3558" s="116">
        <v>45112</v>
      </c>
      <c r="B3558" s="21" t="s">
        <v>9769</v>
      </c>
      <c r="C3558" s="13" t="s">
        <v>8483</v>
      </c>
      <c r="D3558" s="782"/>
      <c r="E3558" s="22"/>
      <c r="F3558" s="19">
        <v>430000</v>
      </c>
      <c r="G3558" s="14">
        <f t="shared" si="61"/>
        <v>-430000</v>
      </c>
      <c r="H3558" s="1142"/>
    </row>
    <row r="3559" spans="1:8" x14ac:dyDescent="0.25">
      <c r="A3559" s="116">
        <v>45112</v>
      </c>
      <c r="B3559" s="21" t="s">
        <v>10261</v>
      </c>
      <c r="C3559" s="13" t="s">
        <v>8483</v>
      </c>
      <c r="D3559" s="782"/>
      <c r="E3559" s="22"/>
      <c r="F3559" s="19">
        <v>50000</v>
      </c>
      <c r="G3559" s="14">
        <f t="shared" si="61"/>
        <v>-50000</v>
      </c>
      <c r="H3559" s="1143"/>
    </row>
    <row r="3560" spans="1:8" x14ac:dyDescent="0.25">
      <c r="A3560" s="116">
        <v>45113</v>
      </c>
      <c r="B3560" s="21" t="s">
        <v>10582</v>
      </c>
      <c r="C3560" s="13" t="s">
        <v>164</v>
      </c>
      <c r="D3560" s="782" t="s">
        <v>10794</v>
      </c>
      <c r="E3560" s="22">
        <v>2840</v>
      </c>
      <c r="F3560" s="19"/>
      <c r="G3560" s="14">
        <f t="shared" ref="G3560:G3562" si="63">E3560-F3560</f>
        <v>2840</v>
      </c>
      <c r="H3560" s="13"/>
    </row>
    <row r="3561" spans="1:8" x14ac:dyDescent="0.25">
      <c r="A3561" s="116">
        <v>45113</v>
      </c>
      <c r="B3561" s="21" t="s">
        <v>11023</v>
      </c>
      <c r="C3561" s="13" t="s">
        <v>7309</v>
      </c>
      <c r="D3561" s="782"/>
      <c r="E3561" s="22"/>
      <c r="F3561" s="19">
        <v>521800</v>
      </c>
      <c r="G3561" s="14">
        <f t="shared" si="63"/>
        <v>-521800</v>
      </c>
      <c r="H3561" s="13" t="s">
        <v>11814</v>
      </c>
    </row>
    <row r="3562" spans="1:8" x14ac:dyDescent="0.25">
      <c r="A3562" s="116">
        <v>45113</v>
      </c>
      <c r="B3562" s="21" t="s">
        <v>11023</v>
      </c>
      <c r="C3562" s="13" t="s">
        <v>7309</v>
      </c>
      <c r="D3562" s="782"/>
      <c r="E3562" s="22"/>
      <c r="F3562" s="19">
        <v>484000</v>
      </c>
      <c r="G3562" s="14">
        <f t="shared" si="63"/>
        <v>-484000</v>
      </c>
      <c r="H3562" s="13" t="s">
        <v>11814</v>
      </c>
    </row>
    <row r="3563" spans="1:8" x14ac:dyDescent="0.25">
      <c r="A3563" s="116">
        <v>45110</v>
      </c>
      <c r="B3563" s="21" t="s">
        <v>10261</v>
      </c>
      <c r="C3563" s="13" t="s">
        <v>8483</v>
      </c>
      <c r="D3563" s="782" t="s">
        <v>10542</v>
      </c>
      <c r="E3563" s="22">
        <v>333836</v>
      </c>
      <c r="F3563" s="19"/>
      <c r="G3563" s="14">
        <f t="shared" ref="G3563:G3653" si="64">E3563-F3563</f>
        <v>333836</v>
      </c>
      <c r="H3563" s="13"/>
    </row>
    <row r="3564" spans="1:8" x14ac:dyDescent="0.25">
      <c r="A3564" s="116">
        <v>45114</v>
      </c>
      <c r="B3564" s="21" t="s">
        <v>8974</v>
      </c>
      <c r="C3564" s="13" t="s">
        <v>8483</v>
      </c>
      <c r="D3564" s="782" t="s">
        <v>10543</v>
      </c>
      <c r="E3564" s="22">
        <v>86737</v>
      </c>
      <c r="F3564" s="19"/>
      <c r="G3564" s="14">
        <f t="shared" si="64"/>
        <v>86737</v>
      </c>
      <c r="H3564" s="13"/>
    </row>
    <row r="3565" spans="1:8" x14ac:dyDescent="0.25">
      <c r="A3565" s="116">
        <v>45114</v>
      </c>
      <c r="B3565" s="21" t="s">
        <v>10406</v>
      </c>
      <c r="C3565" s="13" t="s">
        <v>8483</v>
      </c>
      <c r="D3565" s="782" t="s">
        <v>10544</v>
      </c>
      <c r="E3565" s="22">
        <v>164549</v>
      </c>
      <c r="F3565" s="19"/>
      <c r="G3565" s="14">
        <f t="shared" si="64"/>
        <v>164549</v>
      </c>
      <c r="H3565" s="13"/>
    </row>
    <row r="3566" spans="1:8" x14ac:dyDescent="0.25">
      <c r="A3566" s="116">
        <v>45114</v>
      </c>
      <c r="B3566" s="21" t="s">
        <v>10261</v>
      </c>
      <c r="C3566" s="13" t="s">
        <v>7538</v>
      </c>
      <c r="D3566" s="782" t="s">
        <v>10552</v>
      </c>
      <c r="E3566" s="22">
        <v>35200</v>
      </c>
      <c r="F3566" s="19"/>
      <c r="G3566" s="14">
        <f t="shared" si="64"/>
        <v>35200</v>
      </c>
      <c r="H3566" s="13" t="s">
        <v>10555</v>
      </c>
    </row>
    <row r="3567" spans="1:8" x14ac:dyDescent="0.25">
      <c r="A3567" s="116">
        <v>45114</v>
      </c>
      <c r="B3567" s="21" t="s">
        <v>9463</v>
      </c>
      <c r="C3567" s="13" t="s">
        <v>169</v>
      </c>
      <c r="D3567" s="793" t="s">
        <v>9074</v>
      </c>
      <c r="E3567" s="799">
        <v>7580</v>
      </c>
      <c r="F3567" s="19"/>
      <c r="G3567" s="14">
        <f t="shared" si="64"/>
        <v>7580</v>
      </c>
      <c r="H3567" s="57"/>
    </row>
    <row r="3568" spans="1:8" x14ac:dyDescent="0.25">
      <c r="A3568" s="116">
        <v>45118</v>
      </c>
      <c r="B3568" s="21" t="s">
        <v>10582</v>
      </c>
      <c r="C3568" s="13" t="s">
        <v>166</v>
      </c>
      <c r="D3568" s="1162" t="s">
        <v>10584</v>
      </c>
      <c r="E3568" s="799">
        <v>130000</v>
      </c>
      <c r="F3568" s="19"/>
      <c r="G3568" s="14">
        <f t="shared" si="64"/>
        <v>130000</v>
      </c>
      <c r="H3568" s="351" t="s">
        <v>9386</v>
      </c>
    </row>
    <row r="3569" spans="1:10" x14ac:dyDescent="0.25">
      <c r="A3569" s="116">
        <v>45118</v>
      </c>
      <c r="B3569" s="21" t="s">
        <v>8974</v>
      </c>
      <c r="C3569" s="13" t="s">
        <v>166</v>
      </c>
      <c r="D3569" s="1163"/>
      <c r="E3569" s="799">
        <v>115000</v>
      </c>
      <c r="F3569" s="19"/>
      <c r="G3569" s="14">
        <f t="shared" si="64"/>
        <v>115000</v>
      </c>
      <c r="H3569" s="351" t="s">
        <v>10585</v>
      </c>
    </row>
    <row r="3570" spans="1:10" x14ac:dyDescent="0.25">
      <c r="A3570" s="116">
        <v>45119</v>
      </c>
      <c r="B3570" s="21" t="s">
        <v>9877</v>
      </c>
      <c r="C3570" s="13" t="s">
        <v>8483</v>
      </c>
      <c r="D3570" s="782" t="s">
        <v>10545</v>
      </c>
      <c r="E3570" s="22">
        <v>407933</v>
      </c>
      <c r="F3570" s="19"/>
      <c r="G3570" s="14">
        <f t="shared" si="64"/>
        <v>407933</v>
      </c>
      <c r="H3570" s="13"/>
    </row>
    <row r="3571" spans="1:10" x14ac:dyDescent="0.25">
      <c r="A3571" s="116">
        <v>45119</v>
      </c>
      <c r="B3571" s="21" t="s">
        <v>8974</v>
      </c>
      <c r="C3571" s="13" t="s">
        <v>8483</v>
      </c>
      <c r="D3571" s="782" t="s">
        <v>10546</v>
      </c>
      <c r="E3571" s="22">
        <v>94569</v>
      </c>
      <c r="F3571" s="19"/>
      <c r="G3571" s="14">
        <f t="shared" si="64"/>
        <v>94569</v>
      </c>
      <c r="H3571" s="13"/>
    </row>
    <row r="3572" spans="1:10" x14ac:dyDescent="0.25">
      <c r="A3572" s="116">
        <v>45120</v>
      </c>
      <c r="B3572" s="21" t="s">
        <v>10077</v>
      </c>
      <c r="C3572" s="13" t="s">
        <v>1816</v>
      </c>
      <c r="D3572" s="782" t="s">
        <v>10790</v>
      </c>
      <c r="E3572" s="22">
        <v>7782</v>
      </c>
      <c r="F3572" s="19"/>
      <c r="G3572" s="14">
        <f t="shared" si="64"/>
        <v>7782</v>
      </c>
      <c r="H3572" s="991"/>
    </row>
    <row r="3573" spans="1:10" x14ac:dyDescent="0.25">
      <c r="A3573" s="116">
        <v>45120</v>
      </c>
      <c r="B3573" s="21" t="s">
        <v>10342</v>
      </c>
      <c r="C3573" s="13" t="s">
        <v>11444</v>
      </c>
      <c r="D3573" s="782"/>
      <c r="E3573" s="22">
        <v>4226000</v>
      </c>
      <c r="F3573" s="19"/>
      <c r="G3573" s="14">
        <f t="shared" si="64"/>
        <v>4226000</v>
      </c>
      <c r="H3573" s="991"/>
    </row>
    <row r="3574" spans="1:10" x14ac:dyDescent="0.25">
      <c r="A3574" s="116">
        <v>45120</v>
      </c>
      <c r="B3574" s="21" t="s">
        <v>10342</v>
      </c>
      <c r="C3574" s="13" t="s">
        <v>11444</v>
      </c>
      <c r="D3574" s="782"/>
      <c r="E3574" s="22"/>
      <c r="F3574" s="19">
        <v>975000</v>
      </c>
      <c r="G3574" s="14">
        <f t="shared" si="64"/>
        <v>-975000</v>
      </c>
      <c r="H3574" s="991" t="s">
        <v>10557</v>
      </c>
    </row>
    <row r="3575" spans="1:10" x14ac:dyDescent="0.25">
      <c r="A3575" s="116">
        <v>45120</v>
      </c>
      <c r="B3575" s="21" t="s">
        <v>1407</v>
      </c>
      <c r="C3575" s="13" t="s">
        <v>5731</v>
      </c>
      <c r="D3575" s="782"/>
      <c r="E3575" s="22"/>
      <c r="F3575" s="19">
        <v>200000</v>
      </c>
      <c r="G3575" s="14">
        <f t="shared" si="64"/>
        <v>-200000</v>
      </c>
      <c r="H3575" s="991" t="s">
        <v>10535</v>
      </c>
    </row>
    <row r="3576" spans="1:10" x14ac:dyDescent="0.25">
      <c r="A3576" s="116">
        <v>45124</v>
      </c>
      <c r="B3576" s="21" t="s">
        <v>10261</v>
      </c>
      <c r="C3576" s="13" t="s">
        <v>8483</v>
      </c>
      <c r="D3576" s="782" t="s">
        <v>10651</v>
      </c>
      <c r="E3576" s="22">
        <v>306968</v>
      </c>
      <c r="F3576" s="19"/>
      <c r="G3576" s="14">
        <f t="shared" si="64"/>
        <v>306968</v>
      </c>
      <c r="H3576" s="991"/>
    </row>
    <row r="3577" spans="1:10" x14ac:dyDescent="0.25">
      <c r="A3577" s="116">
        <v>45124</v>
      </c>
      <c r="B3577" s="21" t="s">
        <v>10406</v>
      </c>
      <c r="C3577" s="13" t="s">
        <v>8483</v>
      </c>
      <c r="D3577" s="782" t="s">
        <v>10652</v>
      </c>
      <c r="E3577" s="22">
        <v>100000</v>
      </c>
      <c r="F3577" s="19"/>
      <c r="G3577" s="14">
        <f t="shared" si="64"/>
        <v>100000</v>
      </c>
      <c r="H3577" s="991"/>
    </row>
    <row r="3578" spans="1:10" x14ac:dyDescent="0.25">
      <c r="A3578" s="116">
        <v>45124</v>
      </c>
      <c r="B3578" s="21" t="s">
        <v>9463</v>
      </c>
      <c r="C3578" s="13" t="s">
        <v>8483</v>
      </c>
      <c r="D3578" s="782" t="s">
        <v>9157</v>
      </c>
      <c r="E3578" s="22">
        <v>140886</v>
      </c>
      <c r="F3578" s="19"/>
      <c r="G3578" s="14">
        <f t="shared" si="64"/>
        <v>140886</v>
      </c>
      <c r="H3578" s="991"/>
    </row>
    <row r="3579" spans="1:10" x14ac:dyDescent="0.25">
      <c r="A3579" s="116">
        <v>45124</v>
      </c>
      <c r="B3579" s="21" t="s">
        <v>9769</v>
      </c>
      <c r="C3579" s="13" t="s">
        <v>166</v>
      </c>
      <c r="D3579" s="782"/>
      <c r="E3579" s="22"/>
      <c r="F3579" s="19">
        <v>64100</v>
      </c>
      <c r="G3579" s="14">
        <f t="shared" si="64"/>
        <v>-64100</v>
      </c>
      <c r="H3579" s="1168" t="s">
        <v>10591</v>
      </c>
      <c r="J3579" s="134"/>
    </row>
    <row r="3580" spans="1:10" x14ac:dyDescent="0.25">
      <c r="A3580" s="116">
        <v>45124</v>
      </c>
      <c r="B3580" s="21" t="s">
        <v>9877</v>
      </c>
      <c r="C3580" s="13" t="s">
        <v>166</v>
      </c>
      <c r="D3580" s="782"/>
      <c r="E3580" s="22"/>
      <c r="F3580" s="19">
        <v>66000</v>
      </c>
      <c r="G3580" s="14">
        <f t="shared" si="64"/>
        <v>-66000</v>
      </c>
      <c r="H3580" s="1168"/>
    </row>
    <row r="3581" spans="1:10" x14ac:dyDescent="0.25">
      <c r="A3581" s="116">
        <v>45124</v>
      </c>
      <c r="B3581" s="21" t="s">
        <v>10077</v>
      </c>
      <c r="C3581" s="13" t="s">
        <v>166</v>
      </c>
      <c r="D3581" s="782"/>
      <c r="E3581" s="22"/>
      <c r="F3581" s="19">
        <v>15800</v>
      </c>
      <c r="G3581" s="14">
        <f t="shared" si="64"/>
        <v>-15800</v>
      </c>
      <c r="H3581" s="1168"/>
    </row>
    <row r="3582" spans="1:10" x14ac:dyDescent="0.25">
      <c r="A3582" s="116">
        <v>45124</v>
      </c>
      <c r="B3582" s="21" t="s">
        <v>10582</v>
      </c>
      <c r="C3582" s="13" t="s">
        <v>166</v>
      </c>
      <c r="D3582" s="782"/>
      <c r="E3582" s="22"/>
      <c r="F3582" s="19">
        <v>13260</v>
      </c>
      <c r="G3582" s="14">
        <f t="shared" si="64"/>
        <v>-13260</v>
      </c>
      <c r="H3582" s="1168"/>
    </row>
    <row r="3583" spans="1:10" x14ac:dyDescent="0.25">
      <c r="A3583" s="116">
        <v>45124</v>
      </c>
      <c r="B3583" s="21" t="s">
        <v>8752</v>
      </c>
      <c r="C3583" s="13" t="s">
        <v>166</v>
      </c>
      <c r="D3583" s="782"/>
      <c r="E3583" s="22"/>
      <c r="F3583" s="19">
        <v>290840</v>
      </c>
      <c r="G3583" s="14">
        <f t="shared" si="64"/>
        <v>-290840</v>
      </c>
      <c r="H3583" s="1169"/>
    </row>
    <row r="3584" spans="1:10" x14ac:dyDescent="0.25">
      <c r="A3584" s="116">
        <v>45124</v>
      </c>
      <c r="B3584" s="1002" t="s">
        <v>10490</v>
      </c>
      <c r="C3584" s="13" t="s">
        <v>168</v>
      </c>
      <c r="D3584" s="782" t="s">
        <v>10607</v>
      </c>
      <c r="E3584" s="22">
        <v>100000</v>
      </c>
      <c r="F3584" s="19"/>
      <c r="G3584" s="14">
        <f t="shared" si="64"/>
        <v>100000</v>
      </c>
      <c r="H3584" s="13" t="s">
        <v>10608</v>
      </c>
    </row>
    <row r="3585" spans="1:8" x14ac:dyDescent="0.25">
      <c r="A3585" s="116">
        <v>45124</v>
      </c>
      <c r="B3585" s="21" t="s">
        <v>10582</v>
      </c>
      <c r="C3585" s="13" t="s">
        <v>168</v>
      </c>
      <c r="D3585" s="782" t="s">
        <v>10636</v>
      </c>
      <c r="E3585" s="22">
        <v>1039700</v>
      </c>
      <c r="F3585" s="19"/>
      <c r="G3585" s="14">
        <f t="shared" si="64"/>
        <v>1039700</v>
      </c>
      <c r="H3585" s="13"/>
    </row>
    <row r="3586" spans="1:8" x14ac:dyDescent="0.25">
      <c r="A3586" s="116">
        <v>45124</v>
      </c>
      <c r="B3586" s="21" t="s">
        <v>10582</v>
      </c>
      <c r="C3586" s="13" t="s">
        <v>168</v>
      </c>
      <c r="D3586" s="782"/>
      <c r="E3586" s="22"/>
      <c r="F3586" s="19">
        <v>1039700</v>
      </c>
      <c r="G3586" s="14">
        <f t="shared" si="64"/>
        <v>-1039700</v>
      </c>
      <c r="H3586" s="13" t="s">
        <v>10637</v>
      </c>
    </row>
    <row r="3587" spans="1:8" x14ac:dyDescent="0.25">
      <c r="A3587" s="116">
        <v>45124</v>
      </c>
      <c r="B3587" s="21" t="s">
        <v>10342</v>
      </c>
      <c r="C3587" s="13" t="s">
        <v>180</v>
      </c>
      <c r="D3587" s="782" t="s">
        <v>10681</v>
      </c>
      <c r="E3587" s="22">
        <v>278840</v>
      </c>
      <c r="F3587" s="19"/>
      <c r="G3587" s="14">
        <f t="shared" si="64"/>
        <v>278840</v>
      </c>
      <c r="H3587" s="13"/>
    </row>
    <row r="3588" spans="1:8" x14ac:dyDescent="0.25">
      <c r="A3588" s="116">
        <v>45125</v>
      </c>
      <c r="B3588" s="21" t="s">
        <v>10406</v>
      </c>
      <c r="C3588" s="13" t="s">
        <v>1816</v>
      </c>
      <c r="D3588" s="782" t="s">
        <v>10791</v>
      </c>
      <c r="E3588" s="22">
        <v>286220</v>
      </c>
      <c r="F3588" s="19"/>
      <c r="G3588" s="14">
        <f t="shared" si="64"/>
        <v>286220</v>
      </c>
      <c r="H3588" s="13"/>
    </row>
    <row r="3589" spans="1:8" x14ac:dyDescent="0.25">
      <c r="A3589" s="116">
        <v>45125</v>
      </c>
      <c r="B3589" s="21" t="s">
        <v>9615</v>
      </c>
      <c r="C3589" s="13" t="s">
        <v>168</v>
      </c>
      <c r="D3589" s="782" t="s">
        <v>10638</v>
      </c>
      <c r="E3589" s="22">
        <v>9820</v>
      </c>
      <c r="F3589" s="19"/>
      <c r="G3589" s="14">
        <f t="shared" si="64"/>
        <v>9820</v>
      </c>
      <c r="H3589" s="13" t="s">
        <v>10640</v>
      </c>
    </row>
    <row r="3590" spans="1:8" x14ac:dyDescent="0.25">
      <c r="A3590" s="116">
        <v>45125</v>
      </c>
      <c r="B3590" s="21" t="s">
        <v>10582</v>
      </c>
      <c r="C3590" s="13" t="s">
        <v>168</v>
      </c>
      <c r="D3590" s="782" t="s">
        <v>9703</v>
      </c>
      <c r="E3590" s="22">
        <v>91053</v>
      </c>
      <c r="F3590" s="19"/>
      <c r="G3590" s="14">
        <f t="shared" si="64"/>
        <v>91053</v>
      </c>
      <c r="H3590" s="13" t="s">
        <v>10641</v>
      </c>
    </row>
    <row r="3591" spans="1:8" ht="16.5" thickBot="1" x14ac:dyDescent="0.3">
      <c r="A3591" s="116">
        <v>45125</v>
      </c>
      <c r="B3591" s="1002" t="s">
        <v>10490</v>
      </c>
      <c r="C3591" s="13" t="s">
        <v>168</v>
      </c>
      <c r="D3591" s="782" t="s">
        <v>10639</v>
      </c>
      <c r="E3591" s="22">
        <v>92000</v>
      </c>
      <c r="F3591" s="113"/>
      <c r="G3591" s="14">
        <f t="shared" si="64"/>
        <v>92000</v>
      </c>
      <c r="H3591" s="13" t="s">
        <v>10642</v>
      </c>
    </row>
    <row r="3592" spans="1:8" x14ac:dyDescent="0.25">
      <c r="A3592" s="116">
        <v>45125</v>
      </c>
      <c r="B3592" s="21" t="s">
        <v>8974</v>
      </c>
      <c r="C3592" s="13" t="s">
        <v>166</v>
      </c>
      <c r="D3592" s="782"/>
      <c r="E3592" s="799"/>
      <c r="F3592" s="801">
        <v>115000</v>
      </c>
      <c r="G3592" s="800">
        <f t="shared" si="64"/>
        <v>-115000</v>
      </c>
      <c r="H3592" s="1153" t="s">
        <v>10622</v>
      </c>
    </row>
    <row r="3593" spans="1:8" ht="16.5" thickBot="1" x14ac:dyDescent="0.3">
      <c r="A3593" s="116">
        <v>45125</v>
      </c>
      <c r="B3593" s="21" t="s">
        <v>10582</v>
      </c>
      <c r="C3593" s="13" t="s">
        <v>166</v>
      </c>
      <c r="D3593" s="782"/>
      <c r="E3593" s="799"/>
      <c r="F3593" s="802">
        <v>130000</v>
      </c>
      <c r="G3593" s="800">
        <f t="shared" si="64"/>
        <v>-130000</v>
      </c>
      <c r="H3593" s="1155"/>
    </row>
    <row r="3594" spans="1:8" x14ac:dyDescent="0.25">
      <c r="A3594" s="116">
        <v>45126</v>
      </c>
      <c r="B3594" s="1002" t="s">
        <v>10490</v>
      </c>
      <c r="C3594" s="13" t="s">
        <v>180</v>
      </c>
      <c r="D3594" s="782" t="s">
        <v>10682</v>
      </c>
      <c r="E3594" s="22">
        <v>18720</v>
      </c>
      <c r="F3594" s="115"/>
      <c r="G3594" s="14">
        <f t="shared" si="64"/>
        <v>18720</v>
      </c>
      <c r="H3594" s="13"/>
    </row>
    <row r="3595" spans="1:8" x14ac:dyDescent="0.25">
      <c r="A3595" s="116">
        <v>45127</v>
      </c>
      <c r="B3595" s="21" t="s">
        <v>8974</v>
      </c>
      <c r="C3595" s="13" t="s">
        <v>8483</v>
      </c>
      <c r="D3595" s="782" t="s">
        <v>10643</v>
      </c>
      <c r="E3595" s="22">
        <v>30441</v>
      </c>
      <c r="F3595" s="19"/>
      <c r="G3595" s="14">
        <f t="shared" si="64"/>
        <v>30441</v>
      </c>
      <c r="H3595" s="13"/>
    </row>
    <row r="3596" spans="1:8" x14ac:dyDescent="0.25">
      <c r="A3596" s="116">
        <v>45127</v>
      </c>
      <c r="B3596" s="21" t="s">
        <v>10261</v>
      </c>
      <c r="C3596" s="13" t="s">
        <v>8483</v>
      </c>
      <c r="D3596" s="782" t="s">
        <v>10644</v>
      </c>
      <c r="E3596" s="22">
        <v>70032</v>
      </c>
      <c r="F3596" s="19"/>
      <c r="G3596" s="14">
        <f t="shared" si="64"/>
        <v>70032</v>
      </c>
      <c r="H3596" s="13"/>
    </row>
    <row r="3597" spans="1:8" x14ac:dyDescent="0.25">
      <c r="A3597" s="116">
        <v>45127</v>
      </c>
      <c r="B3597" s="21" t="s">
        <v>9877</v>
      </c>
      <c r="C3597" s="13" t="s">
        <v>8483</v>
      </c>
      <c r="D3597" s="782" t="s">
        <v>10645</v>
      </c>
      <c r="E3597" s="22">
        <v>145910</v>
      </c>
      <c r="F3597" s="19"/>
      <c r="G3597" s="14">
        <f t="shared" si="64"/>
        <v>145910</v>
      </c>
      <c r="H3597" s="13"/>
    </row>
    <row r="3598" spans="1:8" ht="16.5" thickBot="1" x14ac:dyDescent="0.3">
      <c r="A3598" s="116">
        <v>45127</v>
      </c>
      <c r="B3598" s="21" t="s">
        <v>9463</v>
      </c>
      <c r="C3598" s="13" t="s">
        <v>8483</v>
      </c>
      <c r="D3598" s="782" t="s">
        <v>10646</v>
      </c>
      <c r="E3598" s="22">
        <v>78349</v>
      </c>
      <c r="F3598" s="113"/>
      <c r="G3598" s="14">
        <f t="shared" si="64"/>
        <v>78349</v>
      </c>
      <c r="H3598" s="13"/>
    </row>
    <row r="3599" spans="1:8" x14ac:dyDescent="0.25">
      <c r="A3599" s="116">
        <v>45127</v>
      </c>
      <c r="B3599" s="21" t="s">
        <v>8752</v>
      </c>
      <c r="C3599" s="13" t="s">
        <v>8483</v>
      </c>
      <c r="D3599" s="782"/>
      <c r="E3599" s="799"/>
      <c r="F3599" s="801">
        <v>12087</v>
      </c>
      <c r="G3599" s="800">
        <f t="shared" si="64"/>
        <v>-12087</v>
      </c>
      <c r="H3599" s="1164" t="s">
        <v>10663</v>
      </c>
    </row>
    <row r="3600" spans="1:8" x14ac:dyDescent="0.25">
      <c r="A3600" s="116">
        <v>45127</v>
      </c>
      <c r="B3600" s="21" t="s">
        <v>8974</v>
      </c>
      <c r="C3600" s="13" t="s">
        <v>8483</v>
      </c>
      <c r="D3600" s="782"/>
      <c r="E3600" s="799"/>
      <c r="F3600" s="148">
        <v>182717</v>
      </c>
      <c r="G3600" s="800">
        <f t="shared" si="64"/>
        <v>-182717</v>
      </c>
      <c r="H3600" s="1165"/>
    </row>
    <row r="3601" spans="1:8" x14ac:dyDescent="0.25">
      <c r="A3601" s="116">
        <v>45127</v>
      </c>
      <c r="B3601" s="21" t="s">
        <v>9463</v>
      </c>
      <c r="C3601" s="13" t="s">
        <v>8483</v>
      </c>
      <c r="D3601" s="782"/>
      <c r="E3601" s="799"/>
      <c r="F3601" s="148">
        <v>190000</v>
      </c>
      <c r="G3601" s="800">
        <f t="shared" si="64"/>
        <v>-190000</v>
      </c>
      <c r="H3601" s="1165"/>
    </row>
    <row r="3602" spans="1:8" x14ac:dyDescent="0.25">
      <c r="A3602" s="116">
        <v>45127</v>
      </c>
      <c r="B3602" s="21" t="s">
        <v>9769</v>
      </c>
      <c r="C3602" s="13" t="s">
        <v>8483</v>
      </c>
      <c r="D3602" s="782"/>
      <c r="E3602" s="799"/>
      <c r="F3602" s="148">
        <v>45196</v>
      </c>
      <c r="G3602" s="800">
        <f t="shared" si="64"/>
        <v>-45196</v>
      </c>
      <c r="H3602" s="1165"/>
    </row>
    <row r="3603" spans="1:8" x14ac:dyDescent="0.25">
      <c r="A3603" s="116">
        <v>45127</v>
      </c>
      <c r="B3603" s="21" t="s">
        <v>9877</v>
      </c>
      <c r="C3603" s="13" t="s">
        <v>8483</v>
      </c>
      <c r="D3603" s="782"/>
      <c r="E3603" s="799"/>
      <c r="F3603" s="148">
        <v>190000</v>
      </c>
      <c r="G3603" s="800">
        <f t="shared" si="64"/>
        <v>-190000</v>
      </c>
      <c r="H3603" s="1165"/>
    </row>
    <row r="3604" spans="1:8" x14ac:dyDescent="0.25">
      <c r="A3604" s="116">
        <v>45127</v>
      </c>
      <c r="B3604" s="21" t="s">
        <v>10261</v>
      </c>
      <c r="C3604" s="13" t="s">
        <v>8483</v>
      </c>
      <c r="D3604" s="782"/>
      <c r="E3604" s="799"/>
      <c r="F3604" s="148">
        <v>190000</v>
      </c>
      <c r="G3604" s="800">
        <f t="shared" si="64"/>
        <v>-190000</v>
      </c>
      <c r="H3604" s="1165"/>
    </row>
    <row r="3605" spans="1:8" ht="16.5" thickBot="1" x14ac:dyDescent="0.3">
      <c r="A3605" s="116">
        <v>45127</v>
      </c>
      <c r="B3605" s="21" t="s">
        <v>10406</v>
      </c>
      <c r="C3605" s="13" t="s">
        <v>8483</v>
      </c>
      <c r="D3605" s="782"/>
      <c r="E3605" s="799"/>
      <c r="F3605" s="802">
        <v>190000</v>
      </c>
      <c r="G3605" s="800">
        <f t="shared" si="64"/>
        <v>-190000</v>
      </c>
      <c r="H3605" s="1166"/>
    </row>
    <row r="3606" spans="1:8" ht="21" x14ac:dyDescent="0.25">
      <c r="A3606" s="116">
        <v>45127</v>
      </c>
      <c r="B3606" s="21" t="s">
        <v>10683</v>
      </c>
      <c r="C3606" s="13" t="s">
        <v>180</v>
      </c>
      <c r="D3606" s="782" t="s">
        <v>10684</v>
      </c>
      <c r="E3606" s="799">
        <v>120960</v>
      </c>
      <c r="F3606" s="220"/>
      <c r="G3606" s="800">
        <f t="shared" si="64"/>
        <v>120960</v>
      </c>
      <c r="H3606" s="992"/>
    </row>
    <row r="3607" spans="1:8" x14ac:dyDescent="0.25">
      <c r="A3607" s="116">
        <v>45128</v>
      </c>
      <c r="B3607" s="21" t="s">
        <v>10582</v>
      </c>
      <c r="C3607" s="13" t="s">
        <v>166</v>
      </c>
      <c r="D3607" s="782" t="s">
        <v>10917</v>
      </c>
      <c r="E3607" s="22">
        <v>27640</v>
      </c>
      <c r="F3607" s="115"/>
      <c r="G3607" s="14">
        <f t="shared" ref="G3607" si="65">E3607-F3607</f>
        <v>27640</v>
      </c>
      <c r="H3607" s="13" t="s">
        <v>10650</v>
      </c>
    </row>
    <row r="3608" spans="1:8" x14ac:dyDescent="0.25">
      <c r="A3608" s="116">
        <v>45128</v>
      </c>
      <c r="B3608" s="21" t="s">
        <v>8974</v>
      </c>
      <c r="C3608" s="13" t="s">
        <v>166</v>
      </c>
      <c r="D3608" s="782" t="s">
        <v>10649</v>
      </c>
      <c r="E3608" s="22">
        <v>22500</v>
      </c>
      <c r="F3608" s="115"/>
      <c r="G3608" s="14">
        <f t="shared" si="64"/>
        <v>22500</v>
      </c>
      <c r="H3608" s="13" t="s">
        <v>10650</v>
      </c>
    </row>
    <row r="3609" spans="1:8" x14ac:dyDescent="0.25">
      <c r="A3609" s="116">
        <v>45129</v>
      </c>
      <c r="B3609" s="21" t="s">
        <v>10406</v>
      </c>
      <c r="C3609" s="13" t="s">
        <v>168</v>
      </c>
      <c r="D3609" s="782" t="s">
        <v>10680</v>
      </c>
      <c r="E3609" s="22">
        <v>188000</v>
      </c>
      <c r="F3609" s="115"/>
      <c r="G3609" s="14">
        <f t="shared" si="64"/>
        <v>188000</v>
      </c>
      <c r="H3609" s="13"/>
    </row>
    <row r="3610" spans="1:8" x14ac:dyDescent="0.25">
      <c r="A3610" s="116">
        <v>45131</v>
      </c>
      <c r="B3610" s="21" t="s">
        <v>9463</v>
      </c>
      <c r="C3610" s="13" t="s">
        <v>169</v>
      </c>
      <c r="D3610" s="782" t="s">
        <v>10685</v>
      </c>
      <c r="E3610" s="22">
        <v>76250</v>
      </c>
      <c r="F3610" s="19"/>
      <c r="G3610" s="14">
        <f t="shared" si="64"/>
        <v>76250</v>
      </c>
      <c r="H3610" s="13"/>
    </row>
    <row r="3611" spans="1:8" x14ac:dyDescent="0.25">
      <c r="A3611" s="116">
        <v>45131</v>
      </c>
      <c r="B3611" s="21" t="s">
        <v>8982</v>
      </c>
      <c r="C3611" s="13" t="s">
        <v>7538</v>
      </c>
      <c r="D3611" s="782"/>
      <c r="E3611" s="22"/>
      <c r="F3611" s="19">
        <v>385000</v>
      </c>
      <c r="G3611" s="14">
        <f t="shared" si="64"/>
        <v>-385000</v>
      </c>
      <c r="H3611" s="13" t="s">
        <v>10698</v>
      </c>
    </row>
    <row r="3612" spans="1:8" x14ac:dyDescent="0.25">
      <c r="A3612" s="116">
        <v>45132</v>
      </c>
      <c r="B3612" s="21" t="s">
        <v>10077</v>
      </c>
      <c r="C3612" s="13" t="s">
        <v>1816</v>
      </c>
      <c r="D3612" s="782" t="s">
        <v>10792</v>
      </c>
      <c r="E3612" s="22">
        <v>54431</v>
      </c>
      <c r="F3612" s="19"/>
      <c r="G3612" s="14">
        <f t="shared" si="64"/>
        <v>54431</v>
      </c>
      <c r="H3612" s="13"/>
    </row>
    <row r="3613" spans="1:8" x14ac:dyDescent="0.25">
      <c r="A3613" s="116">
        <v>45132</v>
      </c>
      <c r="B3613" s="21" t="s">
        <v>10582</v>
      </c>
      <c r="C3613" s="13" t="s">
        <v>168</v>
      </c>
      <c r="D3613" s="782" t="s">
        <v>10094</v>
      </c>
      <c r="E3613" s="22">
        <v>24000</v>
      </c>
      <c r="F3613" s="19"/>
      <c r="G3613" s="14">
        <f t="shared" si="64"/>
        <v>24000</v>
      </c>
      <c r="H3613" s="13"/>
    </row>
    <row r="3614" spans="1:8" x14ac:dyDescent="0.25">
      <c r="A3614" s="116">
        <v>45132</v>
      </c>
      <c r="B3614" s="21" t="s">
        <v>10406</v>
      </c>
      <c r="C3614" s="13" t="s">
        <v>168</v>
      </c>
      <c r="D3614" s="782" t="s">
        <v>10732</v>
      </c>
      <c r="E3614" s="22"/>
      <c r="F3614" s="19"/>
      <c r="G3614" s="14">
        <f t="shared" si="64"/>
        <v>0</v>
      </c>
      <c r="H3614" s="13"/>
    </row>
    <row r="3615" spans="1:8" x14ac:dyDescent="0.25">
      <c r="A3615" s="116">
        <v>45132</v>
      </c>
      <c r="B3615" s="21" t="s">
        <v>8653</v>
      </c>
      <c r="C3615" s="13" t="s">
        <v>168</v>
      </c>
      <c r="D3615" s="782" t="s">
        <v>10733</v>
      </c>
      <c r="E3615" s="22">
        <v>83200</v>
      </c>
      <c r="F3615" s="19"/>
      <c r="G3615" s="14">
        <f t="shared" si="64"/>
        <v>83200</v>
      </c>
      <c r="H3615" s="13"/>
    </row>
    <row r="3616" spans="1:8" x14ac:dyDescent="0.25">
      <c r="A3616" s="116">
        <v>45133</v>
      </c>
      <c r="B3616" s="21" t="s">
        <v>9463</v>
      </c>
      <c r="C3616" s="13" t="s">
        <v>7538</v>
      </c>
      <c r="D3616" s="782" t="s">
        <v>10735</v>
      </c>
      <c r="E3616" s="22">
        <v>136390</v>
      </c>
      <c r="F3616" s="19"/>
      <c r="G3616" s="14">
        <f t="shared" si="64"/>
        <v>136390</v>
      </c>
      <c r="H3616" s="13"/>
    </row>
    <row r="3617" spans="1:8" x14ac:dyDescent="0.25">
      <c r="A3617" s="116">
        <v>45133</v>
      </c>
      <c r="B3617" s="21" t="s">
        <v>10096</v>
      </c>
      <c r="C3617" s="13" t="s">
        <v>7538</v>
      </c>
      <c r="D3617" s="782" t="s">
        <v>10736</v>
      </c>
      <c r="E3617" s="22">
        <v>10125</v>
      </c>
      <c r="F3617" s="19"/>
      <c r="G3617" s="14">
        <f t="shared" si="64"/>
        <v>10125</v>
      </c>
      <c r="H3617" s="13"/>
    </row>
    <row r="3618" spans="1:8" x14ac:dyDescent="0.25">
      <c r="A3618" s="116">
        <v>45133</v>
      </c>
      <c r="B3618" s="21" t="s">
        <v>9615</v>
      </c>
      <c r="C3618" s="13" t="s">
        <v>8483</v>
      </c>
      <c r="D3618" s="782" t="s">
        <v>10737</v>
      </c>
      <c r="E3618" s="22">
        <v>28019</v>
      </c>
      <c r="F3618" s="19"/>
      <c r="G3618" s="14">
        <f t="shared" si="64"/>
        <v>28019</v>
      </c>
      <c r="H3618" s="13"/>
    </row>
    <row r="3619" spans="1:8" x14ac:dyDescent="0.25">
      <c r="A3619" s="116">
        <v>45133</v>
      </c>
      <c r="B3619" s="21" t="s">
        <v>9463</v>
      </c>
      <c r="C3619" s="13" t="s">
        <v>8483</v>
      </c>
      <c r="D3619" s="782" t="s">
        <v>10738</v>
      </c>
      <c r="E3619" s="22">
        <v>92172</v>
      </c>
      <c r="F3619" s="19"/>
      <c r="G3619" s="14">
        <f t="shared" si="64"/>
        <v>92172</v>
      </c>
      <c r="H3619" s="13"/>
    </row>
    <row r="3620" spans="1:8" x14ac:dyDescent="0.25">
      <c r="A3620" s="116">
        <v>45136</v>
      </c>
      <c r="B3620" s="21" t="s">
        <v>10342</v>
      </c>
      <c r="C3620" s="13" t="s">
        <v>8483</v>
      </c>
      <c r="D3620" s="782" t="s">
        <v>10739</v>
      </c>
      <c r="E3620" s="22">
        <v>149586</v>
      </c>
      <c r="F3620" s="19"/>
      <c r="G3620" s="14">
        <f t="shared" si="64"/>
        <v>149586</v>
      </c>
      <c r="H3620" s="13"/>
    </row>
    <row r="3621" spans="1:8" x14ac:dyDescent="0.25">
      <c r="A3621" s="116">
        <v>45138</v>
      </c>
      <c r="B3621" s="1002" t="s">
        <v>10490</v>
      </c>
      <c r="C3621" s="13" t="s">
        <v>166</v>
      </c>
      <c r="D3621" s="782" t="s">
        <v>10918</v>
      </c>
      <c r="E3621" s="22">
        <v>13755</v>
      </c>
      <c r="F3621" s="19"/>
      <c r="G3621" s="14">
        <f t="shared" si="64"/>
        <v>13755</v>
      </c>
      <c r="H3621" s="13"/>
    </row>
    <row r="3622" spans="1:8" x14ac:dyDescent="0.25">
      <c r="A3622" s="116">
        <v>45138</v>
      </c>
      <c r="B3622" s="1002" t="s">
        <v>9940</v>
      </c>
      <c r="C3622" s="13" t="s">
        <v>12081</v>
      </c>
      <c r="D3622" s="782" t="s">
        <v>11929</v>
      </c>
      <c r="E3622" s="22">
        <v>1741376</v>
      </c>
      <c r="F3622" s="19"/>
      <c r="G3622" s="14">
        <f t="shared" si="64"/>
        <v>1741376</v>
      </c>
      <c r="H3622" s="13"/>
    </row>
    <row r="3623" spans="1:8" x14ac:dyDescent="0.25">
      <c r="A3623" s="116">
        <v>45139</v>
      </c>
      <c r="B3623" s="21" t="s">
        <v>10683</v>
      </c>
      <c r="C3623" s="13" t="s">
        <v>169</v>
      </c>
      <c r="D3623" s="782" t="s">
        <v>9470</v>
      </c>
      <c r="E3623" s="22">
        <v>7580</v>
      </c>
      <c r="F3623" s="19"/>
      <c r="G3623" s="14">
        <f t="shared" si="64"/>
        <v>7580</v>
      </c>
      <c r="H3623" s="13"/>
    </row>
    <row r="3624" spans="1:8" x14ac:dyDescent="0.25">
      <c r="A3624" s="116">
        <v>45139</v>
      </c>
      <c r="B3624" s="21" t="s">
        <v>10261</v>
      </c>
      <c r="C3624" s="13" t="s">
        <v>8483</v>
      </c>
      <c r="D3624" s="782"/>
      <c r="E3624" s="22"/>
      <c r="F3624" s="19">
        <v>895000</v>
      </c>
      <c r="G3624" s="14">
        <f t="shared" si="64"/>
        <v>-895000</v>
      </c>
      <c r="H3624" s="13" t="s">
        <v>10596</v>
      </c>
    </row>
    <row r="3625" spans="1:8" x14ac:dyDescent="0.25">
      <c r="A3625" s="116">
        <v>45139</v>
      </c>
      <c r="B3625" s="21" t="s">
        <v>10342</v>
      </c>
      <c r="C3625" s="13" t="s">
        <v>180</v>
      </c>
      <c r="D3625" s="782" t="s">
        <v>10839</v>
      </c>
      <c r="E3625" s="22">
        <v>99200</v>
      </c>
      <c r="F3625" s="19"/>
      <c r="G3625" s="14">
        <f t="shared" si="64"/>
        <v>99200</v>
      </c>
      <c r="H3625" s="13"/>
    </row>
    <row r="3626" spans="1:8" x14ac:dyDescent="0.25">
      <c r="A3626" s="116">
        <v>45140</v>
      </c>
      <c r="B3626" s="21" t="s">
        <v>10582</v>
      </c>
      <c r="C3626" s="13" t="s">
        <v>164</v>
      </c>
      <c r="D3626" s="782" t="s">
        <v>10795</v>
      </c>
      <c r="E3626" s="22">
        <v>34252</v>
      </c>
      <c r="F3626" s="19"/>
      <c r="G3626" s="14">
        <f t="shared" si="64"/>
        <v>34252</v>
      </c>
      <c r="H3626" s="13"/>
    </row>
    <row r="3627" spans="1:8" x14ac:dyDescent="0.25">
      <c r="A3627" s="116">
        <v>45141</v>
      </c>
      <c r="B3627" s="21" t="s">
        <v>10683</v>
      </c>
      <c r="C3627" s="13" t="s">
        <v>7538</v>
      </c>
      <c r="D3627" s="782" t="s">
        <v>10797</v>
      </c>
      <c r="E3627" s="22">
        <v>752630</v>
      </c>
      <c r="F3627" s="19"/>
      <c r="G3627" s="14">
        <f t="shared" si="64"/>
        <v>752630</v>
      </c>
      <c r="H3627" s="13"/>
    </row>
    <row r="3628" spans="1:8" x14ac:dyDescent="0.25">
      <c r="A3628" s="116">
        <v>45141</v>
      </c>
      <c r="B3628" s="21" t="s">
        <v>11023</v>
      </c>
      <c r="C3628" s="13" t="s">
        <v>1816</v>
      </c>
      <c r="D3628" s="782" t="s">
        <v>10076</v>
      </c>
      <c r="E3628" s="22">
        <v>75050</v>
      </c>
      <c r="F3628" s="19"/>
      <c r="G3628" s="14">
        <f t="shared" si="64"/>
        <v>75050</v>
      </c>
      <c r="H3628" s="13"/>
    </row>
    <row r="3629" spans="1:8" x14ac:dyDescent="0.25">
      <c r="A3629" s="116">
        <v>45141</v>
      </c>
      <c r="B3629" s="21" t="s">
        <v>10342</v>
      </c>
      <c r="C3629" s="13" t="s">
        <v>8483</v>
      </c>
      <c r="D3629" s="782" t="s">
        <v>10799</v>
      </c>
      <c r="E3629" s="22">
        <v>447395</v>
      </c>
      <c r="F3629" s="19"/>
      <c r="G3629" s="14">
        <f t="shared" si="64"/>
        <v>447395</v>
      </c>
      <c r="H3629" s="13"/>
    </row>
    <row r="3630" spans="1:8" x14ac:dyDescent="0.25">
      <c r="A3630" s="116">
        <v>45141</v>
      </c>
      <c r="B3630" s="21" t="s">
        <v>10261</v>
      </c>
      <c r="C3630" s="13" t="s">
        <v>8483</v>
      </c>
      <c r="D3630" s="782" t="s">
        <v>10800</v>
      </c>
      <c r="E3630" s="22">
        <v>51609</v>
      </c>
      <c r="F3630" s="19"/>
      <c r="G3630" s="14">
        <f t="shared" si="64"/>
        <v>51609</v>
      </c>
      <c r="H3630" s="13"/>
    </row>
    <row r="3631" spans="1:8" x14ac:dyDescent="0.25">
      <c r="A3631" s="116">
        <v>45141</v>
      </c>
      <c r="B3631" s="21" t="s">
        <v>9463</v>
      </c>
      <c r="C3631" s="13" t="s">
        <v>8483</v>
      </c>
      <c r="D3631" s="782" t="s">
        <v>10801</v>
      </c>
      <c r="E3631" s="22">
        <v>24550</v>
      </c>
      <c r="F3631" s="19"/>
      <c r="G3631" s="14">
        <f t="shared" si="64"/>
        <v>24550</v>
      </c>
      <c r="H3631" s="13"/>
    </row>
    <row r="3632" spans="1:8" x14ac:dyDescent="0.25">
      <c r="A3632" s="116">
        <v>45141</v>
      </c>
      <c r="B3632" s="21" t="s">
        <v>10683</v>
      </c>
      <c r="C3632" s="13" t="s">
        <v>8483</v>
      </c>
      <c r="D3632" s="782" t="s">
        <v>10802</v>
      </c>
      <c r="E3632" s="22">
        <v>11574</v>
      </c>
      <c r="F3632" s="19"/>
      <c r="G3632" s="14">
        <f t="shared" si="64"/>
        <v>11574</v>
      </c>
      <c r="H3632" s="13"/>
    </row>
    <row r="3633" spans="1:8" x14ac:dyDescent="0.25">
      <c r="A3633" s="116">
        <v>45141</v>
      </c>
      <c r="B3633" s="1002" t="s">
        <v>10490</v>
      </c>
      <c r="C3633" s="13" t="s">
        <v>8483</v>
      </c>
      <c r="D3633" s="782" t="s">
        <v>10803</v>
      </c>
      <c r="E3633" s="22">
        <v>118168</v>
      </c>
      <c r="F3633" s="19"/>
      <c r="G3633" s="14">
        <f t="shared" si="64"/>
        <v>118168</v>
      </c>
      <c r="H3633" s="13"/>
    </row>
    <row r="3634" spans="1:8" x14ac:dyDescent="0.25">
      <c r="A3634" s="116">
        <v>45142</v>
      </c>
      <c r="B3634" s="21" t="s">
        <v>10582</v>
      </c>
      <c r="C3634" s="13" t="s">
        <v>164</v>
      </c>
      <c r="D3634" s="782" t="s">
        <v>10796</v>
      </c>
      <c r="E3634" s="22">
        <v>14831</v>
      </c>
      <c r="F3634" s="19"/>
      <c r="G3634" s="14">
        <f t="shared" si="64"/>
        <v>14831</v>
      </c>
      <c r="H3634" s="13"/>
    </row>
    <row r="3635" spans="1:8" x14ac:dyDescent="0.25">
      <c r="A3635" s="116">
        <v>45142</v>
      </c>
      <c r="B3635" s="21" t="s">
        <v>10096</v>
      </c>
      <c r="C3635" s="13" t="s">
        <v>169</v>
      </c>
      <c r="D3635" s="782" t="s">
        <v>10922</v>
      </c>
      <c r="E3635" s="22">
        <v>32035</v>
      </c>
      <c r="F3635" s="19"/>
      <c r="G3635" s="14">
        <f t="shared" si="64"/>
        <v>32035</v>
      </c>
      <c r="H3635" s="13"/>
    </row>
    <row r="3636" spans="1:8" x14ac:dyDescent="0.25">
      <c r="A3636" s="116">
        <v>45143</v>
      </c>
      <c r="B3636" s="21" t="s">
        <v>10406</v>
      </c>
      <c r="C3636" s="13" t="s">
        <v>1816</v>
      </c>
      <c r="D3636" s="782"/>
      <c r="E3636" s="22"/>
      <c r="F3636" s="19">
        <v>16490</v>
      </c>
      <c r="G3636" s="14">
        <f t="shared" si="64"/>
        <v>-16490</v>
      </c>
      <c r="H3636" s="13" t="s">
        <v>4505</v>
      </c>
    </row>
    <row r="3637" spans="1:8" x14ac:dyDescent="0.25">
      <c r="A3637" s="116">
        <v>45143</v>
      </c>
      <c r="B3637" s="21" t="s">
        <v>9463</v>
      </c>
      <c r="C3637" s="13" t="s">
        <v>7538</v>
      </c>
      <c r="D3637" s="782" t="s">
        <v>10798</v>
      </c>
      <c r="E3637" s="22">
        <v>153990</v>
      </c>
      <c r="F3637" s="19"/>
      <c r="G3637" s="14">
        <f t="shared" si="64"/>
        <v>153990</v>
      </c>
      <c r="H3637" s="13"/>
    </row>
    <row r="3638" spans="1:8" x14ac:dyDescent="0.25">
      <c r="A3638" s="116">
        <v>45143</v>
      </c>
      <c r="B3638" s="21" t="s">
        <v>10342</v>
      </c>
      <c r="C3638" s="13" t="s">
        <v>8483</v>
      </c>
      <c r="D3638" s="782" t="s">
        <v>10804</v>
      </c>
      <c r="E3638" s="22">
        <v>119072</v>
      </c>
      <c r="F3638" s="19"/>
      <c r="G3638" s="14">
        <f t="shared" si="64"/>
        <v>119072</v>
      </c>
      <c r="H3638" s="13"/>
    </row>
    <row r="3639" spans="1:8" x14ac:dyDescent="0.25">
      <c r="A3639" s="116">
        <v>45143</v>
      </c>
      <c r="B3639" s="21" t="s">
        <v>10406</v>
      </c>
      <c r="C3639" s="13" t="s">
        <v>1816</v>
      </c>
      <c r="D3639" s="782"/>
      <c r="E3639" s="22"/>
      <c r="F3639" s="19">
        <v>231000</v>
      </c>
      <c r="G3639" s="14">
        <f t="shared" si="64"/>
        <v>-231000</v>
      </c>
      <c r="H3639" s="13" t="s">
        <v>10329</v>
      </c>
    </row>
    <row r="3640" spans="1:8" x14ac:dyDescent="0.25">
      <c r="A3640" s="116">
        <v>45147</v>
      </c>
      <c r="B3640" s="21" t="s">
        <v>10582</v>
      </c>
      <c r="C3640" s="13" t="s">
        <v>168</v>
      </c>
      <c r="D3640" s="782" t="s">
        <v>10858</v>
      </c>
      <c r="E3640" s="22">
        <v>88971</v>
      </c>
      <c r="F3640" s="19"/>
      <c r="G3640" s="14">
        <f t="shared" si="64"/>
        <v>88971</v>
      </c>
      <c r="H3640" s="13"/>
    </row>
    <row r="3641" spans="1:8" x14ac:dyDescent="0.25">
      <c r="A3641" s="116">
        <v>45147</v>
      </c>
      <c r="B3641" s="21" t="s">
        <v>10582</v>
      </c>
      <c r="C3641" s="13" t="s">
        <v>4853</v>
      </c>
      <c r="D3641" s="782" t="s">
        <v>10838</v>
      </c>
      <c r="E3641" s="22">
        <v>32880</v>
      </c>
      <c r="F3641" s="19"/>
      <c r="G3641" s="14">
        <f t="shared" si="64"/>
        <v>32880</v>
      </c>
      <c r="H3641" s="13"/>
    </row>
    <row r="3642" spans="1:8" x14ac:dyDescent="0.25">
      <c r="A3642" s="116">
        <v>45148</v>
      </c>
      <c r="B3642" s="21" t="s">
        <v>10261</v>
      </c>
      <c r="C3642" s="13" t="s">
        <v>8483</v>
      </c>
      <c r="D3642" s="782" t="s">
        <v>10946</v>
      </c>
      <c r="E3642" s="22">
        <v>49067</v>
      </c>
      <c r="F3642" s="19"/>
      <c r="G3642" s="14">
        <f t="shared" si="64"/>
        <v>49067</v>
      </c>
      <c r="H3642" s="13"/>
    </row>
    <row r="3643" spans="1:8" x14ac:dyDescent="0.25">
      <c r="A3643" s="116">
        <v>45149</v>
      </c>
      <c r="B3643" s="1002" t="s">
        <v>10490</v>
      </c>
      <c r="C3643" s="13" t="s">
        <v>8483</v>
      </c>
      <c r="D3643" s="782" t="s">
        <v>10947</v>
      </c>
      <c r="E3643" s="22">
        <v>70850</v>
      </c>
      <c r="F3643" s="19"/>
      <c r="G3643" s="14">
        <f t="shared" si="64"/>
        <v>70850</v>
      </c>
      <c r="H3643" s="13"/>
    </row>
    <row r="3644" spans="1:8" x14ac:dyDescent="0.25">
      <c r="A3644" s="116">
        <v>45149</v>
      </c>
      <c r="B3644" s="21" t="s">
        <v>10582</v>
      </c>
      <c r="C3644" s="13" t="s">
        <v>4853</v>
      </c>
      <c r="D3644" s="782"/>
      <c r="E3644" s="22"/>
      <c r="F3644" s="19">
        <v>30000</v>
      </c>
      <c r="G3644" s="14">
        <f t="shared" si="64"/>
        <v>-30000</v>
      </c>
      <c r="H3644" s="13" t="s">
        <v>10840</v>
      </c>
    </row>
    <row r="3645" spans="1:8" x14ac:dyDescent="0.25">
      <c r="A3645" s="116">
        <v>45149</v>
      </c>
      <c r="B3645" s="21" t="s">
        <v>10261</v>
      </c>
      <c r="C3645" s="13" t="s">
        <v>166</v>
      </c>
      <c r="D3645" s="782" t="s">
        <v>10953</v>
      </c>
      <c r="E3645" s="22">
        <v>20300</v>
      </c>
      <c r="F3645" s="19"/>
      <c r="G3645" s="14">
        <f t="shared" si="64"/>
        <v>20300</v>
      </c>
      <c r="H3645" s="56"/>
    </row>
    <row r="3646" spans="1:8" x14ac:dyDescent="0.25">
      <c r="A3646" s="116">
        <v>45149</v>
      </c>
      <c r="B3646" s="21" t="s">
        <v>10342</v>
      </c>
      <c r="C3646" s="13" t="s">
        <v>7538</v>
      </c>
      <c r="D3646" s="782" t="s">
        <v>10958</v>
      </c>
      <c r="E3646" s="22">
        <v>67956</v>
      </c>
      <c r="F3646" s="19"/>
      <c r="G3646" s="14">
        <f t="shared" si="64"/>
        <v>67956</v>
      </c>
      <c r="H3646" s="56"/>
    </row>
    <row r="3647" spans="1:8" x14ac:dyDescent="0.25">
      <c r="A3647" s="116">
        <v>45150</v>
      </c>
      <c r="B3647" s="21" t="s">
        <v>10261</v>
      </c>
      <c r="C3647" s="13" t="s">
        <v>8483</v>
      </c>
      <c r="D3647" s="782" t="s">
        <v>10948</v>
      </c>
      <c r="E3647" s="22">
        <v>30498</v>
      </c>
      <c r="F3647" s="19"/>
      <c r="G3647" s="14">
        <f t="shared" si="64"/>
        <v>30498</v>
      </c>
      <c r="H3647" s="56"/>
    </row>
    <row r="3648" spans="1:8" x14ac:dyDescent="0.25">
      <c r="A3648" s="116">
        <v>45150</v>
      </c>
      <c r="B3648" s="21" t="s">
        <v>10261</v>
      </c>
      <c r="C3648" s="13" t="s">
        <v>164</v>
      </c>
      <c r="D3648" s="782" t="s">
        <v>11160</v>
      </c>
      <c r="E3648" s="22">
        <v>6023</v>
      </c>
      <c r="F3648" s="19"/>
      <c r="G3648" s="14">
        <f t="shared" si="64"/>
        <v>6023</v>
      </c>
      <c r="H3648" s="56"/>
    </row>
    <row r="3649" spans="1:8" x14ac:dyDescent="0.25">
      <c r="A3649" s="116">
        <v>45153</v>
      </c>
      <c r="B3649" s="21" t="s">
        <v>8000</v>
      </c>
      <c r="C3649" s="13" t="s">
        <v>7538</v>
      </c>
      <c r="D3649" s="782"/>
      <c r="E3649" s="22"/>
      <c r="F3649" s="19">
        <v>665882</v>
      </c>
      <c r="G3649" s="14">
        <f t="shared" si="64"/>
        <v>-665882</v>
      </c>
      <c r="H3649" s="1176" t="s">
        <v>10866</v>
      </c>
    </row>
    <row r="3650" spans="1:8" x14ac:dyDescent="0.25">
      <c r="A3650" s="116">
        <v>45153</v>
      </c>
      <c r="B3650" s="21" t="s">
        <v>8982</v>
      </c>
      <c r="C3650" s="13" t="s">
        <v>7538</v>
      </c>
      <c r="D3650" s="782"/>
      <c r="E3650" s="22"/>
      <c r="F3650" s="19">
        <v>201658</v>
      </c>
      <c r="G3650" s="14">
        <f t="shared" si="64"/>
        <v>-201658</v>
      </c>
      <c r="H3650" s="1177"/>
    </row>
    <row r="3651" spans="1:8" x14ac:dyDescent="0.25">
      <c r="A3651" s="116">
        <v>45153</v>
      </c>
      <c r="B3651" s="21" t="s">
        <v>9769</v>
      </c>
      <c r="C3651" s="13" t="s">
        <v>7538</v>
      </c>
      <c r="D3651" s="782"/>
      <c r="E3651" s="22"/>
      <c r="F3651" s="19">
        <v>482460</v>
      </c>
      <c r="G3651" s="14">
        <f t="shared" si="64"/>
        <v>-482460</v>
      </c>
      <c r="H3651" s="1178"/>
    </row>
    <row r="3652" spans="1:8" ht="16.5" thickBot="1" x14ac:dyDescent="0.3">
      <c r="A3652" s="116">
        <v>45153</v>
      </c>
      <c r="B3652" s="21" t="s">
        <v>8752</v>
      </c>
      <c r="C3652" s="13" t="s">
        <v>5731</v>
      </c>
      <c r="D3652" s="782"/>
      <c r="E3652" s="22"/>
      <c r="F3652" s="113">
        <v>200000</v>
      </c>
      <c r="G3652" s="14">
        <f t="shared" si="64"/>
        <v>-200000</v>
      </c>
      <c r="H3652" s="13" t="s">
        <v>10867</v>
      </c>
    </row>
    <row r="3653" spans="1:8" x14ac:dyDescent="0.25">
      <c r="A3653" s="116">
        <v>45154</v>
      </c>
      <c r="B3653" s="21" t="s">
        <v>8974</v>
      </c>
      <c r="C3653" s="13" t="s">
        <v>8483</v>
      </c>
      <c r="D3653" s="782"/>
      <c r="E3653" s="799"/>
      <c r="F3653" s="801">
        <v>72078</v>
      </c>
      <c r="G3653" s="800">
        <f t="shared" si="64"/>
        <v>-72078</v>
      </c>
      <c r="H3653" s="1159" t="s">
        <v>10962</v>
      </c>
    </row>
    <row r="3654" spans="1:8" x14ac:dyDescent="0.25">
      <c r="A3654" s="116">
        <v>45154</v>
      </c>
      <c r="B3654" s="21" t="s">
        <v>9463</v>
      </c>
      <c r="C3654" s="13" t="s">
        <v>8483</v>
      </c>
      <c r="D3654" s="782"/>
      <c r="E3654" s="799"/>
      <c r="F3654" s="148">
        <v>150000</v>
      </c>
      <c r="G3654" s="800">
        <f t="shared" ref="G3654:G3790" si="66">E3654-F3654</f>
        <v>-150000</v>
      </c>
      <c r="H3654" s="1160"/>
    </row>
    <row r="3655" spans="1:8" x14ac:dyDescent="0.25">
      <c r="A3655" s="116">
        <v>45154</v>
      </c>
      <c r="B3655" s="21" t="s">
        <v>9877</v>
      </c>
      <c r="C3655" s="13" t="s">
        <v>8483</v>
      </c>
      <c r="D3655" s="782"/>
      <c r="E3655" s="799"/>
      <c r="F3655" s="148">
        <v>372320</v>
      </c>
      <c r="G3655" s="800">
        <f t="shared" si="66"/>
        <v>-372320</v>
      </c>
      <c r="H3655" s="1160"/>
    </row>
    <row r="3656" spans="1:8" x14ac:dyDescent="0.25">
      <c r="A3656" s="116">
        <v>45154</v>
      </c>
      <c r="B3656" s="21" t="s">
        <v>10261</v>
      </c>
      <c r="C3656" s="13" t="s">
        <v>8483</v>
      </c>
      <c r="D3656" s="782"/>
      <c r="E3656" s="799"/>
      <c r="F3656" s="148">
        <v>300000</v>
      </c>
      <c r="G3656" s="800">
        <f t="shared" si="66"/>
        <v>-300000</v>
      </c>
      <c r="H3656" s="1160"/>
    </row>
    <row r="3657" spans="1:8" x14ac:dyDescent="0.25">
      <c r="A3657" s="116">
        <v>45154</v>
      </c>
      <c r="B3657" s="1002" t="s">
        <v>10490</v>
      </c>
      <c r="C3657" s="13" t="s">
        <v>8483</v>
      </c>
      <c r="D3657" s="782"/>
      <c r="E3657" s="799"/>
      <c r="F3657" s="148">
        <v>100000</v>
      </c>
      <c r="G3657" s="800">
        <f t="shared" si="66"/>
        <v>-100000</v>
      </c>
      <c r="H3657" s="1160"/>
    </row>
    <row r="3658" spans="1:8" x14ac:dyDescent="0.25">
      <c r="A3658" s="272">
        <v>45154</v>
      </c>
      <c r="B3658" s="997" t="s">
        <v>10342</v>
      </c>
      <c r="C3658" s="56" t="s">
        <v>8483</v>
      </c>
      <c r="D3658" s="793"/>
      <c r="E3658" s="971"/>
      <c r="F3658" s="153">
        <v>5602</v>
      </c>
      <c r="G3658" s="998">
        <f t="shared" si="66"/>
        <v>-5602</v>
      </c>
      <c r="H3658" s="1161"/>
    </row>
    <row r="3659" spans="1:8" ht="23.25" x14ac:dyDescent="0.25">
      <c r="A3659" s="116">
        <v>45154</v>
      </c>
      <c r="B3659" s="21" t="s">
        <v>10406</v>
      </c>
      <c r="C3659" s="13" t="s">
        <v>169</v>
      </c>
      <c r="D3659" s="782" t="s">
        <v>10923</v>
      </c>
      <c r="E3659" s="22">
        <v>117640</v>
      </c>
      <c r="F3659" s="19"/>
      <c r="G3659" s="14">
        <f t="shared" ref="G3659:G3660" si="67">E3659-F3659</f>
        <v>117640</v>
      </c>
      <c r="H3659" s="312"/>
    </row>
    <row r="3660" spans="1:8" ht="23.25" x14ac:dyDescent="0.25">
      <c r="A3660" s="116">
        <v>45154</v>
      </c>
      <c r="B3660" s="21" t="s">
        <v>10406</v>
      </c>
      <c r="C3660" s="13" t="s">
        <v>169</v>
      </c>
      <c r="D3660" s="782" t="s">
        <v>10924</v>
      </c>
      <c r="E3660" s="22">
        <v>12252</v>
      </c>
      <c r="F3660" s="19"/>
      <c r="G3660" s="14">
        <f t="shared" si="67"/>
        <v>12252</v>
      </c>
      <c r="H3660" s="312"/>
    </row>
    <row r="3661" spans="1:8" ht="23.25" x14ac:dyDescent="0.25">
      <c r="A3661" s="116">
        <v>45154</v>
      </c>
      <c r="B3661" s="21" t="s">
        <v>10582</v>
      </c>
      <c r="C3661" s="13" t="s">
        <v>166</v>
      </c>
      <c r="D3661" s="782" t="s">
        <v>10919</v>
      </c>
      <c r="E3661" s="22">
        <v>7000</v>
      </c>
      <c r="F3661" s="19"/>
      <c r="G3661" s="14">
        <f t="shared" si="66"/>
        <v>7000</v>
      </c>
      <c r="H3661" s="312"/>
    </row>
    <row r="3662" spans="1:8" ht="23.25" x14ac:dyDescent="0.25">
      <c r="A3662" s="116">
        <v>45154</v>
      </c>
      <c r="B3662" s="21" t="s">
        <v>10406</v>
      </c>
      <c r="C3662" s="13" t="s">
        <v>164</v>
      </c>
      <c r="D3662" s="782" t="s">
        <v>10954</v>
      </c>
      <c r="E3662" s="22">
        <v>6055</v>
      </c>
      <c r="F3662" s="19"/>
      <c r="G3662" s="14">
        <f t="shared" si="66"/>
        <v>6055</v>
      </c>
      <c r="H3662" s="999"/>
    </row>
    <row r="3663" spans="1:8" ht="23.25" x14ac:dyDescent="0.25">
      <c r="A3663" s="116">
        <v>45154</v>
      </c>
      <c r="B3663" s="21" t="s">
        <v>10077</v>
      </c>
      <c r="C3663" s="13" t="s">
        <v>164</v>
      </c>
      <c r="D3663" s="782" t="s">
        <v>10955</v>
      </c>
      <c r="E3663" s="22">
        <v>1260</v>
      </c>
      <c r="F3663" s="19"/>
      <c r="G3663" s="14">
        <f t="shared" si="66"/>
        <v>1260</v>
      </c>
      <c r="H3663" s="999"/>
    </row>
    <row r="3664" spans="1:8" ht="15.75" customHeight="1" x14ac:dyDescent="0.25">
      <c r="A3664" s="116">
        <v>45156</v>
      </c>
      <c r="B3664" s="21" t="s">
        <v>10261</v>
      </c>
      <c r="C3664" s="13" t="s">
        <v>166</v>
      </c>
      <c r="D3664" s="1156" t="s">
        <v>10920</v>
      </c>
      <c r="E3664" s="22">
        <v>20300</v>
      </c>
      <c r="F3664" s="19"/>
      <c r="G3664" s="14">
        <f t="shared" si="66"/>
        <v>20300</v>
      </c>
      <c r="H3664" s="1157" t="s">
        <v>9433</v>
      </c>
    </row>
    <row r="3665" spans="1:8" ht="15.75" customHeight="1" x14ac:dyDescent="0.25">
      <c r="A3665" s="116">
        <v>45156</v>
      </c>
      <c r="B3665" s="1002" t="s">
        <v>10490</v>
      </c>
      <c r="C3665" s="13" t="s">
        <v>166</v>
      </c>
      <c r="D3665" s="1156"/>
      <c r="E3665" s="22">
        <v>45000</v>
      </c>
      <c r="F3665" s="19"/>
      <c r="G3665" s="14">
        <f t="shared" si="66"/>
        <v>45000</v>
      </c>
      <c r="H3665" s="1158"/>
    </row>
    <row r="3666" spans="1:8" x14ac:dyDescent="0.25">
      <c r="A3666" s="116">
        <v>45156</v>
      </c>
      <c r="B3666" s="21" t="s">
        <v>8752</v>
      </c>
      <c r="C3666" s="13" t="s">
        <v>166</v>
      </c>
      <c r="D3666" s="782"/>
      <c r="E3666" s="22"/>
      <c r="F3666" s="19">
        <v>64845</v>
      </c>
      <c r="G3666" s="14">
        <f t="shared" si="66"/>
        <v>-64845</v>
      </c>
      <c r="H3666" s="1167" t="s">
        <v>10957</v>
      </c>
    </row>
    <row r="3667" spans="1:8" x14ac:dyDescent="0.25">
      <c r="A3667" s="116">
        <v>45156</v>
      </c>
      <c r="B3667" s="21" t="s">
        <v>8974</v>
      </c>
      <c r="C3667" s="13" t="s">
        <v>166</v>
      </c>
      <c r="D3667" s="782"/>
      <c r="E3667" s="22"/>
      <c r="F3667" s="19">
        <v>22500</v>
      </c>
      <c r="G3667" s="14">
        <f t="shared" si="66"/>
        <v>-22500</v>
      </c>
      <c r="H3667" s="1168"/>
    </row>
    <row r="3668" spans="1:8" x14ac:dyDescent="0.25">
      <c r="A3668" s="116">
        <v>45156</v>
      </c>
      <c r="B3668" s="21" t="s">
        <v>10261</v>
      </c>
      <c r="C3668" s="13" t="s">
        <v>166</v>
      </c>
      <c r="D3668" s="782"/>
      <c r="E3668" s="22"/>
      <c r="F3668" s="19">
        <v>19260</v>
      </c>
      <c r="G3668" s="14">
        <f t="shared" si="66"/>
        <v>-19260</v>
      </c>
      <c r="H3668" s="1168"/>
    </row>
    <row r="3669" spans="1:8" x14ac:dyDescent="0.25">
      <c r="A3669" s="116">
        <v>45156</v>
      </c>
      <c r="B3669" s="21" t="s">
        <v>10582</v>
      </c>
      <c r="C3669" s="13" t="s">
        <v>166</v>
      </c>
      <c r="D3669" s="782"/>
      <c r="E3669" s="22"/>
      <c r="F3669" s="19">
        <v>34640</v>
      </c>
      <c r="G3669" s="14">
        <f t="shared" si="66"/>
        <v>-34640</v>
      </c>
      <c r="H3669" s="1168"/>
    </row>
    <row r="3670" spans="1:8" x14ac:dyDescent="0.25">
      <c r="A3670" s="116">
        <v>45156</v>
      </c>
      <c r="B3670" s="1002" t="s">
        <v>10490</v>
      </c>
      <c r="C3670" s="13" t="s">
        <v>166</v>
      </c>
      <c r="D3670" s="782"/>
      <c r="E3670" s="22"/>
      <c r="F3670" s="19">
        <v>58755</v>
      </c>
      <c r="G3670" s="14">
        <f t="shared" si="66"/>
        <v>-58755</v>
      </c>
      <c r="H3670" s="1169"/>
    </row>
    <row r="3671" spans="1:8" x14ac:dyDescent="0.25">
      <c r="A3671" s="116">
        <v>45156</v>
      </c>
      <c r="B3671" s="21" t="s">
        <v>10077</v>
      </c>
      <c r="C3671" s="13" t="s">
        <v>168</v>
      </c>
      <c r="D3671" s="782" t="s">
        <v>10965</v>
      </c>
      <c r="E3671" s="22">
        <v>16864</v>
      </c>
      <c r="F3671" s="19"/>
      <c r="G3671" s="14">
        <f t="shared" si="66"/>
        <v>16864</v>
      </c>
      <c r="H3671" s="1000"/>
    </row>
    <row r="3672" spans="1:8" x14ac:dyDescent="0.25">
      <c r="A3672" s="116">
        <v>45156</v>
      </c>
      <c r="B3672" s="21" t="s">
        <v>7886</v>
      </c>
      <c r="C3672" s="13" t="s">
        <v>168</v>
      </c>
      <c r="D3672" s="782" t="s">
        <v>10964</v>
      </c>
      <c r="E3672" s="22">
        <v>10980</v>
      </c>
      <c r="F3672" s="19"/>
      <c r="G3672" s="14">
        <f t="shared" si="66"/>
        <v>10980</v>
      </c>
      <c r="H3672" s="1000"/>
    </row>
    <row r="3673" spans="1:8" x14ac:dyDescent="0.25">
      <c r="A3673" s="116">
        <v>45157</v>
      </c>
      <c r="B3673" s="21" t="s">
        <v>9516</v>
      </c>
      <c r="C3673" s="13" t="s">
        <v>164</v>
      </c>
      <c r="D3673" s="782" t="s">
        <v>10956</v>
      </c>
      <c r="E3673" s="22">
        <v>4370</v>
      </c>
      <c r="F3673" s="19"/>
      <c r="G3673" s="14">
        <f t="shared" si="66"/>
        <v>4370</v>
      </c>
      <c r="H3673" s="1001"/>
    </row>
    <row r="3674" spans="1:8" x14ac:dyDescent="0.25">
      <c r="A3674" s="116">
        <v>45159</v>
      </c>
      <c r="B3674" s="21" t="s">
        <v>10261</v>
      </c>
      <c r="C3674" s="13" t="s">
        <v>8483</v>
      </c>
      <c r="D3674" s="782" t="s">
        <v>10949</v>
      </c>
      <c r="E3674" s="22">
        <v>25073</v>
      </c>
      <c r="F3674" s="19"/>
      <c r="G3674" s="14">
        <f t="shared" si="66"/>
        <v>25073</v>
      </c>
      <c r="H3674" s="13"/>
    </row>
    <row r="3675" spans="1:8" x14ac:dyDescent="0.25">
      <c r="A3675" s="116">
        <v>45159</v>
      </c>
      <c r="B3675" s="1002" t="s">
        <v>10490</v>
      </c>
      <c r="C3675" s="13" t="s">
        <v>8483</v>
      </c>
      <c r="D3675" s="782" t="s">
        <v>10950</v>
      </c>
      <c r="E3675" s="22">
        <v>246912</v>
      </c>
      <c r="F3675" s="19"/>
      <c r="G3675" s="14">
        <f t="shared" si="66"/>
        <v>246912</v>
      </c>
      <c r="H3675" s="13"/>
    </row>
    <row r="3676" spans="1:8" x14ac:dyDescent="0.25">
      <c r="A3676" s="116">
        <v>45159</v>
      </c>
      <c r="B3676" s="21" t="s">
        <v>10406</v>
      </c>
      <c r="C3676" s="13" t="s">
        <v>8483</v>
      </c>
      <c r="D3676" s="782" t="s">
        <v>10951</v>
      </c>
      <c r="E3676" s="22">
        <v>37586</v>
      </c>
      <c r="F3676" s="19"/>
      <c r="G3676" s="14">
        <f t="shared" si="66"/>
        <v>37586</v>
      </c>
      <c r="H3676" s="13"/>
    </row>
    <row r="3677" spans="1:8" x14ac:dyDescent="0.25">
      <c r="A3677" s="116">
        <v>45159</v>
      </c>
      <c r="B3677" s="21" t="s">
        <v>10342</v>
      </c>
      <c r="C3677" s="56" t="s">
        <v>8483</v>
      </c>
      <c r="D3677" s="782" t="s">
        <v>10952</v>
      </c>
      <c r="E3677" s="22">
        <v>197733</v>
      </c>
      <c r="F3677" s="113"/>
      <c r="G3677" s="14">
        <f t="shared" si="66"/>
        <v>197733</v>
      </c>
      <c r="H3677" s="13"/>
    </row>
    <row r="3678" spans="1:8" x14ac:dyDescent="0.25">
      <c r="A3678" s="116">
        <v>45159</v>
      </c>
      <c r="B3678" s="1002" t="s">
        <v>10490</v>
      </c>
      <c r="C3678" s="13" t="s">
        <v>166</v>
      </c>
      <c r="D3678" s="1003" t="s">
        <v>11051</v>
      </c>
      <c r="E3678" s="799">
        <v>28250</v>
      </c>
      <c r="F3678" s="220"/>
      <c r="G3678" s="800">
        <f t="shared" si="66"/>
        <v>28250</v>
      </c>
      <c r="H3678" s="56"/>
    </row>
    <row r="3679" spans="1:8" x14ac:dyDescent="0.25">
      <c r="A3679" s="116">
        <v>45160</v>
      </c>
      <c r="B3679" s="1002" t="s">
        <v>10490</v>
      </c>
      <c r="C3679" s="7" t="s">
        <v>164</v>
      </c>
      <c r="D3679" s="1003" t="s">
        <v>11161</v>
      </c>
      <c r="E3679" s="799">
        <v>7210</v>
      </c>
      <c r="F3679" s="220"/>
      <c r="G3679" s="800">
        <f t="shared" si="66"/>
        <v>7210</v>
      </c>
      <c r="H3679" s="56"/>
    </row>
    <row r="3680" spans="1:8" x14ac:dyDescent="0.25">
      <c r="A3680" s="116">
        <v>45161</v>
      </c>
      <c r="B3680" s="1002" t="s">
        <v>10688</v>
      </c>
      <c r="C3680" s="7" t="s">
        <v>180</v>
      </c>
      <c r="D3680" s="1003" t="s">
        <v>11041</v>
      </c>
      <c r="E3680" s="799">
        <v>268800</v>
      </c>
      <c r="F3680" s="220"/>
      <c r="G3680" s="800">
        <f t="shared" si="66"/>
        <v>268800</v>
      </c>
      <c r="H3680" s="56"/>
    </row>
    <row r="3681" spans="1:8" x14ac:dyDescent="0.25">
      <c r="A3681" s="116">
        <v>45161</v>
      </c>
      <c r="B3681" s="1002" t="s">
        <v>10688</v>
      </c>
      <c r="C3681" s="7" t="s">
        <v>180</v>
      </c>
      <c r="D3681" s="1003" t="s">
        <v>11042</v>
      </c>
      <c r="E3681" s="799">
        <v>1415820</v>
      </c>
      <c r="F3681" s="220"/>
      <c r="G3681" s="800">
        <f t="shared" si="66"/>
        <v>1415820</v>
      </c>
      <c r="H3681" s="56"/>
    </row>
    <row r="3682" spans="1:8" x14ac:dyDescent="0.25">
      <c r="A3682" s="116">
        <v>45161</v>
      </c>
      <c r="B3682" s="1002" t="s">
        <v>10688</v>
      </c>
      <c r="C3682" s="7" t="s">
        <v>168</v>
      </c>
      <c r="D3682" s="1003" t="s">
        <v>11043</v>
      </c>
      <c r="E3682" s="799">
        <v>104470</v>
      </c>
      <c r="F3682" s="220"/>
      <c r="G3682" s="800">
        <f t="shared" si="66"/>
        <v>104470</v>
      </c>
      <c r="H3682" s="56"/>
    </row>
    <row r="3683" spans="1:8" x14ac:dyDescent="0.25">
      <c r="A3683" s="116">
        <v>45161</v>
      </c>
      <c r="B3683" s="1002" t="s">
        <v>10490</v>
      </c>
      <c r="C3683" s="7" t="s">
        <v>168</v>
      </c>
      <c r="D3683" s="1003" t="s">
        <v>11044</v>
      </c>
      <c r="E3683" s="799">
        <v>14520</v>
      </c>
      <c r="F3683" s="220"/>
      <c r="G3683" s="800">
        <f t="shared" si="66"/>
        <v>14520</v>
      </c>
      <c r="H3683" s="56"/>
    </row>
    <row r="3684" spans="1:8" ht="16.5" thickBot="1" x14ac:dyDescent="0.3">
      <c r="A3684" s="116">
        <v>45161</v>
      </c>
      <c r="B3684" s="1002" t="s">
        <v>10683</v>
      </c>
      <c r="C3684" s="7" t="s">
        <v>168</v>
      </c>
      <c r="D3684" s="1003" t="s">
        <v>11045</v>
      </c>
      <c r="E3684" s="799">
        <v>22800</v>
      </c>
      <c r="F3684" s="220"/>
      <c r="G3684" s="800">
        <f t="shared" si="66"/>
        <v>22800</v>
      </c>
      <c r="H3684" s="56"/>
    </row>
    <row r="3685" spans="1:8" x14ac:dyDescent="0.25">
      <c r="A3685" s="116">
        <v>45161</v>
      </c>
      <c r="B3685" s="1002" t="s">
        <v>9615</v>
      </c>
      <c r="C3685" s="1004" t="s">
        <v>8483</v>
      </c>
      <c r="D3685" s="1003"/>
      <c r="E3685" s="799"/>
      <c r="F3685" s="801">
        <v>28019</v>
      </c>
      <c r="G3685" s="800">
        <f t="shared" si="66"/>
        <v>-28019</v>
      </c>
      <c r="H3685" s="1159" t="s">
        <v>10962</v>
      </c>
    </row>
    <row r="3686" spans="1:8" x14ac:dyDescent="0.25">
      <c r="A3686" s="116">
        <v>45161</v>
      </c>
      <c r="B3686" s="1002" t="s">
        <v>10406</v>
      </c>
      <c r="C3686" s="146" t="s">
        <v>8483</v>
      </c>
      <c r="D3686" s="1003"/>
      <c r="E3686" s="799"/>
      <c r="F3686" s="148">
        <v>112135</v>
      </c>
      <c r="G3686" s="800">
        <f t="shared" si="66"/>
        <v>-112135</v>
      </c>
      <c r="H3686" s="1160"/>
    </row>
    <row r="3687" spans="1:8" x14ac:dyDescent="0.25">
      <c r="A3687" s="116">
        <v>45161</v>
      </c>
      <c r="B3687" s="21" t="s">
        <v>9463</v>
      </c>
      <c r="C3687" s="146" t="s">
        <v>8483</v>
      </c>
      <c r="D3687" s="1003"/>
      <c r="E3687" s="799"/>
      <c r="F3687" s="148">
        <v>22065</v>
      </c>
      <c r="G3687" s="800">
        <f t="shared" si="66"/>
        <v>-22065</v>
      </c>
      <c r="H3687" s="1160"/>
    </row>
    <row r="3688" spans="1:8" x14ac:dyDescent="0.25">
      <c r="A3688" s="116">
        <v>45161</v>
      </c>
      <c r="B3688" s="1002" t="s">
        <v>10261</v>
      </c>
      <c r="C3688" s="146" t="s">
        <v>8483</v>
      </c>
      <c r="D3688" s="1003"/>
      <c r="E3688" s="799"/>
      <c r="F3688" s="148">
        <v>300000</v>
      </c>
      <c r="G3688" s="800">
        <f t="shared" si="66"/>
        <v>-300000</v>
      </c>
      <c r="H3688" s="1160"/>
    </row>
    <row r="3689" spans="1:8" x14ac:dyDescent="0.25">
      <c r="A3689" s="116">
        <v>45161</v>
      </c>
      <c r="B3689" s="1002" t="s">
        <v>10490</v>
      </c>
      <c r="C3689" s="146" t="s">
        <v>8483</v>
      </c>
      <c r="D3689" s="1003"/>
      <c r="E3689" s="799"/>
      <c r="F3689" s="148">
        <v>200000</v>
      </c>
      <c r="G3689" s="800">
        <f t="shared" si="66"/>
        <v>-200000</v>
      </c>
      <c r="H3689" s="1160"/>
    </row>
    <row r="3690" spans="1:8" ht="16.5" thickBot="1" x14ac:dyDescent="0.3">
      <c r="A3690" s="116">
        <v>45161</v>
      </c>
      <c r="B3690" s="1002" t="s">
        <v>10342</v>
      </c>
      <c r="C3690" s="1005" t="s">
        <v>8483</v>
      </c>
      <c r="D3690" s="1003"/>
      <c r="E3690" s="799"/>
      <c r="F3690" s="802">
        <v>337781</v>
      </c>
      <c r="G3690" s="800">
        <f t="shared" si="66"/>
        <v>-337781</v>
      </c>
      <c r="H3690" s="1161"/>
    </row>
    <row r="3691" spans="1:8" ht="17.25" customHeight="1" x14ac:dyDescent="0.25">
      <c r="A3691" s="116">
        <v>45161</v>
      </c>
      <c r="B3691" s="1002" t="s">
        <v>10683</v>
      </c>
      <c r="C3691" s="7" t="s">
        <v>7538</v>
      </c>
      <c r="D3691" s="1003" t="s">
        <v>11058</v>
      </c>
      <c r="E3691" s="799">
        <v>334758</v>
      </c>
      <c r="F3691" s="220"/>
      <c r="G3691" s="800">
        <f t="shared" si="66"/>
        <v>334758</v>
      </c>
      <c r="H3691" s="312"/>
    </row>
    <row r="3692" spans="1:8" ht="17.25" customHeight="1" x14ac:dyDescent="0.25">
      <c r="A3692" s="116">
        <v>45162</v>
      </c>
      <c r="B3692" s="1002" t="s">
        <v>10406</v>
      </c>
      <c r="C3692" s="7" t="s">
        <v>7538</v>
      </c>
      <c r="D3692" s="1003" t="s">
        <v>11059</v>
      </c>
      <c r="E3692" s="799">
        <v>82636</v>
      </c>
      <c r="F3692" s="220"/>
      <c r="G3692" s="800">
        <f t="shared" si="66"/>
        <v>82636</v>
      </c>
      <c r="H3692" s="312"/>
    </row>
    <row r="3693" spans="1:8" ht="17.25" customHeight="1" x14ac:dyDescent="0.25">
      <c r="A3693" s="116">
        <v>45162</v>
      </c>
      <c r="B3693" s="1002" t="s">
        <v>10490</v>
      </c>
      <c r="C3693" s="13" t="s">
        <v>166</v>
      </c>
      <c r="D3693" s="1003" t="s">
        <v>11318</v>
      </c>
      <c r="E3693" s="799">
        <v>3350</v>
      </c>
      <c r="F3693" s="220"/>
      <c r="G3693" s="800">
        <f t="shared" si="66"/>
        <v>3350</v>
      </c>
      <c r="H3693" s="312"/>
    </row>
    <row r="3694" spans="1:8" ht="17.25" customHeight="1" x14ac:dyDescent="0.25">
      <c r="A3694" s="116">
        <v>45162</v>
      </c>
      <c r="B3694" s="1002" t="s">
        <v>10683</v>
      </c>
      <c r="C3694" s="13" t="s">
        <v>166</v>
      </c>
      <c r="D3694" s="1003" t="s">
        <v>11915</v>
      </c>
      <c r="E3694" s="799">
        <v>45000</v>
      </c>
      <c r="F3694" s="220"/>
      <c r="G3694" s="800">
        <f t="shared" si="66"/>
        <v>45000</v>
      </c>
      <c r="H3694" s="312"/>
    </row>
    <row r="3695" spans="1:8" ht="17.25" customHeight="1" x14ac:dyDescent="0.25">
      <c r="A3695" s="116">
        <v>45163</v>
      </c>
      <c r="B3695" s="1002" t="s">
        <v>10490</v>
      </c>
      <c r="C3695" s="7" t="s">
        <v>164</v>
      </c>
      <c r="D3695" s="1003" t="s">
        <v>11162</v>
      </c>
      <c r="E3695" s="799">
        <v>7714</v>
      </c>
      <c r="F3695" s="220"/>
      <c r="G3695" s="800">
        <f t="shared" si="66"/>
        <v>7714</v>
      </c>
      <c r="H3695" s="312"/>
    </row>
    <row r="3696" spans="1:8" x14ac:dyDescent="0.25">
      <c r="A3696" s="116">
        <v>45163</v>
      </c>
      <c r="B3696" s="21" t="s">
        <v>10582</v>
      </c>
      <c r="C3696" s="13" t="s">
        <v>166</v>
      </c>
      <c r="D3696" s="782" t="s">
        <v>10966</v>
      </c>
      <c r="E3696" s="22">
        <v>12500</v>
      </c>
      <c r="F3696" s="114"/>
      <c r="G3696" s="800">
        <f t="shared" si="66"/>
        <v>12500</v>
      </c>
      <c r="H3696" s="13"/>
    </row>
    <row r="3697" spans="1:8" x14ac:dyDescent="0.25">
      <c r="A3697" s="116">
        <v>45163</v>
      </c>
      <c r="B3697" s="21" t="s">
        <v>10683</v>
      </c>
      <c r="C3697" s="57" t="s">
        <v>168</v>
      </c>
      <c r="D3697" s="782" t="s">
        <v>11046</v>
      </c>
      <c r="E3697" s="799">
        <v>13500</v>
      </c>
      <c r="F3697" s="220"/>
      <c r="G3697" s="800">
        <f t="shared" si="66"/>
        <v>13500</v>
      </c>
      <c r="H3697" s="56"/>
    </row>
    <row r="3698" spans="1:8" ht="16.5" thickBot="1" x14ac:dyDescent="0.3">
      <c r="A3698" s="116">
        <v>45163</v>
      </c>
      <c r="B3698" s="21" t="s">
        <v>9463</v>
      </c>
      <c r="C3698" s="57" t="s">
        <v>2212</v>
      </c>
      <c r="D3698" s="782" t="s">
        <v>11056</v>
      </c>
      <c r="E3698" s="799">
        <v>105000</v>
      </c>
      <c r="F3698" s="220"/>
      <c r="G3698" s="800">
        <f t="shared" si="66"/>
        <v>105000</v>
      </c>
      <c r="H3698" s="56" t="s">
        <v>11057</v>
      </c>
    </row>
    <row r="3699" spans="1:8" x14ac:dyDescent="0.25">
      <c r="A3699" s="116">
        <v>45164</v>
      </c>
      <c r="B3699" s="21" t="s">
        <v>9463</v>
      </c>
      <c r="C3699" s="13" t="s">
        <v>169</v>
      </c>
      <c r="D3699" s="782"/>
      <c r="E3699" s="799"/>
      <c r="F3699" s="801">
        <v>200204</v>
      </c>
      <c r="G3699" s="800">
        <f t="shared" si="66"/>
        <v>-200204</v>
      </c>
      <c r="H3699" s="1173" t="s">
        <v>10970</v>
      </c>
    </row>
    <row r="3700" spans="1:8" x14ac:dyDescent="0.25">
      <c r="A3700" s="116">
        <v>45164</v>
      </c>
      <c r="B3700" s="21" t="s">
        <v>10077</v>
      </c>
      <c r="C3700" s="13" t="s">
        <v>169</v>
      </c>
      <c r="D3700" s="782"/>
      <c r="E3700" s="799"/>
      <c r="F3700" s="148">
        <v>23382</v>
      </c>
      <c r="G3700" s="800">
        <f t="shared" si="66"/>
        <v>-23382</v>
      </c>
      <c r="H3700" s="1174"/>
    </row>
    <row r="3701" spans="1:8" x14ac:dyDescent="0.25">
      <c r="A3701" s="116">
        <v>45164</v>
      </c>
      <c r="B3701" s="21" t="s">
        <v>10096</v>
      </c>
      <c r="C3701" s="13" t="s">
        <v>169</v>
      </c>
      <c r="D3701" s="782"/>
      <c r="E3701" s="799"/>
      <c r="F3701" s="148">
        <v>37222</v>
      </c>
      <c r="G3701" s="800">
        <f t="shared" si="66"/>
        <v>-37222</v>
      </c>
      <c r="H3701" s="1174"/>
    </row>
    <row r="3702" spans="1:8" x14ac:dyDescent="0.25">
      <c r="A3702" s="116">
        <v>45164</v>
      </c>
      <c r="B3702" s="21" t="s">
        <v>10406</v>
      </c>
      <c r="C3702" s="13" t="s">
        <v>169</v>
      </c>
      <c r="D3702" s="782"/>
      <c r="E3702" s="799"/>
      <c r="F3702" s="148">
        <v>129892</v>
      </c>
      <c r="G3702" s="800">
        <f t="shared" si="66"/>
        <v>-129892</v>
      </c>
      <c r="H3702" s="1174"/>
    </row>
    <row r="3703" spans="1:8" ht="16.5" thickBot="1" x14ac:dyDescent="0.3">
      <c r="A3703" s="116">
        <v>45164</v>
      </c>
      <c r="B3703" s="21" t="s">
        <v>10683</v>
      </c>
      <c r="C3703" s="13" t="s">
        <v>169</v>
      </c>
      <c r="D3703" s="782"/>
      <c r="E3703" s="799"/>
      <c r="F3703" s="802">
        <v>7300</v>
      </c>
      <c r="G3703" s="800">
        <f t="shared" si="66"/>
        <v>-7300</v>
      </c>
      <c r="H3703" s="1175"/>
    </row>
    <row r="3704" spans="1:8" ht="16.5" thickBot="1" x14ac:dyDescent="0.3">
      <c r="A3704" s="116">
        <v>45164</v>
      </c>
      <c r="B3704" s="21" t="s">
        <v>10683</v>
      </c>
      <c r="C3704" s="13" t="s">
        <v>169</v>
      </c>
      <c r="D3704" s="782"/>
      <c r="E3704" s="22"/>
      <c r="F3704" s="114">
        <v>280</v>
      </c>
      <c r="G3704" s="14">
        <f t="shared" si="66"/>
        <v>-280</v>
      </c>
      <c r="H3704" s="13" t="s">
        <v>5019</v>
      </c>
    </row>
    <row r="3705" spans="1:8" x14ac:dyDescent="0.25">
      <c r="A3705" s="116">
        <v>45164</v>
      </c>
      <c r="B3705" s="21" t="s">
        <v>10077</v>
      </c>
      <c r="C3705" s="13" t="s">
        <v>1816</v>
      </c>
      <c r="D3705" s="782"/>
      <c r="E3705" s="799"/>
      <c r="F3705" s="801">
        <v>73080</v>
      </c>
      <c r="G3705" s="800">
        <f t="shared" si="66"/>
        <v>-73080</v>
      </c>
      <c r="H3705" s="1170" t="s">
        <v>10990</v>
      </c>
    </row>
    <row r="3706" spans="1:8" x14ac:dyDescent="0.25">
      <c r="A3706" s="116">
        <v>45164</v>
      </c>
      <c r="B3706" s="21" t="s">
        <v>10406</v>
      </c>
      <c r="C3706" s="13" t="s">
        <v>1816</v>
      </c>
      <c r="D3706" s="782"/>
      <c r="E3706" s="799"/>
      <c r="F3706" s="148">
        <v>4870</v>
      </c>
      <c r="G3706" s="800">
        <f t="shared" si="66"/>
        <v>-4870</v>
      </c>
      <c r="H3706" s="1171"/>
    </row>
    <row r="3707" spans="1:8" ht="16.5" thickBot="1" x14ac:dyDescent="0.3">
      <c r="A3707" s="116">
        <v>45164</v>
      </c>
      <c r="B3707" s="21" t="s">
        <v>11023</v>
      </c>
      <c r="C3707" s="13" t="s">
        <v>1816</v>
      </c>
      <c r="D3707" s="782"/>
      <c r="E3707" s="971"/>
      <c r="F3707" s="802">
        <v>75050</v>
      </c>
      <c r="G3707" s="998">
        <f t="shared" si="66"/>
        <v>-75050</v>
      </c>
      <c r="H3707" s="1172"/>
    </row>
    <row r="3708" spans="1:8" ht="21" x14ac:dyDescent="0.25">
      <c r="A3708" s="116">
        <v>45164</v>
      </c>
      <c r="B3708" s="21" t="s">
        <v>10683</v>
      </c>
      <c r="C3708" s="13" t="s">
        <v>169</v>
      </c>
      <c r="D3708" s="782" t="s">
        <v>11061</v>
      </c>
      <c r="E3708" s="971">
        <v>178080</v>
      </c>
      <c r="F3708" s="19"/>
      <c r="G3708" s="998">
        <f t="shared" si="66"/>
        <v>178080</v>
      </c>
      <c r="H3708" s="1065"/>
    </row>
    <row r="3709" spans="1:8" ht="21" x14ac:dyDescent="0.25">
      <c r="A3709" s="116">
        <v>45164</v>
      </c>
      <c r="B3709" s="21" t="s">
        <v>9463</v>
      </c>
      <c r="C3709" s="13" t="s">
        <v>169</v>
      </c>
      <c r="D3709" s="782" t="s">
        <v>9439</v>
      </c>
      <c r="E3709" s="971">
        <v>73333</v>
      </c>
      <c r="F3709" s="19"/>
      <c r="G3709" s="998">
        <f t="shared" si="66"/>
        <v>73333</v>
      </c>
      <c r="H3709" s="1065"/>
    </row>
    <row r="3710" spans="1:8" ht="17.25" customHeight="1" x14ac:dyDescent="0.25">
      <c r="A3710" s="116">
        <v>45166</v>
      </c>
      <c r="B3710" s="21" t="s">
        <v>10490</v>
      </c>
      <c r="C3710" s="13" t="s">
        <v>8483</v>
      </c>
      <c r="D3710" s="782" t="s">
        <v>11047</v>
      </c>
      <c r="E3710" s="799">
        <v>37567</v>
      </c>
      <c r="F3710" s="19"/>
      <c r="G3710" s="800">
        <f t="shared" si="66"/>
        <v>37567</v>
      </c>
      <c r="H3710" s="1065"/>
    </row>
    <row r="3711" spans="1:8" ht="17.25" customHeight="1" x14ac:dyDescent="0.25">
      <c r="A3711" s="116">
        <v>45166</v>
      </c>
      <c r="B3711" s="21" t="s">
        <v>9463</v>
      </c>
      <c r="C3711" s="13" t="s">
        <v>8483</v>
      </c>
      <c r="D3711" s="782" t="s">
        <v>11048</v>
      </c>
      <c r="E3711" s="799">
        <v>29368</v>
      </c>
      <c r="F3711" s="19"/>
      <c r="G3711" s="800">
        <f t="shared" si="66"/>
        <v>29368</v>
      </c>
      <c r="H3711" s="1065"/>
    </row>
    <row r="3712" spans="1:8" ht="17.25" customHeight="1" x14ac:dyDescent="0.25">
      <c r="A3712" s="116">
        <v>45166</v>
      </c>
      <c r="B3712" s="21" t="s">
        <v>10342</v>
      </c>
      <c r="C3712" s="13" t="s">
        <v>8483</v>
      </c>
      <c r="D3712" s="782" t="s">
        <v>11049</v>
      </c>
      <c r="E3712" s="22">
        <v>275805</v>
      </c>
      <c r="F3712" s="19"/>
      <c r="G3712" s="14">
        <f t="shared" si="66"/>
        <v>275805</v>
      </c>
      <c r="H3712" s="1065"/>
    </row>
    <row r="3713" spans="1:8" ht="17.25" customHeight="1" x14ac:dyDescent="0.25">
      <c r="A3713" s="116">
        <v>45166</v>
      </c>
      <c r="B3713" s="21" t="s">
        <v>10688</v>
      </c>
      <c r="C3713" s="13" t="s">
        <v>8483</v>
      </c>
      <c r="D3713" s="782" t="s">
        <v>11050</v>
      </c>
      <c r="E3713" s="22">
        <v>1759647</v>
      </c>
      <c r="F3713" s="19"/>
      <c r="G3713" s="14">
        <f t="shared" si="66"/>
        <v>1759647</v>
      </c>
      <c r="H3713" s="1065"/>
    </row>
    <row r="3714" spans="1:8" ht="17.25" customHeight="1" x14ac:dyDescent="0.25">
      <c r="A3714" s="116">
        <v>45166</v>
      </c>
      <c r="B3714" s="21" t="s">
        <v>9516</v>
      </c>
      <c r="C3714" s="13" t="s">
        <v>6556</v>
      </c>
      <c r="D3714" s="782" t="s">
        <v>11055</v>
      </c>
      <c r="E3714" s="290">
        <v>18000</v>
      </c>
      <c r="F3714" s="115"/>
      <c r="G3714" s="977">
        <f t="shared" si="66"/>
        <v>18000</v>
      </c>
      <c r="H3714" s="1065"/>
    </row>
    <row r="3715" spans="1:8" ht="17.25" customHeight="1" x14ac:dyDescent="0.25">
      <c r="A3715" s="116">
        <v>45167</v>
      </c>
      <c r="B3715" s="21" t="s">
        <v>10490</v>
      </c>
      <c r="C3715" s="13" t="s">
        <v>166</v>
      </c>
      <c r="D3715" s="782" t="s">
        <v>11052</v>
      </c>
      <c r="E3715" s="290">
        <v>32000</v>
      </c>
      <c r="F3715" s="115"/>
      <c r="G3715" s="977">
        <f t="shared" si="66"/>
        <v>32000</v>
      </c>
      <c r="H3715" s="1065"/>
    </row>
    <row r="3716" spans="1:8" ht="17.25" customHeight="1" x14ac:dyDescent="0.25">
      <c r="A3716" s="116">
        <v>45167</v>
      </c>
      <c r="B3716" s="21" t="s">
        <v>10582</v>
      </c>
      <c r="C3716" s="13" t="s">
        <v>166</v>
      </c>
      <c r="D3716" s="782" t="s">
        <v>11053</v>
      </c>
      <c r="E3716" s="290">
        <v>76455</v>
      </c>
      <c r="F3716" s="115"/>
      <c r="G3716" s="977">
        <f t="shared" si="66"/>
        <v>76455</v>
      </c>
      <c r="H3716" s="1065"/>
    </row>
    <row r="3717" spans="1:8" ht="17.25" customHeight="1" x14ac:dyDescent="0.25">
      <c r="A3717" s="116">
        <v>45167</v>
      </c>
      <c r="B3717" s="21" t="s">
        <v>10683</v>
      </c>
      <c r="C3717" s="13" t="s">
        <v>169</v>
      </c>
      <c r="D3717" s="782" t="s">
        <v>11062</v>
      </c>
      <c r="E3717" s="290">
        <v>85500</v>
      </c>
      <c r="F3717" s="115"/>
      <c r="G3717" s="977">
        <f t="shared" si="66"/>
        <v>85500</v>
      </c>
      <c r="H3717" s="1065"/>
    </row>
    <row r="3718" spans="1:8" ht="17.25" customHeight="1" x14ac:dyDescent="0.25">
      <c r="A3718" s="116">
        <v>45167</v>
      </c>
      <c r="B3718" s="21" t="s">
        <v>10688</v>
      </c>
      <c r="C3718" s="13" t="s">
        <v>169</v>
      </c>
      <c r="D3718" s="782" t="s">
        <v>11063</v>
      </c>
      <c r="E3718" s="290">
        <v>85500</v>
      </c>
      <c r="F3718" s="115"/>
      <c r="G3718" s="977">
        <f t="shared" si="66"/>
        <v>85500</v>
      </c>
      <c r="H3718" s="1065"/>
    </row>
    <row r="3719" spans="1:8" ht="17.25" customHeight="1" x14ac:dyDescent="0.25">
      <c r="A3719" s="116">
        <v>45168</v>
      </c>
      <c r="B3719" s="21" t="s">
        <v>10342</v>
      </c>
      <c r="C3719" s="13" t="s">
        <v>168</v>
      </c>
      <c r="D3719" s="782" t="s">
        <v>11128</v>
      </c>
      <c r="E3719" s="290">
        <v>529131</v>
      </c>
      <c r="F3719" s="115"/>
      <c r="G3719" s="977">
        <f t="shared" si="66"/>
        <v>529131</v>
      </c>
      <c r="H3719" s="1065"/>
    </row>
    <row r="3720" spans="1:8" x14ac:dyDescent="0.25">
      <c r="A3720" s="116">
        <v>45168</v>
      </c>
      <c r="B3720" s="21" t="s">
        <v>8122</v>
      </c>
      <c r="C3720" s="13" t="s">
        <v>8170</v>
      </c>
      <c r="D3720" s="782"/>
      <c r="E3720" s="290"/>
      <c r="F3720" s="115">
        <v>800000</v>
      </c>
      <c r="G3720" s="977">
        <f t="shared" si="66"/>
        <v>-800000</v>
      </c>
      <c r="H3720" s="13" t="s">
        <v>10833</v>
      </c>
    </row>
    <row r="3721" spans="1:8" x14ac:dyDescent="0.25">
      <c r="A3721" s="116">
        <v>45168</v>
      </c>
      <c r="B3721" s="21" t="s">
        <v>8122</v>
      </c>
      <c r="C3721" s="13" t="s">
        <v>8170</v>
      </c>
      <c r="D3721" s="782"/>
      <c r="E3721" s="22"/>
      <c r="F3721" s="19">
        <v>200000</v>
      </c>
      <c r="G3721" s="14">
        <f t="shared" si="66"/>
        <v>-200000</v>
      </c>
      <c r="H3721" s="13" t="s">
        <v>11031</v>
      </c>
    </row>
    <row r="3722" spans="1:8" x14ac:dyDescent="0.25">
      <c r="A3722" s="116">
        <v>45168</v>
      </c>
      <c r="B3722" s="21" t="s">
        <v>8122</v>
      </c>
      <c r="C3722" s="13" t="s">
        <v>8170</v>
      </c>
      <c r="D3722" s="782"/>
      <c r="E3722" s="22"/>
      <c r="F3722" s="19">
        <v>202000</v>
      </c>
      <c r="G3722" s="14">
        <f t="shared" si="66"/>
        <v>-202000</v>
      </c>
      <c r="H3722" s="13" t="s">
        <v>11032</v>
      </c>
    </row>
    <row r="3723" spans="1:8" x14ac:dyDescent="0.25">
      <c r="A3723" s="116">
        <v>45168</v>
      </c>
      <c r="B3723" s="21" t="s">
        <v>8122</v>
      </c>
      <c r="C3723" s="13" t="s">
        <v>8170</v>
      </c>
      <c r="D3723" s="782"/>
      <c r="E3723" s="22"/>
      <c r="F3723" s="19">
        <v>148000</v>
      </c>
      <c r="G3723" s="14">
        <f t="shared" si="66"/>
        <v>-148000</v>
      </c>
      <c r="H3723" s="13" t="s">
        <v>11033</v>
      </c>
    </row>
    <row r="3724" spans="1:8" x14ac:dyDescent="0.25">
      <c r="A3724" s="116">
        <v>45168</v>
      </c>
      <c r="B3724" s="21" t="s">
        <v>10683</v>
      </c>
      <c r="C3724" s="13" t="s">
        <v>7538</v>
      </c>
      <c r="D3724" s="782" t="s">
        <v>11044</v>
      </c>
      <c r="E3724" s="22">
        <v>32000</v>
      </c>
      <c r="F3724" s="19"/>
      <c r="G3724" s="14">
        <f t="shared" si="66"/>
        <v>32000</v>
      </c>
      <c r="H3724" s="13"/>
    </row>
    <row r="3725" spans="1:8" x14ac:dyDescent="0.25">
      <c r="A3725" s="116">
        <v>45169</v>
      </c>
      <c r="B3725" s="21" t="s">
        <v>9463</v>
      </c>
      <c r="C3725" s="13" t="s">
        <v>7538</v>
      </c>
      <c r="D3725" s="782" t="s">
        <v>11129</v>
      </c>
      <c r="E3725" s="22">
        <v>119294</v>
      </c>
      <c r="F3725" s="19"/>
      <c r="G3725" s="14">
        <f t="shared" si="66"/>
        <v>119294</v>
      </c>
      <c r="H3725" s="13"/>
    </row>
    <row r="3726" spans="1:8" x14ac:dyDescent="0.25">
      <c r="A3726" s="116">
        <v>45169</v>
      </c>
      <c r="B3726" s="21" t="s">
        <v>10688</v>
      </c>
      <c r="C3726" s="13" t="s">
        <v>8483</v>
      </c>
      <c r="D3726" s="782"/>
      <c r="E3726" s="22"/>
      <c r="F3726" s="19">
        <v>657900</v>
      </c>
      <c r="G3726" s="14">
        <f t="shared" si="66"/>
        <v>-657900</v>
      </c>
      <c r="H3726" s="13" t="s">
        <v>10347</v>
      </c>
    </row>
    <row r="3727" spans="1:8" x14ac:dyDescent="0.25">
      <c r="A3727" s="116">
        <v>45169</v>
      </c>
      <c r="B3727" s="21" t="s">
        <v>10582</v>
      </c>
      <c r="C3727" s="13" t="s">
        <v>166</v>
      </c>
      <c r="D3727" s="782" t="s">
        <v>11054</v>
      </c>
      <c r="E3727" s="22">
        <v>25300</v>
      </c>
      <c r="F3727" s="19"/>
      <c r="G3727" s="14">
        <f t="shared" si="66"/>
        <v>25300</v>
      </c>
      <c r="H3727" s="13"/>
    </row>
    <row r="3728" spans="1:8" x14ac:dyDescent="0.25">
      <c r="A3728" s="116">
        <v>45169</v>
      </c>
      <c r="B3728" s="21" t="s">
        <v>10582</v>
      </c>
      <c r="C3728" s="13" t="s">
        <v>164</v>
      </c>
      <c r="D3728" s="782" t="s">
        <v>11060</v>
      </c>
      <c r="E3728" s="22">
        <v>8079</v>
      </c>
      <c r="F3728" s="19"/>
      <c r="G3728" s="14">
        <f t="shared" si="66"/>
        <v>8079</v>
      </c>
      <c r="H3728" s="13"/>
    </row>
    <row r="3729" spans="1:8" x14ac:dyDescent="0.25">
      <c r="A3729" s="116">
        <v>45173</v>
      </c>
      <c r="B3729" s="21" t="s">
        <v>9463</v>
      </c>
      <c r="C3729" s="13" t="s">
        <v>7538</v>
      </c>
      <c r="D3729" s="782" t="s">
        <v>11130</v>
      </c>
      <c r="E3729" s="22">
        <v>119296</v>
      </c>
      <c r="F3729" s="19"/>
      <c r="G3729" s="14">
        <f t="shared" si="66"/>
        <v>119296</v>
      </c>
      <c r="H3729" s="56"/>
    </row>
    <row r="3730" spans="1:8" x14ac:dyDescent="0.25">
      <c r="A3730" s="116">
        <v>45174</v>
      </c>
      <c r="B3730" s="21" t="s">
        <v>10342</v>
      </c>
      <c r="C3730" s="13" t="s">
        <v>164</v>
      </c>
      <c r="D3730" s="782" t="s">
        <v>11163</v>
      </c>
      <c r="E3730" s="22">
        <v>9551</v>
      </c>
      <c r="F3730" s="19"/>
      <c r="G3730" s="14">
        <f t="shared" si="66"/>
        <v>9551</v>
      </c>
      <c r="H3730" s="56"/>
    </row>
    <row r="3731" spans="1:8" x14ac:dyDescent="0.25">
      <c r="A3731" s="116">
        <v>45174</v>
      </c>
      <c r="B3731" s="21" t="s">
        <v>10342</v>
      </c>
      <c r="C3731" s="13" t="s">
        <v>180</v>
      </c>
      <c r="D3731" s="782"/>
      <c r="E3731" s="22"/>
      <c r="F3731" s="19">
        <v>374080</v>
      </c>
      <c r="G3731" s="14">
        <f t="shared" si="66"/>
        <v>-374080</v>
      </c>
      <c r="H3731" s="1153" t="s">
        <v>11121</v>
      </c>
    </row>
    <row r="3732" spans="1:8" x14ac:dyDescent="0.25">
      <c r="A3732" s="116">
        <v>45174</v>
      </c>
      <c r="B3732" s="21" t="s">
        <v>10683</v>
      </c>
      <c r="C3732" s="13" t="s">
        <v>180</v>
      </c>
      <c r="D3732" s="782"/>
      <c r="E3732" s="22"/>
      <c r="F3732" s="19">
        <v>120960</v>
      </c>
      <c r="G3732" s="14">
        <f t="shared" si="66"/>
        <v>-120960</v>
      </c>
      <c r="H3732" s="1154"/>
    </row>
    <row r="3733" spans="1:8" x14ac:dyDescent="0.25">
      <c r="A3733" s="116">
        <v>45174</v>
      </c>
      <c r="B3733" s="21" t="s">
        <v>10490</v>
      </c>
      <c r="C3733" s="13" t="s">
        <v>180</v>
      </c>
      <c r="D3733" s="782"/>
      <c r="E3733" s="22"/>
      <c r="F3733" s="19">
        <v>4960</v>
      </c>
      <c r="G3733" s="14">
        <f t="shared" si="66"/>
        <v>-4960</v>
      </c>
      <c r="H3733" s="1155"/>
    </row>
    <row r="3734" spans="1:8" x14ac:dyDescent="0.25">
      <c r="A3734" s="116">
        <v>45173</v>
      </c>
      <c r="B3734" s="21" t="s">
        <v>11122</v>
      </c>
      <c r="C3734" s="13" t="s">
        <v>166</v>
      </c>
      <c r="D3734" s="782" t="s">
        <v>11152</v>
      </c>
      <c r="E3734" s="22">
        <v>23500</v>
      </c>
      <c r="F3734" s="19"/>
      <c r="G3734" s="14">
        <f t="shared" si="66"/>
        <v>23500</v>
      </c>
      <c r="H3734" s="972" t="s">
        <v>11154</v>
      </c>
    </row>
    <row r="3735" spans="1:8" x14ac:dyDescent="0.25">
      <c r="A3735" s="116">
        <v>45173</v>
      </c>
      <c r="B3735" s="21" t="s">
        <v>9463</v>
      </c>
      <c r="C3735" s="13" t="s">
        <v>169</v>
      </c>
      <c r="D3735" s="782" t="s">
        <v>11155</v>
      </c>
      <c r="E3735" s="22">
        <v>439558</v>
      </c>
      <c r="F3735" s="19"/>
      <c r="G3735" s="14">
        <f t="shared" si="66"/>
        <v>439558</v>
      </c>
      <c r="H3735" s="972"/>
    </row>
    <row r="3736" spans="1:8" x14ac:dyDescent="0.25">
      <c r="A3736" s="116">
        <v>45173</v>
      </c>
      <c r="B3736" s="21" t="s">
        <v>10688</v>
      </c>
      <c r="C3736" s="13" t="s">
        <v>12084</v>
      </c>
      <c r="D3736" s="782"/>
      <c r="E3736" s="22"/>
      <c r="F3736" s="19">
        <v>500000</v>
      </c>
      <c r="G3736" s="14">
        <f t="shared" si="66"/>
        <v>-500000</v>
      </c>
      <c r="H3736" s="972" t="s">
        <v>11111</v>
      </c>
    </row>
    <row r="3737" spans="1:8" x14ac:dyDescent="0.25">
      <c r="A3737" s="116">
        <v>45173</v>
      </c>
      <c r="B3737" s="21" t="s">
        <v>10688</v>
      </c>
      <c r="C3737" s="13" t="s">
        <v>12084</v>
      </c>
      <c r="D3737" s="782"/>
      <c r="E3737" s="22"/>
      <c r="F3737" s="19">
        <v>500000</v>
      </c>
      <c r="G3737" s="14">
        <f t="shared" si="66"/>
        <v>-500000</v>
      </c>
      <c r="H3737" s="972" t="s">
        <v>11112</v>
      </c>
    </row>
    <row r="3738" spans="1:8" x14ac:dyDescent="0.25">
      <c r="A3738" s="116">
        <v>45175</v>
      </c>
      <c r="B3738" s="21" t="s">
        <v>9463</v>
      </c>
      <c r="C3738" s="13" t="s">
        <v>169</v>
      </c>
      <c r="D3738" s="782" t="s">
        <v>11156</v>
      </c>
      <c r="E3738" s="22">
        <v>13278</v>
      </c>
      <c r="F3738" s="19"/>
      <c r="G3738" s="14">
        <f t="shared" si="66"/>
        <v>13278</v>
      </c>
      <c r="H3738" s="972"/>
    </row>
    <row r="3739" spans="1:8" x14ac:dyDescent="0.25">
      <c r="A3739" s="116">
        <v>45175</v>
      </c>
      <c r="B3739" s="21" t="s">
        <v>10096</v>
      </c>
      <c r="C3739" s="13" t="s">
        <v>169</v>
      </c>
      <c r="D3739" s="782" t="s">
        <v>11157</v>
      </c>
      <c r="E3739" s="22">
        <v>189003</v>
      </c>
      <c r="F3739" s="19"/>
      <c r="G3739" s="14">
        <f t="shared" si="66"/>
        <v>189003</v>
      </c>
      <c r="H3739" s="972"/>
    </row>
    <row r="3740" spans="1:8" x14ac:dyDescent="0.25">
      <c r="A3740" s="116">
        <v>45175</v>
      </c>
      <c r="B3740" s="21" t="s">
        <v>10490</v>
      </c>
      <c r="C3740" s="13" t="s">
        <v>166</v>
      </c>
      <c r="D3740" s="782" t="s">
        <v>11153</v>
      </c>
      <c r="E3740" s="22">
        <v>35715</v>
      </c>
      <c r="F3740" s="19"/>
      <c r="G3740" s="14">
        <f t="shared" si="66"/>
        <v>35715</v>
      </c>
      <c r="H3740" s="972"/>
    </row>
    <row r="3741" spans="1:8" x14ac:dyDescent="0.25">
      <c r="A3741" s="116">
        <v>45175</v>
      </c>
      <c r="B3741" s="21" t="s">
        <v>9463</v>
      </c>
      <c r="C3741" s="13" t="s">
        <v>169</v>
      </c>
      <c r="D3741" s="782"/>
      <c r="E3741" s="22"/>
      <c r="F3741" s="19">
        <v>36500</v>
      </c>
      <c r="G3741" s="14">
        <f t="shared" si="66"/>
        <v>-36500</v>
      </c>
      <c r="H3741" s="13" t="s">
        <v>11093</v>
      </c>
    </row>
    <row r="3742" spans="1:8" x14ac:dyDescent="0.25">
      <c r="A3742" s="116">
        <v>45175</v>
      </c>
      <c r="B3742" s="21" t="s">
        <v>10342</v>
      </c>
      <c r="C3742" s="13" t="s">
        <v>8483</v>
      </c>
      <c r="D3742" s="782" t="s">
        <v>11132</v>
      </c>
      <c r="E3742" s="22">
        <v>107536</v>
      </c>
      <c r="F3742" s="19"/>
      <c r="G3742" s="14">
        <f t="shared" si="66"/>
        <v>107536</v>
      </c>
      <c r="H3742" s="13"/>
    </row>
    <row r="3743" spans="1:8" x14ac:dyDescent="0.25">
      <c r="A3743" s="116">
        <v>45175</v>
      </c>
      <c r="B3743" s="21" t="s">
        <v>10490</v>
      </c>
      <c r="C3743" s="13" t="s">
        <v>4853</v>
      </c>
      <c r="D3743" s="782" t="s">
        <v>11159</v>
      </c>
      <c r="E3743" s="22">
        <v>50828</v>
      </c>
      <c r="F3743" s="19"/>
      <c r="G3743" s="14">
        <f t="shared" si="66"/>
        <v>50828</v>
      </c>
      <c r="H3743" s="13"/>
    </row>
    <row r="3744" spans="1:8" x14ac:dyDescent="0.25">
      <c r="A3744" s="116">
        <v>45175</v>
      </c>
      <c r="B3744" s="21" t="s">
        <v>11023</v>
      </c>
      <c r="C3744" s="13" t="s">
        <v>12082</v>
      </c>
      <c r="D3744" s="782"/>
      <c r="E3744" s="22"/>
      <c r="F3744" s="19">
        <v>938219</v>
      </c>
      <c r="G3744" s="14">
        <f t="shared" si="66"/>
        <v>-938219</v>
      </c>
      <c r="H3744" s="13" t="s">
        <v>11349</v>
      </c>
    </row>
    <row r="3745" spans="1:10" x14ac:dyDescent="0.25">
      <c r="A3745" s="116">
        <v>45175</v>
      </c>
      <c r="B3745" s="21" t="s">
        <v>11023</v>
      </c>
      <c r="C3745" s="13" t="s">
        <v>12082</v>
      </c>
      <c r="D3745" s="782" t="s">
        <v>11918</v>
      </c>
      <c r="E3745" s="22">
        <v>808745</v>
      </c>
      <c r="F3745" s="19"/>
      <c r="G3745" s="14">
        <f t="shared" si="66"/>
        <v>808745</v>
      </c>
      <c r="H3745" s="13"/>
    </row>
    <row r="3746" spans="1:10" ht="16.5" customHeight="1" x14ac:dyDescent="0.25">
      <c r="A3746" s="116">
        <v>45178</v>
      </c>
      <c r="B3746" s="21" t="s">
        <v>9463</v>
      </c>
      <c r="C3746" s="13" t="s">
        <v>7538</v>
      </c>
      <c r="D3746" s="782" t="s">
        <v>11131</v>
      </c>
      <c r="E3746" s="22">
        <v>222592</v>
      </c>
      <c r="F3746" s="19"/>
      <c r="G3746" s="14">
        <f t="shared" si="66"/>
        <v>222592</v>
      </c>
      <c r="H3746" s="13"/>
      <c r="J3746" s="134"/>
    </row>
    <row r="3747" spans="1:10" x14ac:dyDescent="0.25">
      <c r="A3747" s="116">
        <v>45178</v>
      </c>
      <c r="B3747" s="21" t="s">
        <v>10688</v>
      </c>
      <c r="C3747" s="13" t="s">
        <v>8483</v>
      </c>
      <c r="D3747" s="782"/>
      <c r="E3747" s="22"/>
      <c r="F3747" s="19">
        <v>1000000</v>
      </c>
      <c r="G3747" s="14">
        <f t="shared" si="66"/>
        <v>-1000000</v>
      </c>
      <c r="H3747" s="13" t="s">
        <v>11134</v>
      </c>
    </row>
    <row r="3748" spans="1:10" x14ac:dyDescent="0.25">
      <c r="A3748" s="116">
        <v>45178</v>
      </c>
      <c r="B3748" s="21" t="s">
        <v>10096</v>
      </c>
      <c r="C3748" s="13" t="s">
        <v>164</v>
      </c>
      <c r="D3748" s="782" t="s">
        <v>11164</v>
      </c>
      <c r="E3748" s="22">
        <v>6010</v>
      </c>
      <c r="F3748" s="19"/>
      <c r="G3748" s="14">
        <f t="shared" si="66"/>
        <v>6010</v>
      </c>
      <c r="H3748" s="13"/>
    </row>
    <row r="3749" spans="1:10" x14ac:dyDescent="0.25">
      <c r="A3749" s="116">
        <v>45178</v>
      </c>
      <c r="B3749" s="21" t="s">
        <v>10688</v>
      </c>
      <c r="C3749" s="13" t="s">
        <v>7538</v>
      </c>
      <c r="D3749" s="782" t="s">
        <v>11191</v>
      </c>
      <c r="E3749" s="22">
        <v>804137</v>
      </c>
      <c r="F3749" s="19"/>
      <c r="G3749" s="14">
        <f t="shared" si="66"/>
        <v>804137</v>
      </c>
      <c r="H3749" s="13"/>
    </row>
    <row r="3750" spans="1:10" x14ac:dyDescent="0.25">
      <c r="A3750" s="116">
        <v>45180</v>
      </c>
      <c r="B3750" s="21" t="s">
        <v>9463</v>
      </c>
      <c r="C3750" s="13" t="s">
        <v>7538</v>
      </c>
      <c r="D3750" s="782" t="s">
        <v>11192</v>
      </c>
      <c r="E3750" s="22">
        <v>119296</v>
      </c>
      <c r="F3750" s="19"/>
      <c r="G3750" s="14">
        <f t="shared" si="66"/>
        <v>119296</v>
      </c>
      <c r="H3750" s="13"/>
    </row>
    <row r="3751" spans="1:10" x14ac:dyDescent="0.25">
      <c r="A3751" s="116">
        <v>45180</v>
      </c>
      <c r="B3751" s="21" t="s">
        <v>10688</v>
      </c>
      <c r="C3751" s="13" t="s">
        <v>7538</v>
      </c>
      <c r="D3751" s="782" t="s">
        <v>11195</v>
      </c>
      <c r="E3751" s="22">
        <v>891939</v>
      </c>
      <c r="F3751" s="19"/>
      <c r="G3751" s="14">
        <f t="shared" si="66"/>
        <v>891939</v>
      </c>
      <c r="H3751" s="13"/>
    </row>
    <row r="3752" spans="1:10" x14ac:dyDescent="0.25">
      <c r="A3752" s="116">
        <v>45180</v>
      </c>
      <c r="B3752" s="21" t="s">
        <v>11193</v>
      </c>
      <c r="C3752" s="13" t="s">
        <v>7538</v>
      </c>
      <c r="D3752" s="782" t="s">
        <v>11194</v>
      </c>
      <c r="E3752" s="22">
        <v>235504</v>
      </c>
      <c r="F3752" s="19"/>
      <c r="G3752" s="14">
        <f t="shared" si="66"/>
        <v>235504</v>
      </c>
      <c r="H3752" s="13"/>
    </row>
    <row r="3753" spans="1:10" x14ac:dyDescent="0.25">
      <c r="A3753" s="116">
        <v>45180</v>
      </c>
      <c r="B3753" s="21" t="s">
        <v>10490</v>
      </c>
      <c r="C3753" s="13" t="s">
        <v>4853</v>
      </c>
      <c r="D3753" s="782" t="s">
        <v>11158</v>
      </c>
      <c r="E3753" s="22">
        <v>18336</v>
      </c>
      <c r="F3753" s="19"/>
      <c r="G3753" s="14">
        <f t="shared" si="66"/>
        <v>18336</v>
      </c>
      <c r="H3753" s="13"/>
    </row>
    <row r="3754" spans="1:10" x14ac:dyDescent="0.25">
      <c r="A3754" s="116">
        <v>45180</v>
      </c>
      <c r="B3754" s="21" t="s">
        <v>10490</v>
      </c>
      <c r="C3754" s="13" t="s">
        <v>166</v>
      </c>
      <c r="D3754" s="782" t="s">
        <v>11241</v>
      </c>
      <c r="E3754" s="22">
        <v>14940</v>
      </c>
      <c r="F3754" s="19"/>
      <c r="G3754" s="14">
        <f t="shared" si="66"/>
        <v>14940</v>
      </c>
      <c r="H3754" s="13"/>
    </row>
    <row r="3755" spans="1:10" x14ac:dyDescent="0.25">
      <c r="A3755" s="116">
        <v>45181</v>
      </c>
      <c r="B3755" s="21" t="s">
        <v>10688</v>
      </c>
      <c r="C3755" s="13" t="s">
        <v>168</v>
      </c>
      <c r="D3755" s="782" t="s">
        <v>11240</v>
      </c>
      <c r="E3755" s="22">
        <v>38500</v>
      </c>
      <c r="F3755" s="19"/>
      <c r="G3755" s="14">
        <f t="shared" si="66"/>
        <v>38500</v>
      </c>
      <c r="H3755" s="13"/>
    </row>
    <row r="3756" spans="1:10" x14ac:dyDescent="0.25">
      <c r="A3756" s="116">
        <v>45182</v>
      </c>
      <c r="B3756" s="21" t="s">
        <v>9516</v>
      </c>
      <c r="C3756" s="13" t="s">
        <v>6556</v>
      </c>
      <c r="D3756" s="782"/>
      <c r="E3756" s="22"/>
      <c r="F3756" s="19">
        <v>17000</v>
      </c>
      <c r="G3756" s="14">
        <f t="shared" si="66"/>
        <v>-17000</v>
      </c>
      <c r="H3756" s="13" t="s">
        <v>8278</v>
      </c>
    </row>
    <row r="3757" spans="1:10" x14ac:dyDescent="0.25">
      <c r="A3757" s="116">
        <v>45182</v>
      </c>
      <c r="B3757" s="21" t="s">
        <v>9516</v>
      </c>
      <c r="C3757" s="13" t="s">
        <v>6556</v>
      </c>
      <c r="D3757" s="782"/>
      <c r="E3757" s="22"/>
      <c r="F3757" s="19">
        <v>1000</v>
      </c>
      <c r="G3757" s="14">
        <f t="shared" si="66"/>
        <v>-1000</v>
      </c>
      <c r="H3757" s="13" t="s">
        <v>11228</v>
      </c>
    </row>
    <row r="3758" spans="1:10" x14ac:dyDescent="0.25">
      <c r="A3758" s="116">
        <v>45182</v>
      </c>
      <c r="B3758" s="21" t="s">
        <v>10688</v>
      </c>
      <c r="C3758" s="13" t="s">
        <v>168</v>
      </c>
      <c r="D3758" s="782" t="s">
        <v>11345</v>
      </c>
      <c r="E3758" s="22">
        <v>1600</v>
      </c>
      <c r="F3758" s="19"/>
      <c r="G3758" s="14">
        <f t="shared" si="66"/>
        <v>1600</v>
      </c>
      <c r="H3758" s="13"/>
    </row>
    <row r="3759" spans="1:10" x14ac:dyDescent="0.25">
      <c r="A3759" s="116">
        <v>45182</v>
      </c>
      <c r="B3759" s="21" t="s">
        <v>10688</v>
      </c>
      <c r="C3759" s="13" t="s">
        <v>168</v>
      </c>
      <c r="D3759" s="782" t="s">
        <v>11346</v>
      </c>
      <c r="E3759" s="22">
        <v>15000</v>
      </c>
      <c r="F3759" s="19"/>
      <c r="G3759" s="14">
        <f t="shared" si="66"/>
        <v>15000</v>
      </c>
      <c r="H3759" s="13"/>
    </row>
    <row r="3760" spans="1:10" x14ac:dyDescent="0.25">
      <c r="A3760" s="116">
        <v>45183</v>
      </c>
      <c r="B3760" s="21" t="s">
        <v>9463</v>
      </c>
      <c r="C3760" s="13" t="s">
        <v>164</v>
      </c>
      <c r="D3760" s="782" t="s">
        <v>11060</v>
      </c>
      <c r="E3760" s="22">
        <v>20807</v>
      </c>
      <c r="F3760" s="19"/>
      <c r="G3760" s="14">
        <f t="shared" si="66"/>
        <v>20807</v>
      </c>
      <c r="H3760" s="13"/>
    </row>
    <row r="3761" spans="1:8" x14ac:dyDescent="0.25">
      <c r="A3761" s="116">
        <v>45184</v>
      </c>
      <c r="B3761" s="21" t="s">
        <v>9463</v>
      </c>
      <c r="C3761" s="13" t="s">
        <v>7538</v>
      </c>
      <c r="D3761" s="782" t="s">
        <v>11324</v>
      </c>
      <c r="E3761" s="22">
        <v>103296</v>
      </c>
      <c r="F3761" s="19"/>
      <c r="G3761" s="14">
        <f t="shared" si="66"/>
        <v>103296</v>
      </c>
      <c r="H3761" s="13"/>
    </row>
    <row r="3762" spans="1:8" x14ac:dyDescent="0.25">
      <c r="A3762" s="116">
        <v>45184</v>
      </c>
      <c r="B3762" s="21" t="s">
        <v>10688</v>
      </c>
      <c r="C3762" s="13" t="s">
        <v>7538</v>
      </c>
      <c r="D3762" s="782" t="s">
        <v>11325</v>
      </c>
      <c r="E3762" s="22">
        <v>804137</v>
      </c>
      <c r="F3762" s="19"/>
      <c r="G3762" s="14">
        <f t="shared" si="66"/>
        <v>804137</v>
      </c>
      <c r="H3762" s="13"/>
    </row>
    <row r="3763" spans="1:8" x14ac:dyDescent="0.25">
      <c r="A3763" s="116">
        <v>45185</v>
      </c>
      <c r="B3763" s="21" t="s">
        <v>10342</v>
      </c>
      <c r="C3763" s="13" t="s">
        <v>8483</v>
      </c>
      <c r="D3763" s="782" t="s">
        <v>11280</v>
      </c>
      <c r="E3763" s="22">
        <v>772607</v>
      </c>
      <c r="F3763" s="19"/>
      <c r="G3763" s="14">
        <f t="shared" si="66"/>
        <v>772607</v>
      </c>
      <c r="H3763" s="13"/>
    </row>
    <row r="3764" spans="1:8" x14ac:dyDescent="0.25">
      <c r="A3764" s="116">
        <v>45185</v>
      </c>
      <c r="B3764" s="21" t="s">
        <v>9463</v>
      </c>
      <c r="C3764" s="13" t="s">
        <v>8483</v>
      </c>
      <c r="D3764" s="782" t="s">
        <v>11281</v>
      </c>
      <c r="E3764" s="22">
        <v>86838</v>
      </c>
      <c r="F3764" s="19"/>
      <c r="G3764" s="14">
        <f t="shared" si="66"/>
        <v>86838</v>
      </c>
      <c r="H3764" s="13"/>
    </row>
    <row r="3765" spans="1:8" x14ac:dyDescent="0.25">
      <c r="A3765" s="116">
        <v>45187</v>
      </c>
      <c r="B3765" s="21" t="s">
        <v>11319</v>
      </c>
      <c r="C3765" s="13" t="s">
        <v>166</v>
      </c>
      <c r="D3765" s="793" t="s">
        <v>11320</v>
      </c>
      <c r="E3765" s="22">
        <v>30250</v>
      </c>
      <c r="F3765" s="19"/>
      <c r="G3765" s="14">
        <f t="shared" si="66"/>
        <v>30250</v>
      </c>
      <c r="H3765" s="13"/>
    </row>
    <row r="3766" spans="1:8" x14ac:dyDescent="0.25">
      <c r="A3766" s="116">
        <v>45187</v>
      </c>
      <c r="B3766" s="21" t="s">
        <v>10688</v>
      </c>
      <c r="C3766" s="13" t="s">
        <v>7538</v>
      </c>
      <c r="D3766" s="793" t="s">
        <v>11326</v>
      </c>
      <c r="E3766" s="22">
        <v>1011740</v>
      </c>
      <c r="F3766" s="19"/>
      <c r="G3766" s="14">
        <f t="shared" si="66"/>
        <v>1011740</v>
      </c>
      <c r="H3766" s="13"/>
    </row>
    <row r="3767" spans="1:8" x14ac:dyDescent="0.25">
      <c r="A3767" s="116">
        <v>45187</v>
      </c>
      <c r="B3767" s="21" t="s">
        <v>11023</v>
      </c>
      <c r="C3767" s="13" t="s">
        <v>168</v>
      </c>
      <c r="D3767" s="793" t="s">
        <v>11347</v>
      </c>
      <c r="E3767" s="22">
        <v>34690</v>
      </c>
      <c r="F3767" s="19"/>
      <c r="G3767" s="14">
        <f t="shared" si="66"/>
        <v>34690</v>
      </c>
      <c r="H3767" s="13"/>
    </row>
    <row r="3768" spans="1:8" x14ac:dyDescent="0.25">
      <c r="A3768" s="116">
        <v>45187</v>
      </c>
      <c r="B3768" s="21" t="s">
        <v>11023</v>
      </c>
      <c r="C3768" s="13" t="s">
        <v>168</v>
      </c>
      <c r="D3768" s="793" t="s">
        <v>11348</v>
      </c>
      <c r="E3768" s="22">
        <v>49170</v>
      </c>
      <c r="F3768" s="19"/>
      <c r="G3768" s="14">
        <f t="shared" si="66"/>
        <v>49170</v>
      </c>
      <c r="H3768" s="13"/>
    </row>
    <row r="3769" spans="1:8" x14ac:dyDescent="0.25">
      <c r="A3769" s="116">
        <v>45190</v>
      </c>
      <c r="B3769" s="21" t="s">
        <v>10490</v>
      </c>
      <c r="C3769" s="13" t="s">
        <v>8483</v>
      </c>
      <c r="D3769" s="1150" t="s">
        <v>11282</v>
      </c>
      <c r="E3769" s="22">
        <v>35941</v>
      </c>
      <c r="F3769" s="19"/>
      <c r="G3769" s="14">
        <f t="shared" si="66"/>
        <v>35941</v>
      </c>
      <c r="H3769" s="13"/>
    </row>
    <row r="3770" spans="1:8" x14ac:dyDescent="0.25">
      <c r="A3770" s="116">
        <v>45190</v>
      </c>
      <c r="B3770" s="21" t="s">
        <v>11193</v>
      </c>
      <c r="C3770" s="13" t="s">
        <v>8483</v>
      </c>
      <c r="D3770" s="1151"/>
      <c r="E3770" s="22">
        <v>158865</v>
      </c>
      <c r="F3770" s="19"/>
      <c r="G3770" s="14">
        <f t="shared" si="66"/>
        <v>158865</v>
      </c>
      <c r="H3770" s="13"/>
    </row>
    <row r="3771" spans="1:8" x14ac:dyDescent="0.25">
      <c r="A3771" s="116">
        <v>45190</v>
      </c>
      <c r="B3771" s="21" t="s">
        <v>10688</v>
      </c>
      <c r="C3771" s="13" t="s">
        <v>8483</v>
      </c>
      <c r="D3771" s="782" t="s">
        <v>11283</v>
      </c>
      <c r="E3771" s="22">
        <v>909670</v>
      </c>
      <c r="F3771" s="19"/>
      <c r="G3771" s="14">
        <f t="shared" si="66"/>
        <v>909670</v>
      </c>
      <c r="H3771" s="13"/>
    </row>
    <row r="3772" spans="1:8" x14ac:dyDescent="0.25">
      <c r="A3772" s="116">
        <v>45190</v>
      </c>
      <c r="B3772" s="21" t="s">
        <v>9463</v>
      </c>
      <c r="C3772" s="13" t="s">
        <v>8483</v>
      </c>
      <c r="D3772" s="1150" t="s">
        <v>11284</v>
      </c>
      <c r="E3772" s="22">
        <v>3870</v>
      </c>
      <c r="F3772" s="19"/>
      <c r="G3772" s="14">
        <f t="shared" si="66"/>
        <v>3870</v>
      </c>
      <c r="H3772" s="13"/>
    </row>
    <row r="3773" spans="1:8" x14ac:dyDescent="0.25">
      <c r="A3773" s="116">
        <v>45190</v>
      </c>
      <c r="B3773" s="21" t="s">
        <v>11193</v>
      </c>
      <c r="C3773" s="13" t="s">
        <v>8483</v>
      </c>
      <c r="D3773" s="1151"/>
      <c r="E3773" s="22">
        <v>44691</v>
      </c>
      <c r="F3773" s="19"/>
      <c r="G3773" s="14">
        <f t="shared" si="66"/>
        <v>44691</v>
      </c>
      <c r="H3773" s="13"/>
    </row>
    <row r="3774" spans="1:8" x14ac:dyDescent="0.25">
      <c r="A3774" s="116">
        <v>45190</v>
      </c>
      <c r="B3774" s="21" t="s">
        <v>11023</v>
      </c>
      <c r="C3774" s="13" t="s">
        <v>8033</v>
      </c>
      <c r="D3774" s="782"/>
      <c r="E3774" s="22">
        <v>1375000</v>
      </c>
      <c r="F3774" s="19"/>
      <c r="G3774" s="14">
        <f t="shared" si="66"/>
        <v>1375000</v>
      </c>
      <c r="H3774" s="13" t="s">
        <v>11260</v>
      </c>
    </row>
    <row r="3775" spans="1:8" x14ac:dyDescent="0.25">
      <c r="A3775" s="116">
        <v>45190</v>
      </c>
      <c r="B3775" s="21" t="s">
        <v>10683</v>
      </c>
      <c r="C3775" s="13" t="s">
        <v>7309</v>
      </c>
      <c r="D3775" s="782"/>
      <c r="E3775" s="22"/>
      <c r="F3775" s="19">
        <v>996000</v>
      </c>
      <c r="G3775" s="14">
        <f t="shared" si="66"/>
        <v>-996000</v>
      </c>
      <c r="H3775" s="13" t="s">
        <v>11264</v>
      </c>
    </row>
    <row r="3776" spans="1:8" x14ac:dyDescent="0.25">
      <c r="A3776" s="116">
        <v>45190</v>
      </c>
      <c r="B3776" s="21" t="s">
        <v>9463</v>
      </c>
      <c r="C3776" s="13" t="s">
        <v>7538</v>
      </c>
      <c r="D3776" s="782" t="s">
        <v>11328</v>
      </c>
      <c r="E3776" s="22">
        <v>113296</v>
      </c>
      <c r="F3776" s="113"/>
      <c r="G3776" s="14">
        <f t="shared" si="66"/>
        <v>113296</v>
      </c>
      <c r="H3776" s="13"/>
    </row>
    <row r="3777" spans="1:8" x14ac:dyDescent="0.25">
      <c r="A3777" s="116">
        <v>45190</v>
      </c>
      <c r="B3777" s="21" t="s">
        <v>9940</v>
      </c>
      <c r="C3777" s="13" t="s">
        <v>12081</v>
      </c>
      <c r="D3777" s="782" t="s">
        <v>11930</v>
      </c>
      <c r="E3777" s="22">
        <v>1554800</v>
      </c>
      <c r="F3777" s="113"/>
      <c r="G3777" s="14">
        <f t="shared" si="66"/>
        <v>1554800</v>
      </c>
      <c r="H3777" s="13"/>
    </row>
    <row r="3778" spans="1:8" x14ac:dyDescent="0.25">
      <c r="A3778" s="116">
        <v>45190</v>
      </c>
      <c r="B3778" s="31"/>
      <c r="C3778" s="13" t="s">
        <v>7309</v>
      </c>
      <c r="D3778" s="782"/>
      <c r="E3778" s="22">
        <v>13918</v>
      </c>
      <c r="F3778" s="113"/>
      <c r="G3778" s="14">
        <f t="shared" si="66"/>
        <v>13918</v>
      </c>
      <c r="H3778" s="13" t="s">
        <v>11265</v>
      </c>
    </row>
    <row r="3779" spans="1:8" x14ac:dyDescent="0.25">
      <c r="A3779" s="116">
        <v>45191</v>
      </c>
      <c r="B3779" s="21" t="s">
        <v>9463</v>
      </c>
      <c r="C3779" s="13" t="s">
        <v>7538</v>
      </c>
      <c r="D3779" s="782" t="s">
        <v>11329</v>
      </c>
      <c r="E3779" s="22">
        <v>16000</v>
      </c>
      <c r="F3779" s="113"/>
      <c r="G3779" s="1070">
        <f t="shared" si="66"/>
        <v>16000</v>
      </c>
      <c r="H3779" s="56"/>
    </row>
    <row r="3780" spans="1:8" x14ac:dyDescent="0.25">
      <c r="A3780" s="116">
        <v>45191</v>
      </c>
      <c r="B3780" s="21" t="s">
        <v>10342</v>
      </c>
      <c r="C3780" s="13" t="s">
        <v>7538</v>
      </c>
      <c r="D3780" s="782" t="s">
        <v>11327</v>
      </c>
      <c r="E3780" s="22">
        <v>684336</v>
      </c>
      <c r="F3780" s="113"/>
      <c r="G3780" s="1070">
        <f t="shared" si="66"/>
        <v>684336</v>
      </c>
      <c r="H3780" s="56"/>
    </row>
    <row r="3781" spans="1:8" x14ac:dyDescent="0.25">
      <c r="A3781" s="116">
        <v>45191</v>
      </c>
      <c r="B3781" s="21" t="s">
        <v>10261</v>
      </c>
      <c r="C3781" s="13" t="s">
        <v>7538</v>
      </c>
      <c r="D3781" s="782" t="s">
        <v>11332</v>
      </c>
      <c r="E3781" s="799">
        <v>43900</v>
      </c>
      <c r="F3781" s="220"/>
      <c r="G3781" s="1070">
        <f t="shared" si="66"/>
        <v>43900</v>
      </c>
      <c r="H3781" s="56"/>
    </row>
    <row r="3782" spans="1:8" x14ac:dyDescent="0.25">
      <c r="A3782" s="116">
        <v>45191</v>
      </c>
      <c r="B3782" s="21" t="s">
        <v>9463</v>
      </c>
      <c r="C3782" s="13" t="s">
        <v>7538</v>
      </c>
      <c r="D3782" s="782" t="s">
        <v>11331</v>
      </c>
      <c r="E3782" s="799">
        <v>67648</v>
      </c>
      <c r="F3782" s="220"/>
      <c r="G3782" s="1070">
        <f>E3782-F3782</f>
        <v>67648</v>
      </c>
      <c r="H3782" s="56"/>
    </row>
    <row r="3783" spans="1:8" x14ac:dyDescent="0.25">
      <c r="A3783" s="116">
        <v>45191</v>
      </c>
      <c r="B3783" s="21" t="s">
        <v>10688</v>
      </c>
      <c r="C3783" s="13" t="s">
        <v>7538</v>
      </c>
      <c r="D3783" s="782" t="s">
        <v>11330</v>
      </c>
      <c r="E3783" s="799">
        <v>804137</v>
      </c>
      <c r="F3783" s="220"/>
      <c r="G3783" s="1070">
        <f t="shared" si="66"/>
        <v>804137</v>
      </c>
      <c r="H3783" s="56"/>
    </row>
    <row r="3784" spans="1:8" x14ac:dyDescent="0.25">
      <c r="A3784" s="116">
        <v>45192</v>
      </c>
      <c r="B3784" s="21" t="s">
        <v>10342</v>
      </c>
      <c r="C3784" s="13" t="s">
        <v>164</v>
      </c>
      <c r="D3784" s="782" t="s">
        <v>11612</v>
      </c>
      <c r="E3784" s="799">
        <v>5649</v>
      </c>
      <c r="F3784" s="220"/>
      <c r="G3784" s="1070">
        <f t="shared" si="66"/>
        <v>5649</v>
      </c>
      <c r="H3784" s="56"/>
    </row>
    <row r="3785" spans="1:8" x14ac:dyDescent="0.25">
      <c r="A3785" s="116">
        <v>45192</v>
      </c>
      <c r="B3785" s="21" t="s">
        <v>9940</v>
      </c>
      <c r="C3785" s="13" t="s">
        <v>12081</v>
      </c>
      <c r="D3785" s="782" t="s">
        <v>11931</v>
      </c>
      <c r="E3785" s="799">
        <v>90200</v>
      </c>
      <c r="F3785" s="220"/>
      <c r="G3785" s="1070">
        <f t="shared" si="66"/>
        <v>90200</v>
      </c>
      <c r="H3785" s="56"/>
    </row>
    <row r="3786" spans="1:8" x14ac:dyDescent="0.25">
      <c r="A3786" s="116">
        <v>45194</v>
      </c>
      <c r="B3786" s="21" t="s">
        <v>11625</v>
      </c>
      <c r="C3786" s="13" t="s">
        <v>7309</v>
      </c>
      <c r="D3786" s="782" t="s">
        <v>9355</v>
      </c>
      <c r="E3786" s="799">
        <v>173680</v>
      </c>
      <c r="F3786" s="220"/>
      <c r="G3786" s="1070">
        <f t="shared" si="66"/>
        <v>173680</v>
      </c>
      <c r="H3786" s="56"/>
    </row>
    <row r="3787" spans="1:8" x14ac:dyDescent="0.25">
      <c r="A3787" s="116">
        <v>45194</v>
      </c>
      <c r="B3787" s="21" t="s">
        <v>10683</v>
      </c>
      <c r="C3787" s="13" t="s">
        <v>7309</v>
      </c>
      <c r="D3787" s="782" t="s">
        <v>9601</v>
      </c>
      <c r="E3787" s="799">
        <v>719270</v>
      </c>
      <c r="F3787" s="220"/>
      <c r="G3787" s="1070">
        <f t="shared" si="66"/>
        <v>719270</v>
      </c>
      <c r="H3787" s="56"/>
    </row>
    <row r="3788" spans="1:8" x14ac:dyDescent="0.25">
      <c r="A3788" s="116">
        <v>45194</v>
      </c>
      <c r="B3788" s="21" t="s">
        <v>11122</v>
      </c>
      <c r="C3788" s="13" t="s">
        <v>166</v>
      </c>
      <c r="D3788" s="782" t="s">
        <v>11916</v>
      </c>
      <c r="E3788" s="799">
        <v>11750</v>
      </c>
      <c r="F3788" s="220"/>
      <c r="G3788" s="1070">
        <f t="shared" si="66"/>
        <v>11750</v>
      </c>
      <c r="H3788" s="56"/>
    </row>
    <row r="3789" spans="1:8" ht="16.5" thickBot="1" x14ac:dyDescent="0.3">
      <c r="A3789" s="116">
        <v>45196</v>
      </c>
      <c r="B3789" s="21" t="s">
        <v>10342</v>
      </c>
      <c r="C3789" s="13" t="s">
        <v>164</v>
      </c>
      <c r="D3789" s="782" t="s">
        <v>11613</v>
      </c>
      <c r="E3789" s="799">
        <v>12678</v>
      </c>
      <c r="F3789" s="220"/>
      <c r="G3789" s="1070">
        <f t="shared" si="66"/>
        <v>12678</v>
      </c>
      <c r="H3789" s="56"/>
    </row>
    <row r="3790" spans="1:8" x14ac:dyDescent="0.25">
      <c r="A3790" s="116">
        <v>45188</v>
      </c>
      <c r="B3790" s="21" t="s">
        <v>9516</v>
      </c>
      <c r="C3790" s="13" t="s">
        <v>164</v>
      </c>
      <c r="D3790" s="782"/>
      <c r="E3790" s="799"/>
      <c r="F3790" s="801">
        <v>4370</v>
      </c>
      <c r="G3790" s="800">
        <f t="shared" si="66"/>
        <v>-4370</v>
      </c>
      <c r="H3790" s="1147" t="s">
        <v>11292</v>
      </c>
    </row>
    <row r="3791" spans="1:8" x14ac:dyDescent="0.25">
      <c r="A3791" s="116">
        <v>45188</v>
      </c>
      <c r="B3791" s="21" t="s">
        <v>10077</v>
      </c>
      <c r="C3791" s="13" t="s">
        <v>164</v>
      </c>
      <c r="D3791" s="782"/>
      <c r="E3791" s="799"/>
      <c r="F3791" s="148">
        <v>1260</v>
      </c>
      <c r="G3791" s="800">
        <f t="shared" ref="G3791:G3894" si="68">E3791-F3791</f>
        <v>-1260</v>
      </c>
      <c r="H3791" s="1148"/>
    </row>
    <row r="3792" spans="1:8" x14ac:dyDescent="0.25">
      <c r="A3792" s="116">
        <v>45188</v>
      </c>
      <c r="B3792" s="21" t="s">
        <v>10096</v>
      </c>
      <c r="C3792" s="13" t="s">
        <v>164</v>
      </c>
      <c r="D3792" s="782"/>
      <c r="E3792" s="799"/>
      <c r="F3792" s="148">
        <v>9626</v>
      </c>
      <c r="G3792" s="800">
        <f t="shared" si="68"/>
        <v>-9626</v>
      </c>
      <c r="H3792" s="1148"/>
    </row>
    <row r="3793" spans="1:8" x14ac:dyDescent="0.25">
      <c r="A3793" s="116">
        <v>45188</v>
      </c>
      <c r="B3793" s="21" t="s">
        <v>10261</v>
      </c>
      <c r="C3793" s="13" t="s">
        <v>164</v>
      </c>
      <c r="D3793" s="782"/>
      <c r="E3793" s="799"/>
      <c r="F3793" s="148">
        <v>6023</v>
      </c>
      <c r="G3793" s="800">
        <f t="shared" si="68"/>
        <v>-6023</v>
      </c>
      <c r="H3793" s="1148"/>
    </row>
    <row r="3794" spans="1:8" x14ac:dyDescent="0.25">
      <c r="A3794" s="116">
        <v>45188</v>
      </c>
      <c r="B3794" s="21" t="s">
        <v>10406</v>
      </c>
      <c r="C3794" s="13" t="s">
        <v>164</v>
      </c>
      <c r="D3794" s="782"/>
      <c r="E3794" s="799"/>
      <c r="F3794" s="148">
        <v>6055</v>
      </c>
      <c r="G3794" s="800">
        <f t="shared" si="68"/>
        <v>-6055</v>
      </c>
      <c r="H3794" s="1148"/>
    </row>
    <row r="3795" spans="1:8" x14ac:dyDescent="0.25">
      <c r="A3795" s="116">
        <v>45188</v>
      </c>
      <c r="B3795" s="21" t="s">
        <v>10582</v>
      </c>
      <c r="C3795" s="13" t="s">
        <v>164</v>
      </c>
      <c r="D3795" s="782"/>
      <c r="E3795" s="799"/>
      <c r="F3795" s="148">
        <v>60002</v>
      </c>
      <c r="G3795" s="800">
        <f t="shared" si="68"/>
        <v>-60002</v>
      </c>
      <c r="H3795" s="1148"/>
    </row>
    <row r="3796" spans="1:8" x14ac:dyDescent="0.25">
      <c r="A3796" s="116">
        <v>45188</v>
      </c>
      <c r="B3796" s="21" t="s">
        <v>10342</v>
      </c>
      <c r="C3796" s="13" t="s">
        <v>164</v>
      </c>
      <c r="D3796" s="782"/>
      <c r="E3796" s="799"/>
      <c r="F3796" s="148">
        <v>9551</v>
      </c>
      <c r="G3796" s="800">
        <f t="shared" si="68"/>
        <v>-9551</v>
      </c>
      <c r="H3796" s="1148"/>
    </row>
    <row r="3797" spans="1:8" x14ac:dyDescent="0.25">
      <c r="A3797" s="116">
        <v>45188</v>
      </c>
      <c r="B3797" s="21" t="s">
        <v>9463</v>
      </c>
      <c r="C3797" s="13" t="s">
        <v>164</v>
      </c>
      <c r="D3797" s="782"/>
      <c r="E3797" s="799"/>
      <c r="F3797" s="148">
        <v>20807</v>
      </c>
      <c r="G3797" s="800">
        <f t="shared" si="68"/>
        <v>-20807</v>
      </c>
      <c r="H3797" s="1148"/>
    </row>
    <row r="3798" spans="1:8" ht="16.5" thickBot="1" x14ac:dyDescent="0.3">
      <c r="A3798" s="116">
        <v>45188</v>
      </c>
      <c r="B3798" s="21" t="s">
        <v>10490</v>
      </c>
      <c r="C3798" s="13" t="s">
        <v>164</v>
      </c>
      <c r="D3798" s="782"/>
      <c r="E3798" s="799"/>
      <c r="F3798" s="802">
        <v>14924</v>
      </c>
      <c r="G3798" s="800">
        <f t="shared" si="68"/>
        <v>-14924</v>
      </c>
      <c r="H3798" s="1149"/>
    </row>
    <row r="3799" spans="1:8" x14ac:dyDescent="0.25">
      <c r="A3799" s="116">
        <v>45188</v>
      </c>
      <c r="B3799" s="21" t="s">
        <v>6565</v>
      </c>
      <c r="C3799" s="13" t="s">
        <v>4853</v>
      </c>
      <c r="D3799" s="782"/>
      <c r="E3799" s="22"/>
      <c r="F3799" s="115">
        <v>28855</v>
      </c>
      <c r="G3799" s="800">
        <f t="shared" si="68"/>
        <v>-28855</v>
      </c>
      <c r="H3799" s="1153" t="s">
        <v>11269</v>
      </c>
    </row>
    <row r="3800" spans="1:8" x14ac:dyDescent="0.25">
      <c r="A3800" s="116">
        <v>45188</v>
      </c>
      <c r="B3800" s="21" t="s">
        <v>9516</v>
      </c>
      <c r="C3800" s="13" t="s">
        <v>4853</v>
      </c>
      <c r="D3800" s="782"/>
      <c r="E3800" s="22"/>
      <c r="F3800" s="19">
        <v>4250</v>
      </c>
      <c r="G3800" s="800">
        <f t="shared" si="68"/>
        <v>-4250</v>
      </c>
      <c r="H3800" s="1154"/>
    </row>
    <row r="3801" spans="1:8" x14ac:dyDescent="0.25">
      <c r="A3801" s="116">
        <v>45188</v>
      </c>
      <c r="B3801" s="21" t="s">
        <v>10582</v>
      </c>
      <c r="C3801" s="13" t="s">
        <v>4853</v>
      </c>
      <c r="D3801" s="782"/>
      <c r="E3801" s="22"/>
      <c r="F3801" s="19">
        <v>2880</v>
      </c>
      <c r="G3801" s="800">
        <f t="shared" si="68"/>
        <v>-2880</v>
      </c>
      <c r="H3801" s="1154"/>
    </row>
    <row r="3802" spans="1:8" x14ac:dyDescent="0.25">
      <c r="A3802" s="116">
        <v>45188</v>
      </c>
      <c r="B3802" s="21" t="s">
        <v>10490</v>
      </c>
      <c r="C3802" s="13" t="s">
        <v>4853</v>
      </c>
      <c r="D3802" s="782"/>
      <c r="E3802" s="22"/>
      <c r="F3802" s="19">
        <v>69164</v>
      </c>
      <c r="G3802" s="800">
        <f t="shared" si="68"/>
        <v>-69164</v>
      </c>
      <c r="H3802" s="1155"/>
    </row>
    <row r="3803" spans="1:8" x14ac:dyDescent="0.25">
      <c r="A3803" s="116">
        <v>45188</v>
      </c>
      <c r="B3803" s="21" t="s">
        <v>9463</v>
      </c>
      <c r="C3803" s="13" t="s">
        <v>169</v>
      </c>
      <c r="D3803" s="782" t="s">
        <v>11322</v>
      </c>
      <c r="E3803" s="22">
        <v>44544</v>
      </c>
      <c r="F3803" s="113"/>
      <c r="G3803" s="800">
        <f t="shared" si="68"/>
        <v>44544</v>
      </c>
      <c r="H3803" s="972"/>
    </row>
    <row r="3804" spans="1:8" ht="16.5" thickBot="1" x14ac:dyDescent="0.3">
      <c r="A3804" s="116">
        <v>45191</v>
      </c>
      <c r="B3804" s="21" t="s">
        <v>10688</v>
      </c>
      <c r="C3804" s="13" t="s">
        <v>180</v>
      </c>
      <c r="D3804" s="782"/>
      <c r="E3804" s="22"/>
      <c r="F3804" s="113">
        <v>1000000</v>
      </c>
      <c r="G3804" s="14">
        <f t="shared" si="68"/>
        <v>-1000000</v>
      </c>
      <c r="H3804" s="13" t="s">
        <v>11279</v>
      </c>
    </row>
    <row r="3805" spans="1:8" x14ac:dyDescent="0.25">
      <c r="A3805" s="116">
        <v>45190</v>
      </c>
      <c r="B3805" s="21" t="s">
        <v>10096</v>
      </c>
      <c r="C3805" s="13" t="s">
        <v>169</v>
      </c>
      <c r="D3805" s="782"/>
      <c r="E3805" s="799"/>
      <c r="F3805" s="801">
        <v>100000</v>
      </c>
      <c r="G3805" s="800">
        <f t="shared" si="68"/>
        <v>-100000</v>
      </c>
      <c r="H3805" s="1153" t="s">
        <v>11291</v>
      </c>
    </row>
    <row r="3806" spans="1:8" x14ac:dyDescent="0.25">
      <c r="A3806" s="116">
        <v>45190</v>
      </c>
      <c r="B3806" s="21" t="s">
        <v>10683</v>
      </c>
      <c r="C3806" s="13" t="s">
        <v>169</v>
      </c>
      <c r="D3806" s="782"/>
      <c r="E3806" s="799"/>
      <c r="F3806" s="148">
        <v>100000</v>
      </c>
      <c r="G3806" s="800">
        <f t="shared" si="68"/>
        <v>-100000</v>
      </c>
      <c r="H3806" s="1154"/>
    </row>
    <row r="3807" spans="1:8" ht="16.5" thickBot="1" x14ac:dyDescent="0.3">
      <c r="A3807" s="116">
        <v>45190</v>
      </c>
      <c r="B3807" s="21" t="s">
        <v>9463</v>
      </c>
      <c r="C3807" s="13" t="s">
        <v>169</v>
      </c>
      <c r="D3807" s="782"/>
      <c r="E3807" s="799"/>
      <c r="F3807" s="802">
        <v>300000</v>
      </c>
      <c r="G3807" s="800">
        <f t="shared" si="68"/>
        <v>-300000</v>
      </c>
      <c r="H3807" s="1155"/>
    </row>
    <row r="3808" spans="1:8" x14ac:dyDescent="0.25">
      <c r="A3808" s="116">
        <v>45190</v>
      </c>
      <c r="B3808" s="21" t="s">
        <v>10342</v>
      </c>
      <c r="C3808" s="13" t="s">
        <v>8483</v>
      </c>
      <c r="D3808" s="782"/>
      <c r="E3808" s="22"/>
      <c r="F3808" s="115">
        <v>500000</v>
      </c>
      <c r="G3808" s="800">
        <f t="shared" si="68"/>
        <v>-500000</v>
      </c>
      <c r="H3808" s="13" t="s">
        <v>11287</v>
      </c>
    </row>
    <row r="3809" spans="1:8" x14ac:dyDescent="0.25">
      <c r="A3809" s="116">
        <v>45192</v>
      </c>
      <c r="B3809" s="21" t="s">
        <v>9463</v>
      </c>
      <c r="C3809" s="13" t="s">
        <v>7538</v>
      </c>
      <c r="D3809" s="782" t="s">
        <v>11372</v>
      </c>
      <c r="E3809" s="22">
        <v>16000</v>
      </c>
      <c r="F3809" s="115"/>
      <c r="G3809" s="800">
        <f t="shared" si="68"/>
        <v>16000</v>
      </c>
      <c r="H3809" s="13"/>
    </row>
    <row r="3810" spans="1:8" x14ac:dyDescent="0.25">
      <c r="A3810" s="116">
        <v>45194</v>
      </c>
      <c r="B3810" s="21" t="s">
        <v>10342</v>
      </c>
      <c r="C3810" s="13" t="s">
        <v>180</v>
      </c>
      <c r="D3810" s="782" t="s">
        <v>11321</v>
      </c>
      <c r="E3810" s="22">
        <v>18060</v>
      </c>
      <c r="F3810" s="115"/>
      <c r="G3810" s="800">
        <f t="shared" si="68"/>
        <v>18060</v>
      </c>
      <c r="H3810" s="13"/>
    </row>
    <row r="3811" spans="1:8" x14ac:dyDescent="0.25">
      <c r="A3811" s="116">
        <v>45194</v>
      </c>
      <c r="B3811" s="21" t="s">
        <v>10077</v>
      </c>
      <c r="C3811" s="13" t="s">
        <v>169</v>
      </c>
      <c r="D3811" s="782" t="s">
        <v>11323</v>
      </c>
      <c r="E3811" s="22">
        <v>15350</v>
      </c>
      <c r="F3811" s="115"/>
      <c r="G3811" s="800">
        <f t="shared" si="68"/>
        <v>15350</v>
      </c>
      <c r="H3811" s="13"/>
    </row>
    <row r="3812" spans="1:8" x14ac:dyDescent="0.25">
      <c r="A3812" s="116">
        <v>45194</v>
      </c>
      <c r="B3812" s="21" t="s">
        <v>11023</v>
      </c>
      <c r="C3812" s="13" t="s">
        <v>7309</v>
      </c>
      <c r="D3812" s="782" t="s">
        <v>8185</v>
      </c>
      <c r="E3812" s="22">
        <v>292565</v>
      </c>
      <c r="F3812" s="114"/>
      <c r="G3812" s="800">
        <f t="shared" si="68"/>
        <v>292565</v>
      </c>
      <c r="H3812" s="13"/>
    </row>
    <row r="3813" spans="1:8" x14ac:dyDescent="0.25">
      <c r="A3813" s="116">
        <v>45194</v>
      </c>
      <c r="B3813" s="21" t="s">
        <v>10342</v>
      </c>
      <c r="C3813" s="13" t="s">
        <v>11444</v>
      </c>
      <c r="D3813" s="782"/>
      <c r="E3813" s="22"/>
      <c r="F3813" s="114">
        <v>1000000</v>
      </c>
      <c r="G3813" s="800">
        <f t="shared" si="68"/>
        <v>-1000000</v>
      </c>
      <c r="H3813" s="13" t="s">
        <v>11445</v>
      </c>
    </row>
    <row r="3814" spans="1:8" ht="16.5" thickBot="1" x14ac:dyDescent="0.3">
      <c r="A3814" s="116">
        <v>45194</v>
      </c>
      <c r="B3814" s="21" t="s">
        <v>10683</v>
      </c>
      <c r="C3814" s="13" t="s">
        <v>7538</v>
      </c>
      <c r="D3814" s="782"/>
      <c r="E3814" s="22"/>
      <c r="F3814" s="114">
        <v>500000</v>
      </c>
      <c r="G3814" s="800">
        <f t="shared" si="68"/>
        <v>-500000</v>
      </c>
      <c r="H3814" s="13" t="s">
        <v>11293</v>
      </c>
    </row>
    <row r="3815" spans="1:8" x14ac:dyDescent="0.25">
      <c r="A3815" s="116">
        <v>45195</v>
      </c>
      <c r="B3815" s="21" t="s">
        <v>10261</v>
      </c>
      <c r="C3815" s="13" t="s">
        <v>8483</v>
      </c>
      <c r="D3815" s="782"/>
      <c r="E3815" s="799"/>
      <c r="F3815" s="801">
        <v>158496</v>
      </c>
      <c r="G3815" s="800">
        <f t="shared" si="68"/>
        <v>-158496</v>
      </c>
      <c r="H3815" s="1153" t="s">
        <v>11344</v>
      </c>
    </row>
    <row r="3816" spans="1:8" x14ac:dyDescent="0.25">
      <c r="A3816" s="116">
        <v>45195</v>
      </c>
      <c r="B3816" s="21" t="s">
        <v>10683</v>
      </c>
      <c r="C3816" s="13" t="s">
        <v>8483</v>
      </c>
      <c r="D3816" s="782"/>
      <c r="E3816" s="799"/>
      <c r="F3816" s="158">
        <v>11574</v>
      </c>
      <c r="G3816" s="800">
        <f t="shared" si="68"/>
        <v>-11574</v>
      </c>
      <c r="H3816" s="1154"/>
    </row>
    <row r="3817" spans="1:8" x14ac:dyDescent="0.25">
      <c r="A3817" s="116">
        <v>45195</v>
      </c>
      <c r="B3817" s="21" t="s">
        <v>9463</v>
      </c>
      <c r="C3817" s="13" t="s">
        <v>8483</v>
      </c>
      <c r="D3817" s="782"/>
      <c r="E3817" s="799"/>
      <c r="F3817" s="158">
        <v>120076</v>
      </c>
      <c r="G3817" s="800">
        <f t="shared" si="68"/>
        <v>-120076</v>
      </c>
      <c r="H3817" s="1154"/>
    </row>
    <row r="3818" spans="1:8" x14ac:dyDescent="0.25">
      <c r="A3818" s="116">
        <v>45195</v>
      </c>
      <c r="B3818" s="21" t="s">
        <v>10490</v>
      </c>
      <c r="C3818" s="13" t="s">
        <v>8483</v>
      </c>
      <c r="D3818" s="782"/>
      <c r="E3818" s="799"/>
      <c r="F3818" s="158">
        <v>209438</v>
      </c>
      <c r="G3818" s="800">
        <f t="shared" si="68"/>
        <v>-209438</v>
      </c>
      <c r="H3818" s="1154"/>
    </row>
    <row r="3819" spans="1:8" x14ac:dyDescent="0.25">
      <c r="A3819" s="116">
        <v>45195</v>
      </c>
      <c r="B3819" s="21" t="s">
        <v>11193</v>
      </c>
      <c r="C3819" s="13" t="s">
        <v>8483</v>
      </c>
      <c r="D3819" s="782"/>
      <c r="E3819" s="799"/>
      <c r="F3819" s="158">
        <v>203556</v>
      </c>
      <c r="G3819" s="800">
        <f t="shared" si="68"/>
        <v>-203556</v>
      </c>
      <c r="H3819" s="1154"/>
    </row>
    <row r="3820" spans="1:8" ht="16.5" customHeight="1" thickBot="1" x14ac:dyDescent="0.3">
      <c r="A3820" s="116">
        <v>45195</v>
      </c>
      <c r="B3820" s="21" t="s">
        <v>10688</v>
      </c>
      <c r="C3820" s="13" t="s">
        <v>8483</v>
      </c>
      <c r="D3820" s="782"/>
      <c r="E3820" s="799"/>
      <c r="F3820" s="304">
        <v>296860</v>
      </c>
      <c r="G3820" s="800">
        <f t="shared" si="68"/>
        <v>-296860</v>
      </c>
      <c r="H3820" s="1155"/>
    </row>
    <row r="3821" spans="1:8" x14ac:dyDescent="0.25">
      <c r="A3821" s="116">
        <v>45195</v>
      </c>
      <c r="B3821" s="21" t="s">
        <v>10683</v>
      </c>
      <c r="C3821" s="13" t="s">
        <v>7538</v>
      </c>
      <c r="D3821" s="782"/>
      <c r="E3821" s="799"/>
      <c r="F3821" s="801">
        <v>586928</v>
      </c>
      <c r="G3821" s="800">
        <f t="shared" si="68"/>
        <v>-586928</v>
      </c>
      <c r="H3821" s="1139" t="s">
        <v>11333</v>
      </c>
    </row>
    <row r="3822" spans="1:8" x14ac:dyDescent="0.25">
      <c r="A3822" s="116">
        <v>45195</v>
      </c>
      <c r="B3822" s="21" t="s">
        <v>9769</v>
      </c>
      <c r="C3822" s="13" t="s">
        <v>7538</v>
      </c>
      <c r="D3822" s="782"/>
      <c r="E3822" s="799"/>
      <c r="F3822" s="148">
        <v>130436</v>
      </c>
      <c r="G3822" s="800">
        <f t="shared" si="68"/>
        <v>-130436</v>
      </c>
      <c r="H3822" s="1179"/>
    </row>
    <row r="3823" spans="1:8" ht="16.5" thickBot="1" x14ac:dyDescent="0.3">
      <c r="A3823" s="116">
        <v>45195</v>
      </c>
      <c r="B3823" s="21" t="s">
        <v>10406</v>
      </c>
      <c r="C3823" s="13" t="s">
        <v>7538</v>
      </c>
      <c r="D3823" s="782"/>
      <c r="E3823" s="799"/>
      <c r="F3823" s="802">
        <v>82636</v>
      </c>
      <c r="G3823" s="800">
        <f t="shared" si="68"/>
        <v>-82636</v>
      </c>
      <c r="H3823" s="1140"/>
    </row>
    <row r="3824" spans="1:8" x14ac:dyDescent="0.25">
      <c r="A3824" s="116">
        <v>45195</v>
      </c>
      <c r="B3824" s="21" t="s">
        <v>10342</v>
      </c>
      <c r="C3824" s="13" t="s">
        <v>7538</v>
      </c>
      <c r="D3824" s="782" t="s">
        <v>11373</v>
      </c>
      <c r="E3824" s="799">
        <v>716336</v>
      </c>
      <c r="F3824" s="220"/>
      <c r="G3824" s="800">
        <f t="shared" si="68"/>
        <v>716336</v>
      </c>
      <c r="H3824" s="351"/>
    </row>
    <row r="3825" spans="1:8" ht="16.5" thickBot="1" x14ac:dyDescent="0.3">
      <c r="A3825" s="116">
        <v>45197</v>
      </c>
      <c r="B3825" s="21" t="s">
        <v>11193</v>
      </c>
      <c r="C3825" s="13" t="s">
        <v>7538</v>
      </c>
      <c r="D3825" s="782" t="s">
        <v>11374</v>
      </c>
      <c r="E3825" s="799">
        <v>147702</v>
      </c>
      <c r="F3825" s="220"/>
      <c r="G3825" s="800">
        <f t="shared" si="68"/>
        <v>147702</v>
      </c>
      <c r="H3825" s="351"/>
    </row>
    <row r="3826" spans="1:8" x14ac:dyDescent="0.25">
      <c r="A3826" s="116">
        <v>45195</v>
      </c>
      <c r="B3826" s="21" t="s">
        <v>10683</v>
      </c>
      <c r="C3826" s="13" t="s">
        <v>7538</v>
      </c>
      <c r="D3826" s="782"/>
      <c r="E3826" s="799"/>
      <c r="F3826" s="801">
        <v>32460</v>
      </c>
      <c r="G3826" s="800">
        <f t="shared" si="68"/>
        <v>-32460</v>
      </c>
      <c r="H3826" s="1153" t="s">
        <v>11291</v>
      </c>
    </row>
    <row r="3827" spans="1:8" x14ac:dyDescent="0.25">
      <c r="A3827" s="116">
        <v>45195</v>
      </c>
      <c r="B3827" s="21" t="s">
        <v>10261</v>
      </c>
      <c r="C3827" s="13" t="s">
        <v>7538</v>
      </c>
      <c r="D3827" s="782"/>
      <c r="E3827" s="799"/>
      <c r="F3827" s="158">
        <v>228360</v>
      </c>
      <c r="G3827" s="800">
        <f t="shared" si="68"/>
        <v>-228360</v>
      </c>
      <c r="H3827" s="1154"/>
    </row>
    <row r="3828" spans="1:8" x14ac:dyDescent="0.25">
      <c r="A3828" s="116">
        <v>45195</v>
      </c>
      <c r="B3828" s="21" t="s">
        <v>10096</v>
      </c>
      <c r="C3828" s="13" t="s">
        <v>7538</v>
      </c>
      <c r="D3828" s="782"/>
      <c r="E3828" s="799"/>
      <c r="F3828" s="158">
        <v>35755</v>
      </c>
      <c r="G3828" s="800">
        <f t="shared" si="68"/>
        <v>-35755</v>
      </c>
      <c r="H3828" s="1154"/>
    </row>
    <row r="3829" spans="1:8" ht="16.5" thickBot="1" x14ac:dyDescent="0.3">
      <c r="A3829" s="116">
        <v>45195</v>
      </c>
      <c r="B3829" s="21" t="s">
        <v>11193</v>
      </c>
      <c r="C3829" s="13" t="s">
        <v>7538</v>
      </c>
      <c r="D3829" s="782"/>
      <c r="E3829" s="799"/>
      <c r="F3829" s="304">
        <f>500000-F3828-F3827-F3826</f>
        <v>203425</v>
      </c>
      <c r="G3829" s="800">
        <f t="shared" si="68"/>
        <v>-203425</v>
      </c>
      <c r="H3829" s="1155"/>
    </row>
    <row r="3830" spans="1:8" x14ac:dyDescent="0.25">
      <c r="A3830" s="116">
        <v>45197</v>
      </c>
      <c r="B3830" s="21" t="s">
        <v>10688</v>
      </c>
      <c r="C3830" s="13" t="s">
        <v>8483</v>
      </c>
      <c r="D3830" s="782" t="s">
        <v>11378</v>
      </c>
      <c r="E3830" s="799">
        <v>198542</v>
      </c>
      <c r="F3830" s="220"/>
      <c r="G3830" s="800">
        <f t="shared" si="68"/>
        <v>198542</v>
      </c>
      <c r="H3830" s="972"/>
    </row>
    <row r="3831" spans="1:8" ht="21" x14ac:dyDescent="0.25">
      <c r="A3831" s="116">
        <v>45197</v>
      </c>
      <c r="B3831" s="21" t="s">
        <v>11193</v>
      </c>
      <c r="C3831" s="13" t="s">
        <v>7538</v>
      </c>
      <c r="D3831" s="782"/>
      <c r="E3831" s="799"/>
      <c r="F3831" s="220">
        <v>50000</v>
      </c>
      <c r="G3831" s="800">
        <f t="shared" si="68"/>
        <v>-50000</v>
      </c>
      <c r="H3831" s="1071" t="s">
        <v>11384</v>
      </c>
    </row>
    <row r="3832" spans="1:8" x14ac:dyDescent="0.25">
      <c r="A3832" s="116">
        <v>45197</v>
      </c>
      <c r="B3832" s="21" t="s">
        <v>10688</v>
      </c>
      <c r="C3832" s="13" t="s">
        <v>8483</v>
      </c>
      <c r="D3832" s="782" t="s">
        <v>11379</v>
      </c>
      <c r="E3832" s="799">
        <v>43188</v>
      </c>
      <c r="F3832" s="220"/>
      <c r="G3832" s="800">
        <f t="shared" si="68"/>
        <v>43188</v>
      </c>
      <c r="H3832" s="972"/>
    </row>
    <row r="3833" spans="1:8" x14ac:dyDescent="0.25">
      <c r="A3833" s="116">
        <v>45197</v>
      </c>
      <c r="B3833" s="21" t="s">
        <v>11193</v>
      </c>
      <c r="C3833" s="13" t="s">
        <v>8483</v>
      </c>
      <c r="D3833" s="782" t="s">
        <v>11380</v>
      </c>
      <c r="E3833" s="799">
        <v>137198</v>
      </c>
      <c r="F3833" s="220"/>
      <c r="G3833" s="800">
        <f t="shared" si="68"/>
        <v>137198</v>
      </c>
      <c r="H3833" s="972"/>
    </row>
    <row r="3834" spans="1:8" x14ac:dyDescent="0.25">
      <c r="A3834" s="116">
        <v>45197</v>
      </c>
      <c r="B3834" s="21" t="s">
        <v>9463</v>
      </c>
      <c r="C3834" s="13" t="s">
        <v>8483</v>
      </c>
      <c r="D3834" s="782" t="s">
        <v>11381</v>
      </c>
      <c r="E3834" s="799">
        <v>3763</v>
      </c>
      <c r="F3834" s="220"/>
      <c r="G3834" s="800">
        <f t="shared" si="68"/>
        <v>3763</v>
      </c>
      <c r="H3834" s="972"/>
    </row>
    <row r="3835" spans="1:8" x14ac:dyDescent="0.25">
      <c r="A3835" s="116">
        <v>45199</v>
      </c>
      <c r="B3835" s="21" t="s">
        <v>10688</v>
      </c>
      <c r="C3835" s="13" t="s">
        <v>168</v>
      </c>
      <c r="D3835" s="782" t="s">
        <v>11382</v>
      </c>
      <c r="E3835" s="799">
        <v>3780</v>
      </c>
      <c r="F3835" s="220"/>
      <c r="G3835" s="800">
        <f t="shared" si="68"/>
        <v>3780</v>
      </c>
      <c r="H3835" s="972"/>
    </row>
    <row r="3836" spans="1:8" x14ac:dyDescent="0.25">
      <c r="A3836" s="116">
        <v>45201</v>
      </c>
      <c r="B3836" s="21" t="s">
        <v>10096</v>
      </c>
      <c r="C3836" s="13" t="s">
        <v>169</v>
      </c>
      <c r="D3836" s="782"/>
      <c r="E3836" s="799">
        <v>13532</v>
      </c>
      <c r="F3836" s="220"/>
      <c r="G3836" s="800">
        <f t="shared" si="68"/>
        <v>13532</v>
      </c>
      <c r="H3836" s="972"/>
    </row>
    <row r="3837" spans="1:8" x14ac:dyDescent="0.25">
      <c r="A3837" s="116">
        <v>45202</v>
      </c>
      <c r="B3837" s="21" t="s">
        <v>10261</v>
      </c>
      <c r="C3837" s="13" t="s">
        <v>8483</v>
      </c>
      <c r="D3837" s="782" t="s">
        <v>11466</v>
      </c>
      <c r="E3837" s="799">
        <v>75140</v>
      </c>
      <c r="F3837" s="220"/>
      <c r="G3837" s="800">
        <f t="shared" si="68"/>
        <v>75140</v>
      </c>
      <c r="H3837" s="972"/>
    </row>
    <row r="3838" spans="1:8" x14ac:dyDescent="0.25">
      <c r="A3838" s="116">
        <v>45202</v>
      </c>
      <c r="B3838" s="21" t="s">
        <v>10688</v>
      </c>
      <c r="C3838" s="13" t="s">
        <v>7538</v>
      </c>
      <c r="D3838" s="782" t="s">
        <v>11375</v>
      </c>
      <c r="E3838" s="22">
        <v>64000</v>
      </c>
      <c r="F3838" s="115"/>
      <c r="G3838" s="800">
        <f t="shared" si="68"/>
        <v>64000</v>
      </c>
      <c r="H3838" s="13"/>
    </row>
    <row r="3839" spans="1:8" ht="16.5" thickBot="1" x14ac:dyDescent="0.3">
      <c r="A3839" s="116">
        <v>45202</v>
      </c>
      <c r="B3839" s="21" t="s">
        <v>10342</v>
      </c>
      <c r="C3839" s="13" t="s">
        <v>7538</v>
      </c>
      <c r="D3839" s="782" t="s">
        <v>11376</v>
      </c>
      <c r="E3839" s="22">
        <v>683270</v>
      </c>
      <c r="F3839" s="114"/>
      <c r="G3839" s="800">
        <f t="shared" si="68"/>
        <v>683270</v>
      </c>
      <c r="H3839" s="13"/>
    </row>
    <row r="3840" spans="1:8" x14ac:dyDescent="0.25">
      <c r="A3840" s="116">
        <v>45202</v>
      </c>
      <c r="B3840" s="21" t="s">
        <v>8653</v>
      </c>
      <c r="C3840" s="13" t="s">
        <v>168</v>
      </c>
      <c r="D3840" s="782"/>
      <c r="E3840" s="799"/>
      <c r="F3840" s="801">
        <v>83200</v>
      </c>
      <c r="G3840" s="800">
        <f t="shared" si="68"/>
        <v>-83200</v>
      </c>
      <c r="H3840" s="1153" t="s">
        <v>11291</v>
      </c>
    </row>
    <row r="3841" spans="1:8" x14ac:dyDescent="0.25">
      <c r="A3841" s="116">
        <v>45202</v>
      </c>
      <c r="B3841" s="21" t="s">
        <v>8974</v>
      </c>
      <c r="C3841" s="13" t="s">
        <v>168</v>
      </c>
      <c r="D3841" s="782"/>
      <c r="E3841" s="799"/>
      <c r="F3841" s="158">
        <v>227720</v>
      </c>
      <c r="G3841" s="800">
        <f t="shared" si="68"/>
        <v>-227720</v>
      </c>
      <c r="H3841" s="1154"/>
    </row>
    <row r="3842" spans="1:8" x14ac:dyDescent="0.25">
      <c r="A3842" s="116">
        <v>45202</v>
      </c>
      <c r="B3842" s="21" t="s">
        <v>9615</v>
      </c>
      <c r="C3842" s="13" t="s">
        <v>168</v>
      </c>
      <c r="D3842" s="782"/>
      <c r="E3842" s="799"/>
      <c r="F3842" s="158">
        <v>9820</v>
      </c>
      <c r="G3842" s="800">
        <f t="shared" si="68"/>
        <v>-9820</v>
      </c>
      <c r="H3842" s="1154"/>
    </row>
    <row r="3843" spans="1:8" ht="16.5" thickBot="1" x14ac:dyDescent="0.3">
      <c r="A3843" s="116">
        <v>45202</v>
      </c>
      <c r="B3843" s="21" t="s">
        <v>10406</v>
      </c>
      <c r="C3843" s="13" t="s">
        <v>168</v>
      </c>
      <c r="D3843" s="782"/>
      <c r="E3843" s="799"/>
      <c r="F3843" s="304">
        <v>179260</v>
      </c>
      <c r="G3843" s="800">
        <f t="shared" si="68"/>
        <v>-179260</v>
      </c>
      <c r="H3843" s="1155"/>
    </row>
    <row r="3844" spans="1:8" x14ac:dyDescent="0.25">
      <c r="A3844" s="116">
        <v>45202</v>
      </c>
      <c r="B3844" s="21" t="s">
        <v>9463</v>
      </c>
      <c r="C3844" s="13" t="s">
        <v>7538</v>
      </c>
      <c r="D3844" s="782"/>
      <c r="E3844" s="22"/>
      <c r="F3844" s="115">
        <v>200000</v>
      </c>
      <c r="G3844" s="14">
        <f t="shared" si="68"/>
        <v>-200000</v>
      </c>
      <c r="H3844" s="13" t="s">
        <v>11293</v>
      </c>
    </row>
    <row r="3845" spans="1:8" x14ac:dyDescent="0.25">
      <c r="A3845" s="116">
        <v>45203</v>
      </c>
      <c r="B3845" s="21" t="s">
        <v>10688</v>
      </c>
      <c r="C3845" s="13" t="s">
        <v>180</v>
      </c>
      <c r="D3845" s="782"/>
      <c r="E3845" s="22"/>
      <c r="F3845" s="19">
        <v>500000</v>
      </c>
      <c r="G3845" s="14">
        <f t="shared" si="68"/>
        <v>-500000</v>
      </c>
      <c r="H3845" s="13" t="s">
        <v>11293</v>
      </c>
    </row>
    <row r="3846" spans="1:8" x14ac:dyDescent="0.25">
      <c r="A3846" s="116">
        <v>45204</v>
      </c>
      <c r="B3846" s="21" t="s">
        <v>10096</v>
      </c>
      <c r="C3846" s="13" t="s">
        <v>169</v>
      </c>
      <c r="D3846" s="782" t="s">
        <v>11480</v>
      </c>
      <c r="E3846" s="22">
        <v>149219</v>
      </c>
      <c r="F3846" s="19"/>
      <c r="G3846" s="14">
        <f t="shared" si="68"/>
        <v>149219</v>
      </c>
      <c r="H3846" s="13"/>
    </row>
    <row r="3847" spans="1:8" x14ac:dyDescent="0.25">
      <c r="A3847" s="116">
        <v>45205</v>
      </c>
      <c r="B3847" s="21" t="s">
        <v>10342</v>
      </c>
      <c r="C3847" s="13" t="s">
        <v>7538</v>
      </c>
      <c r="D3847" s="782" t="s">
        <v>11474</v>
      </c>
      <c r="E3847" s="22">
        <v>461969</v>
      </c>
      <c r="F3847" s="19"/>
      <c r="G3847" s="14">
        <f t="shared" si="68"/>
        <v>461969</v>
      </c>
      <c r="H3847" s="13"/>
    </row>
    <row r="3848" spans="1:8" x14ac:dyDescent="0.25">
      <c r="A3848" s="116">
        <v>45205</v>
      </c>
      <c r="B3848" s="21" t="s">
        <v>10688</v>
      </c>
      <c r="C3848" s="13" t="s">
        <v>7538</v>
      </c>
      <c r="D3848" s="782" t="s">
        <v>11475</v>
      </c>
      <c r="E3848" s="22">
        <v>461969</v>
      </c>
      <c r="F3848" s="19"/>
      <c r="G3848" s="14">
        <f t="shared" si="68"/>
        <v>461969</v>
      </c>
      <c r="H3848" s="13"/>
    </row>
    <row r="3849" spans="1:8" x14ac:dyDescent="0.25">
      <c r="A3849" s="116">
        <v>45206</v>
      </c>
      <c r="B3849" s="21" t="s">
        <v>10096</v>
      </c>
      <c r="C3849" s="13" t="s">
        <v>164</v>
      </c>
      <c r="D3849" s="782" t="s">
        <v>11392</v>
      </c>
      <c r="E3849" s="22">
        <v>11352</v>
      </c>
      <c r="F3849" s="19"/>
      <c r="G3849" s="14">
        <f t="shared" si="68"/>
        <v>11352</v>
      </c>
      <c r="H3849" s="13"/>
    </row>
    <row r="3850" spans="1:8" x14ac:dyDescent="0.25">
      <c r="A3850" s="116">
        <v>45206</v>
      </c>
      <c r="B3850" s="21" t="s">
        <v>10342</v>
      </c>
      <c r="C3850" s="13" t="s">
        <v>168</v>
      </c>
      <c r="D3850" s="782" t="s">
        <v>11451</v>
      </c>
      <c r="E3850" s="22">
        <v>44000</v>
      </c>
      <c r="F3850" s="19"/>
      <c r="G3850" s="14">
        <f t="shared" si="68"/>
        <v>44000</v>
      </c>
      <c r="H3850" s="13"/>
    </row>
    <row r="3851" spans="1:8" x14ac:dyDescent="0.25">
      <c r="A3851" s="116">
        <v>45206</v>
      </c>
      <c r="B3851" s="21" t="s">
        <v>10342</v>
      </c>
      <c r="C3851" s="13" t="s">
        <v>8483</v>
      </c>
      <c r="D3851" s="782" t="s">
        <v>11467</v>
      </c>
      <c r="E3851" s="22">
        <v>324466</v>
      </c>
      <c r="F3851" s="19"/>
      <c r="G3851" s="14">
        <f t="shared" si="68"/>
        <v>324466</v>
      </c>
      <c r="H3851" s="13"/>
    </row>
    <row r="3852" spans="1:8" x14ac:dyDescent="0.25">
      <c r="A3852" s="116">
        <v>45206</v>
      </c>
      <c r="B3852" s="21" t="s">
        <v>10688</v>
      </c>
      <c r="C3852" s="13" t="s">
        <v>8483</v>
      </c>
      <c r="D3852" s="782" t="s">
        <v>11468</v>
      </c>
      <c r="E3852" s="22">
        <v>61576</v>
      </c>
      <c r="F3852" s="19"/>
      <c r="G3852" s="14">
        <f t="shared" si="68"/>
        <v>61576</v>
      </c>
      <c r="H3852" s="13"/>
    </row>
    <row r="3853" spans="1:8" x14ac:dyDescent="0.25">
      <c r="A3853" s="116">
        <v>45206</v>
      </c>
      <c r="B3853" s="21" t="s">
        <v>10490</v>
      </c>
      <c r="C3853" s="13" t="s">
        <v>8483</v>
      </c>
      <c r="D3853" s="782" t="s">
        <v>11469</v>
      </c>
      <c r="E3853" s="22">
        <v>17368</v>
      </c>
      <c r="F3853" s="19"/>
      <c r="G3853" s="14">
        <f t="shared" si="68"/>
        <v>17368</v>
      </c>
      <c r="H3853" s="13"/>
    </row>
    <row r="3854" spans="1:8" x14ac:dyDescent="0.25">
      <c r="A3854" s="116">
        <v>45208</v>
      </c>
      <c r="B3854" s="21" t="s">
        <v>10342</v>
      </c>
      <c r="C3854" s="13" t="s">
        <v>168</v>
      </c>
      <c r="D3854" s="782" t="s">
        <v>11476</v>
      </c>
      <c r="E3854" s="22">
        <v>44000</v>
      </c>
      <c r="F3854" s="19"/>
      <c r="G3854" s="14">
        <f t="shared" si="68"/>
        <v>44000</v>
      </c>
      <c r="H3854" s="13"/>
    </row>
    <row r="3855" spans="1:8" x14ac:dyDescent="0.25">
      <c r="A3855" s="116">
        <v>45208</v>
      </c>
      <c r="B3855" s="21" t="s">
        <v>11023</v>
      </c>
      <c r="C3855" s="13" t="s">
        <v>168</v>
      </c>
      <c r="D3855" s="782" t="s">
        <v>11477</v>
      </c>
      <c r="E3855" s="22">
        <v>53000</v>
      </c>
      <c r="F3855" s="19"/>
      <c r="G3855" s="14">
        <f t="shared" si="68"/>
        <v>53000</v>
      </c>
      <c r="H3855" s="13"/>
    </row>
    <row r="3856" spans="1:8" x14ac:dyDescent="0.25">
      <c r="A3856" s="116">
        <v>45208</v>
      </c>
      <c r="B3856" s="21" t="s">
        <v>11193</v>
      </c>
      <c r="C3856" s="13" t="s">
        <v>8483</v>
      </c>
      <c r="D3856" s="782" t="s">
        <v>11470</v>
      </c>
      <c r="E3856" s="22">
        <v>57660</v>
      </c>
      <c r="F3856" s="19"/>
      <c r="G3856" s="14">
        <f t="shared" si="68"/>
        <v>57660</v>
      </c>
      <c r="H3856" s="13"/>
    </row>
    <row r="3857" spans="1:8" x14ac:dyDescent="0.25">
      <c r="A3857" s="116">
        <v>45208</v>
      </c>
      <c r="B3857" s="21" t="s">
        <v>11023</v>
      </c>
      <c r="C3857" s="13" t="s">
        <v>8483</v>
      </c>
      <c r="D3857" s="782" t="s">
        <v>11471</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10582</v>
      </c>
      <c r="C3869" s="13" t="s">
        <v>440</v>
      </c>
      <c r="D3869" s="782"/>
      <c r="E3869" s="22">
        <v>9170</v>
      </c>
      <c r="F3869" s="19"/>
      <c r="G3869" s="14">
        <f t="shared" si="68"/>
        <v>9170</v>
      </c>
      <c r="H3869" s="13" t="s">
        <v>11449</v>
      </c>
    </row>
    <row r="3870" spans="1:8" x14ac:dyDescent="0.25">
      <c r="A3870" s="116">
        <v>45211</v>
      </c>
      <c r="B3870" s="21" t="s">
        <v>11023</v>
      </c>
      <c r="C3870" s="13" t="s">
        <v>8483</v>
      </c>
      <c r="D3870" s="782" t="s">
        <v>11472</v>
      </c>
      <c r="E3870" s="22">
        <v>131554</v>
      </c>
      <c r="F3870" s="19"/>
      <c r="G3870" s="14">
        <f t="shared" si="68"/>
        <v>131554</v>
      </c>
      <c r="H3870" s="13"/>
    </row>
    <row r="3871" spans="1:8" x14ac:dyDescent="0.25">
      <c r="A3871" s="116">
        <v>45212</v>
      </c>
      <c r="B3871" s="21" t="s">
        <v>10688</v>
      </c>
      <c r="C3871" s="13" t="s">
        <v>8483</v>
      </c>
      <c r="D3871" s="782" t="s">
        <v>11473</v>
      </c>
      <c r="E3871" s="22">
        <v>64949</v>
      </c>
      <c r="F3871" s="19"/>
      <c r="G3871" s="14">
        <f t="shared" si="68"/>
        <v>64949</v>
      </c>
      <c r="H3871" s="13"/>
    </row>
    <row r="3872" spans="1:8" x14ac:dyDescent="0.25">
      <c r="A3872" s="116">
        <v>45212</v>
      </c>
      <c r="B3872" s="21" t="s">
        <v>11568</v>
      </c>
      <c r="C3872" s="13" t="s">
        <v>166</v>
      </c>
      <c r="D3872" s="782" t="s">
        <v>11479</v>
      </c>
      <c r="E3872" s="22">
        <v>43750</v>
      </c>
      <c r="F3872" s="19"/>
      <c r="G3872" s="14">
        <f t="shared" si="68"/>
        <v>43750</v>
      </c>
      <c r="H3872" s="13"/>
    </row>
    <row r="3873" spans="1:8" x14ac:dyDescent="0.25">
      <c r="A3873" s="116">
        <v>45213</v>
      </c>
      <c r="B3873" s="21" t="s">
        <v>10342</v>
      </c>
      <c r="C3873" s="13" t="s">
        <v>8166</v>
      </c>
      <c r="D3873" s="782" t="s">
        <v>11478</v>
      </c>
      <c r="E3873" s="22">
        <v>40800</v>
      </c>
      <c r="F3873" s="19"/>
      <c r="G3873" s="14">
        <f t="shared" si="68"/>
        <v>40800</v>
      </c>
      <c r="H3873" s="13"/>
    </row>
    <row r="3874" spans="1:8" x14ac:dyDescent="0.25">
      <c r="A3874" s="116">
        <v>45213</v>
      </c>
      <c r="B3874" s="21" t="s">
        <v>7886</v>
      </c>
      <c r="C3874" s="13" t="s">
        <v>11450</v>
      </c>
      <c r="D3874" s="782"/>
      <c r="E3874" s="22"/>
      <c r="F3874" s="19">
        <v>700000</v>
      </c>
      <c r="G3874" s="14">
        <f t="shared" si="68"/>
        <v>-700000</v>
      </c>
      <c r="H3874" s="13" t="s">
        <v>11483</v>
      </c>
    </row>
    <row r="3875" spans="1:8" x14ac:dyDescent="0.25">
      <c r="A3875" s="116">
        <v>45213</v>
      </c>
      <c r="B3875" s="21" t="s">
        <v>2675</v>
      </c>
      <c r="C3875" s="13" t="s">
        <v>5731</v>
      </c>
      <c r="D3875" s="782"/>
      <c r="E3875" s="22">
        <v>9700</v>
      </c>
      <c r="F3875" s="19"/>
      <c r="G3875" s="14">
        <f t="shared" si="68"/>
        <v>9700</v>
      </c>
      <c r="H3875" s="13" t="s">
        <v>11492</v>
      </c>
    </row>
    <row r="3876" spans="1:8" x14ac:dyDescent="0.25">
      <c r="A3876" s="116">
        <v>45213</v>
      </c>
      <c r="B3876" s="21" t="s">
        <v>1407</v>
      </c>
      <c r="C3876" s="13" t="s">
        <v>5731</v>
      </c>
      <c r="D3876" s="782"/>
      <c r="E3876" s="22"/>
      <c r="F3876" s="19">
        <v>8180</v>
      </c>
      <c r="G3876" s="14">
        <f t="shared" si="68"/>
        <v>-8180</v>
      </c>
      <c r="H3876" s="13" t="s">
        <v>11492</v>
      </c>
    </row>
    <row r="3877" spans="1:8" x14ac:dyDescent="0.25">
      <c r="A3877" s="116">
        <v>45213</v>
      </c>
      <c r="B3877" s="21" t="s">
        <v>8752</v>
      </c>
      <c r="C3877" s="13" t="s">
        <v>5731</v>
      </c>
      <c r="D3877" s="782"/>
      <c r="E3877" s="22"/>
      <c r="F3877" s="19">
        <f>53900-12000</f>
        <v>41900</v>
      </c>
      <c r="G3877" s="14">
        <f t="shared" si="68"/>
        <v>-41900</v>
      </c>
      <c r="H3877" s="13" t="s">
        <v>11492</v>
      </c>
    </row>
    <row r="3878" spans="1:8" x14ac:dyDescent="0.25">
      <c r="A3878" s="116">
        <v>45213</v>
      </c>
      <c r="B3878" s="21" t="s">
        <v>10261</v>
      </c>
      <c r="C3878" s="13" t="s">
        <v>5731</v>
      </c>
      <c r="D3878" s="782" t="s">
        <v>8650</v>
      </c>
      <c r="E3878" s="22">
        <v>105000</v>
      </c>
      <c r="F3878" s="19"/>
      <c r="G3878" s="14">
        <f t="shared" si="68"/>
        <v>105000</v>
      </c>
      <c r="H3878" s="13"/>
    </row>
    <row r="3879" spans="1:8" x14ac:dyDescent="0.25">
      <c r="A3879" s="116">
        <v>45213</v>
      </c>
      <c r="B3879" s="21" t="s">
        <v>10261</v>
      </c>
      <c r="C3879" s="13" t="s">
        <v>5731</v>
      </c>
      <c r="D3879" s="782" t="s">
        <v>9966</v>
      </c>
      <c r="E3879" s="22">
        <v>35400</v>
      </c>
      <c r="F3879" s="19"/>
      <c r="G3879" s="14">
        <f t="shared" si="68"/>
        <v>35400</v>
      </c>
      <c r="H3879" s="13"/>
    </row>
    <row r="3880" spans="1:8" x14ac:dyDescent="0.25">
      <c r="A3880" s="116">
        <v>45213</v>
      </c>
      <c r="B3880" s="21" t="s">
        <v>9877</v>
      </c>
      <c r="C3880" s="13" t="s">
        <v>5731</v>
      </c>
      <c r="D3880" s="782" t="s">
        <v>9982</v>
      </c>
      <c r="E3880" s="22">
        <v>57000</v>
      </c>
      <c r="F3880" s="19"/>
      <c r="G3880" s="14">
        <f t="shared" si="68"/>
        <v>57000</v>
      </c>
      <c r="H3880" s="13"/>
    </row>
    <row r="3881" spans="1:8" x14ac:dyDescent="0.25">
      <c r="A3881" s="116">
        <v>45213</v>
      </c>
      <c r="B3881" s="21" t="s">
        <v>10490</v>
      </c>
      <c r="C3881" s="13" t="s">
        <v>5731</v>
      </c>
      <c r="D3881" s="782" t="s">
        <v>9983</v>
      </c>
      <c r="E3881" s="22">
        <v>390000</v>
      </c>
      <c r="F3881" s="19"/>
      <c r="G3881" s="14">
        <f t="shared" si="68"/>
        <v>390000</v>
      </c>
      <c r="H3881" s="13"/>
    </row>
    <row r="3882" spans="1:8" x14ac:dyDescent="0.25">
      <c r="A3882" s="116">
        <v>45213</v>
      </c>
      <c r="B3882" s="21" t="s">
        <v>10683</v>
      </c>
      <c r="C3882" s="13" t="s">
        <v>5731</v>
      </c>
      <c r="D3882" s="782" t="s">
        <v>10070</v>
      </c>
      <c r="E3882" s="22">
        <v>93900</v>
      </c>
      <c r="F3882" s="19"/>
      <c r="G3882" s="14">
        <f t="shared" si="68"/>
        <v>93900</v>
      </c>
      <c r="H3882" s="13"/>
    </row>
    <row r="3883" spans="1:8" x14ac:dyDescent="0.25">
      <c r="A3883" s="116">
        <v>45213</v>
      </c>
      <c r="B3883" s="21" t="s">
        <v>8974</v>
      </c>
      <c r="C3883" s="13" t="s">
        <v>5731</v>
      </c>
      <c r="D3883" s="782" t="s">
        <v>8721</v>
      </c>
      <c r="E3883" s="22">
        <v>15600</v>
      </c>
      <c r="F3883" s="19"/>
      <c r="G3883" s="14">
        <f t="shared" si="68"/>
        <v>15600</v>
      </c>
      <c r="H3883" s="13"/>
    </row>
    <row r="3884" spans="1:8" x14ac:dyDescent="0.25">
      <c r="A3884" s="116">
        <v>45213</v>
      </c>
      <c r="B3884" s="21" t="s">
        <v>9463</v>
      </c>
      <c r="C3884" s="13" t="s">
        <v>5731</v>
      </c>
      <c r="D3884" s="782" t="s">
        <v>10071</v>
      </c>
      <c r="E3884" s="22">
        <v>529000</v>
      </c>
      <c r="F3884" s="19"/>
      <c r="G3884" s="14">
        <f t="shared" si="68"/>
        <v>529000</v>
      </c>
      <c r="H3884" s="13"/>
    </row>
    <row r="3885" spans="1:8" x14ac:dyDescent="0.25">
      <c r="A3885" s="116">
        <v>45213</v>
      </c>
      <c r="B3885" s="21" t="s">
        <v>10582</v>
      </c>
      <c r="C3885" s="13" t="s">
        <v>5731</v>
      </c>
      <c r="D3885" s="782" t="s">
        <v>10072</v>
      </c>
      <c r="E3885" s="22">
        <v>6000</v>
      </c>
      <c r="F3885" s="19"/>
      <c r="G3885" s="14">
        <f t="shared" si="68"/>
        <v>6000</v>
      </c>
      <c r="H3885" s="13"/>
    </row>
    <row r="3886" spans="1:8" x14ac:dyDescent="0.25">
      <c r="A3886" s="116">
        <v>45213</v>
      </c>
      <c r="B3886" s="21" t="s">
        <v>10342</v>
      </c>
      <c r="C3886" s="13" t="s">
        <v>5731</v>
      </c>
      <c r="D3886" s="782" t="s">
        <v>10073</v>
      </c>
      <c r="E3886" s="22">
        <v>72682</v>
      </c>
      <c r="F3886" s="19"/>
      <c r="G3886" s="14">
        <f t="shared" si="68"/>
        <v>72682</v>
      </c>
      <c r="H3886" s="13"/>
    </row>
    <row r="3887" spans="1:8" x14ac:dyDescent="0.25">
      <c r="A3887" s="116">
        <v>45213</v>
      </c>
      <c r="B3887" s="21" t="s">
        <v>10342</v>
      </c>
      <c r="C3887" s="13" t="s">
        <v>5731</v>
      </c>
      <c r="D3887" s="782" t="s">
        <v>10257</v>
      </c>
      <c r="E3887" s="22">
        <v>14170</v>
      </c>
      <c r="F3887" s="19"/>
      <c r="G3887" s="14">
        <f t="shared" si="68"/>
        <v>14170</v>
      </c>
      <c r="H3887" s="13"/>
    </row>
    <row r="3888" spans="1:8" x14ac:dyDescent="0.25">
      <c r="A3888" s="116">
        <v>45213</v>
      </c>
      <c r="B3888" s="21" t="s">
        <v>10688</v>
      </c>
      <c r="C3888" s="13" t="s">
        <v>8483</v>
      </c>
      <c r="D3888" s="782" t="s">
        <v>11493</v>
      </c>
      <c r="E3888" s="22">
        <v>102465</v>
      </c>
      <c r="F3888" s="19"/>
      <c r="G3888" s="14">
        <f t="shared" si="68"/>
        <v>102465</v>
      </c>
      <c r="H3888" s="13"/>
    </row>
    <row r="3889" spans="1:8" x14ac:dyDescent="0.25">
      <c r="A3889" s="116">
        <v>45213</v>
      </c>
      <c r="B3889" s="21" t="s">
        <v>10096</v>
      </c>
      <c r="C3889" s="13" t="s">
        <v>169</v>
      </c>
      <c r="D3889" s="782" t="s">
        <v>11494</v>
      </c>
      <c r="E3889" s="22">
        <v>206226</v>
      </c>
      <c r="F3889" s="19"/>
      <c r="G3889" s="14">
        <f t="shared" si="68"/>
        <v>206226</v>
      </c>
      <c r="H3889" s="13"/>
    </row>
    <row r="3890" spans="1:8" x14ac:dyDescent="0.25">
      <c r="A3890" s="116">
        <v>45213</v>
      </c>
      <c r="B3890" s="21" t="s">
        <v>10342</v>
      </c>
      <c r="C3890" s="13" t="s">
        <v>7538</v>
      </c>
      <c r="D3890" s="782" t="s">
        <v>11533</v>
      </c>
      <c r="E3890" s="22">
        <v>48000</v>
      </c>
      <c r="F3890" s="19"/>
      <c r="G3890" s="14">
        <f t="shared" si="68"/>
        <v>48000</v>
      </c>
      <c r="H3890" s="13"/>
    </row>
    <row r="3891" spans="1:8" x14ac:dyDescent="0.25">
      <c r="A3891" s="116">
        <v>45213</v>
      </c>
      <c r="B3891" s="21" t="s">
        <v>10688</v>
      </c>
      <c r="C3891" s="13" t="s">
        <v>7538</v>
      </c>
      <c r="D3891" s="782" t="s">
        <v>11534</v>
      </c>
      <c r="E3891" s="22">
        <v>374168</v>
      </c>
      <c r="F3891" s="19"/>
      <c r="G3891" s="14">
        <f t="shared" si="68"/>
        <v>374168</v>
      </c>
      <c r="H3891" s="13"/>
    </row>
    <row r="3892" spans="1:8" x14ac:dyDescent="0.25">
      <c r="A3892" s="116">
        <v>45213</v>
      </c>
      <c r="B3892" s="21" t="s">
        <v>10096</v>
      </c>
      <c r="C3892" s="13" t="s">
        <v>164</v>
      </c>
      <c r="D3892" s="782" t="s">
        <v>11328</v>
      </c>
      <c r="E3892" s="22">
        <v>29554</v>
      </c>
      <c r="F3892" s="19"/>
      <c r="G3892" s="14">
        <f t="shared" si="68"/>
        <v>29554</v>
      </c>
      <c r="H3892" s="13"/>
    </row>
    <row r="3893" spans="1:8" x14ac:dyDescent="0.25">
      <c r="A3893" s="116">
        <v>45215</v>
      </c>
      <c r="B3893" s="21" t="s">
        <v>10688</v>
      </c>
      <c r="C3893" s="13" t="s">
        <v>8170</v>
      </c>
      <c r="D3893" s="782"/>
      <c r="E3893" s="22"/>
      <c r="F3893" s="19">
        <v>1000000</v>
      </c>
      <c r="G3893" s="14">
        <f t="shared" si="68"/>
        <v>-1000000</v>
      </c>
      <c r="H3893" s="13" t="s">
        <v>11500</v>
      </c>
    </row>
    <row r="3894" spans="1:8" x14ac:dyDescent="0.25">
      <c r="A3894" s="116">
        <v>45216</v>
      </c>
      <c r="B3894" s="21" t="s">
        <v>10261</v>
      </c>
      <c r="C3894" s="13" t="s">
        <v>8483</v>
      </c>
      <c r="D3894" s="782"/>
      <c r="E3894" s="22"/>
      <c r="F3894" s="19">
        <v>75140</v>
      </c>
      <c r="G3894" s="14">
        <f t="shared" si="68"/>
        <v>-75140</v>
      </c>
      <c r="H3894" s="1153" t="s">
        <v>11517</v>
      </c>
    </row>
    <row r="3895" spans="1:8" x14ac:dyDescent="0.25">
      <c r="A3895" s="116">
        <v>45216</v>
      </c>
      <c r="B3895" s="21" t="s">
        <v>9463</v>
      </c>
      <c r="C3895" s="13" t="s">
        <v>8483</v>
      </c>
      <c r="D3895" s="782"/>
      <c r="E3895" s="22"/>
      <c r="F3895" s="19">
        <v>3763</v>
      </c>
      <c r="G3895" s="14">
        <f t="shared" ref="G3895:G3983" si="69">E3895-F3895</f>
        <v>-3763</v>
      </c>
      <c r="H3895" s="1154"/>
    </row>
    <row r="3896" spans="1:8" x14ac:dyDescent="0.25">
      <c r="A3896" s="116">
        <v>45216</v>
      </c>
      <c r="B3896" s="21" t="s">
        <v>10490</v>
      </c>
      <c r="C3896" s="13" t="s">
        <v>8483</v>
      </c>
      <c r="D3896" s="782"/>
      <c r="E3896" s="22"/>
      <c r="F3896" s="19">
        <v>17368</v>
      </c>
      <c r="G3896" s="14">
        <f t="shared" si="69"/>
        <v>-17368</v>
      </c>
      <c r="H3896" s="1154"/>
    </row>
    <row r="3897" spans="1:8" x14ac:dyDescent="0.25">
      <c r="A3897" s="116">
        <v>45216</v>
      </c>
      <c r="B3897" s="21" t="s">
        <v>11193</v>
      </c>
      <c r="C3897" s="13" t="s">
        <v>8483</v>
      </c>
      <c r="D3897" s="782"/>
      <c r="E3897" s="22"/>
      <c r="F3897" s="19">
        <v>194858</v>
      </c>
      <c r="G3897" s="14">
        <f t="shared" si="69"/>
        <v>-194858</v>
      </c>
      <c r="H3897" s="1154"/>
    </row>
    <row r="3898" spans="1:8" x14ac:dyDescent="0.25">
      <c r="A3898" s="116">
        <v>45216</v>
      </c>
      <c r="B3898" s="21" t="s">
        <v>10342</v>
      </c>
      <c r="C3898" s="13" t="s">
        <v>8483</v>
      </c>
      <c r="D3898" s="782"/>
      <c r="E3898" s="22"/>
      <c r="F3898" s="19">
        <v>650000</v>
      </c>
      <c r="G3898" s="14">
        <f t="shared" si="69"/>
        <v>-650000</v>
      </c>
      <c r="H3898" s="1154"/>
    </row>
    <row r="3899" spans="1:8" x14ac:dyDescent="0.25">
      <c r="A3899" s="116">
        <v>45216</v>
      </c>
      <c r="B3899" s="21" t="s">
        <v>11023</v>
      </c>
      <c r="C3899" s="13" t="s">
        <v>8483</v>
      </c>
      <c r="D3899" s="782"/>
      <c r="E3899" s="22"/>
      <c r="F3899" s="19">
        <v>308871</v>
      </c>
      <c r="G3899" s="14">
        <f t="shared" si="69"/>
        <v>-308871</v>
      </c>
      <c r="H3899" s="1154"/>
    </row>
    <row r="3900" spans="1:8" x14ac:dyDescent="0.25">
      <c r="A3900" s="116">
        <v>45216</v>
      </c>
      <c r="B3900" s="21" t="s">
        <v>10688</v>
      </c>
      <c r="C3900" s="13" t="s">
        <v>8483</v>
      </c>
      <c r="D3900" s="782"/>
      <c r="E3900" s="22"/>
      <c r="F3900" s="19">
        <v>250000</v>
      </c>
      <c r="G3900" s="14">
        <f t="shared" si="69"/>
        <v>-250000</v>
      </c>
      <c r="H3900" s="1155"/>
    </row>
    <row r="3901" spans="1:8" x14ac:dyDescent="0.25">
      <c r="A3901" s="116">
        <v>45216</v>
      </c>
      <c r="B3901" s="21" t="s">
        <v>10688</v>
      </c>
      <c r="C3901" s="13" t="s">
        <v>169</v>
      </c>
      <c r="D3901" s="782" t="s">
        <v>11538</v>
      </c>
      <c r="E3901" s="22">
        <v>161000</v>
      </c>
      <c r="F3901" s="19"/>
      <c r="G3901" s="14">
        <f t="shared" si="69"/>
        <v>161000</v>
      </c>
      <c r="H3901" s="972"/>
    </row>
    <row r="3902" spans="1:8" x14ac:dyDescent="0.25">
      <c r="A3902" s="116">
        <v>45216</v>
      </c>
      <c r="B3902" s="21" t="s">
        <v>10096</v>
      </c>
      <c r="C3902" s="13" t="s">
        <v>166</v>
      </c>
      <c r="D3902" s="782" t="s">
        <v>8493</v>
      </c>
      <c r="E3902" s="22">
        <v>23330</v>
      </c>
      <c r="F3902" s="19"/>
      <c r="G3902" s="14">
        <f t="shared" si="69"/>
        <v>23330</v>
      </c>
      <c r="H3902" s="972"/>
    </row>
    <row r="3903" spans="1:8" x14ac:dyDescent="0.25">
      <c r="A3903" s="116">
        <v>45217</v>
      </c>
      <c r="B3903" s="21" t="s">
        <v>9877</v>
      </c>
      <c r="C3903" s="13" t="s">
        <v>9006</v>
      </c>
      <c r="D3903" s="782"/>
      <c r="E3903" s="22"/>
      <c r="F3903" s="19">
        <v>200000</v>
      </c>
      <c r="G3903" s="14">
        <f t="shared" si="69"/>
        <v>-200000</v>
      </c>
      <c r="H3903" s="13" t="s">
        <v>11519</v>
      </c>
    </row>
    <row r="3904" spans="1:8" x14ac:dyDescent="0.25">
      <c r="A3904" s="116">
        <v>45217</v>
      </c>
      <c r="B3904" s="21" t="s">
        <v>10342</v>
      </c>
      <c r="C3904" s="13" t="s">
        <v>7538</v>
      </c>
      <c r="D3904" s="782" t="s">
        <v>11535</v>
      </c>
      <c r="E3904" s="22">
        <v>374168</v>
      </c>
      <c r="F3904" s="19"/>
      <c r="G3904" s="14">
        <f t="shared" si="69"/>
        <v>374168</v>
      </c>
      <c r="H3904" s="13"/>
    </row>
    <row r="3905" spans="1:8" x14ac:dyDescent="0.25">
      <c r="A3905" s="116">
        <v>45217</v>
      </c>
      <c r="B3905" s="21" t="s">
        <v>10688</v>
      </c>
      <c r="C3905" s="13" t="s">
        <v>7538</v>
      </c>
      <c r="D3905" s="782" t="s">
        <v>11536</v>
      </c>
      <c r="E3905" s="22">
        <v>374168</v>
      </c>
      <c r="F3905" s="19"/>
      <c r="G3905" s="14">
        <f t="shared" si="69"/>
        <v>374168</v>
      </c>
      <c r="H3905" s="13"/>
    </row>
    <row r="3906" spans="1:8" x14ac:dyDescent="0.25">
      <c r="A3906" s="116">
        <v>45217</v>
      </c>
      <c r="B3906" s="21" t="s">
        <v>10077</v>
      </c>
      <c r="C3906" s="13" t="s">
        <v>164</v>
      </c>
      <c r="D3906" s="782" t="s">
        <v>11346</v>
      </c>
      <c r="E3906" s="22">
        <v>5520</v>
      </c>
      <c r="F3906" s="19"/>
      <c r="G3906" s="14">
        <f t="shared" si="69"/>
        <v>5520</v>
      </c>
      <c r="H3906" s="13"/>
    </row>
    <row r="3907" spans="1:8" x14ac:dyDescent="0.25">
      <c r="A3907" s="116">
        <v>45219</v>
      </c>
      <c r="B3907" s="21" t="s">
        <v>10096</v>
      </c>
      <c r="C3907" s="13" t="s">
        <v>166</v>
      </c>
      <c r="D3907" s="782" t="s">
        <v>11539</v>
      </c>
      <c r="E3907" s="22">
        <v>18575</v>
      </c>
      <c r="F3907" s="19"/>
      <c r="G3907" s="14">
        <f t="shared" si="69"/>
        <v>18575</v>
      </c>
      <c r="H3907" s="13"/>
    </row>
    <row r="3908" spans="1:8" x14ac:dyDescent="0.25">
      <c r="A3908" s="116">
        <v>45219</v>
      </c>
      <c r="B3908" s="21" t="s">
        <v>10342</v>
      </c>
      <c r="C3908" s="13" t="s">
        <v>8483</v>
      </c>
      <c r="D3908" s="782" t="s">
        <v>11566</v>
      </c>
      <c r="E3908" s="22">
        <v>306092</v>
      </c>
      <c r="F3908" s="19"/>
      <c r="G3908" s="14">
        <f t="shared" si="69"/>
        <v>306092</v>
      </c>
      <c r="H3908" s="13"/>
    </row>
    <row r="3909" spans="1:8" x14ac:dyDescent="0.25">
      <c r="A3909" s="116">
        <v>45219</v>
      </c>
      <c r="B3909" s="21" t="s">
        <v>10096</v>
      </c>
      <c r="C3909" s="13" t="s">
        <v>166</v>
      </c>
      <c r="D3909" s="782" t="s">
        <v>11917</v>
      </c>
      <c r="E3909" s="22">
        <v>11875</v>
      </c>
      <c r="F3909" s="19"/>
      <c r="G3909" s="14">
        <f t="shared" si="69"/>
        <v>11875</v>
      </c>
      <c r="H3909" s="13"/>
    </row>
    <row r="3910" spans="1:8" x14ac:dyDescent="0.25">
      <c r="A3910" s="116">
        <v>45220</v>
      </c>
      <c r="B3910" s="21" t="s">
        <v>11023</v>
      </c>
      <c r="C3910" s="13" t="s">
        <v>7309</v>
      </c>
      <c r="D3910" s="782"/>
      <c r="E3910" s="22"/>
      <c r="F3910" s="19">
        <v>324000</v>
      </c>
      <c r="G3910" s="14">
        <f t="shared" si="69"/>
        <v>-324000</v>
      </c>
      <c r="H3910" s="13" t="s">
        <v>11558</v>
      </c>
    </row>
    <row r="3911" spans="1:8" x14ac:dyDescent="0.25">
      <c r="A3911" s="116">
        <v>45220</v>
      </c>
      <c r="B3911" s="21" t="s">
        <v>11023</v>
      </c>
      <c r="C3911" s="13" t="s">
        <v>8483</v>
      </c>
      <c r="D3911" s="782" t="s">
        <v>11567</v>
      </c>
      <c r="E3911" s="22">
        <v>120971</v>
      </c>
      <c r="F3911" s="19"/>
      <c r="G3911" s="14">
        <f t="shared" si="69"/>
        <v>120971</v>
      </c>
    </row>
    <row r="3912" spans="1:8" x14ac:dyDescent="0.25">
      <c r="A3912" s="116">
        <v>45220</v>
      </c>
      <c r="B3912" s="21" t="s">
        <v>11568</v>
      </c>
      <c r="C3912" s="13" t="s">
        <v>8483</v>
      </c>
      <c r="D3912" s="1152" t="s">
        <v>11569</v>
      </c>
      <c r="E3912" s="22">
        <v>20103</v>
      </c>
      <c r="F3912" s="19"/>
      <c r="G3912" s="14">
        <f t="shared" si="69"/>
        <v>20103</v>
      </c>
      <c r="H3912" s="13"/>
    </row>
    <row r="3913" spans="1:8" x14ac:dyDescent="0.25">
      <c r="A3913" s="116">
        <v>45220</v>
      </c>
      <c r="B3913" s="21" t="s">
        <v>11319</v>
      </c>
      <c r="C3913" s="13" t="s">
        <v>8483</v>
      </c>
      <c r="D3913" s="1152"/>
      <c r="E3913" s="22">
        <v>4390</v>
      </c>
      <c r="F3913" s="19"/>
      <c r="G3913" s="14">
        <f t="shared" si="69"/>
        <v>4390</v>
      </c>
      <c r="H3913" s="13"/>
    </row>
    <row r="3914" spans="1:8" x14ac:dyDescent="0.25">
      <c r="A3914" s="116">
        <v>45220</v>
      </c>
      <c r="B3914" s="21" t="s">
        <v>10688</v>
      </c>
      <c r="C3914" s="13" t="s">
        <v>8483</v>
      </c>
      <c r="D3914" s="782" t="s">
        <v>11616</v>
      </c>
      <c r="E3914" s="22">
        <v>294107</v>
      </c>
      <c r="F3914" s="19"/>
      <c r="G3914" s="14">
        <f t="shared" si="69"/>
        <v>294107</v>
      </c>
      <c r="H3914" s="13"/>
    </row>
    <row r="3915" spans="1:8" x14ac:dyDescent="0.25">
      <c r="A3915" s="116">
        <v>45220</v>
      </c>
      <c r="B3915" s="21" t="s">
        <v>10342</v>
      </c>
      <c r="C3915" s="13" t="s">
        <v>168</v>
      </c>
      <c r="D3915" s="782" t="s">
        <v>11601</v>
      </c>
      <c r="E3915" s="22">
        <v>90200</v>
      </c>
      <c r="F3915" s="19"/>
      <c r="G3915" s="14">
        <f t="shared" si="69"/>
        <v>90200</v>
      </c>
      <c r="H3915" s="13"/>
    </row>
    <row r="3916" spans="1:8" x14ac:dyDescent="0.25">
      <c r="A3916" s="116">
        <v>45220</v>
      </c>
      <c r="B3916" s="21" t="s">
        <v>11023</v>
      </c>
      <c r="C3916" s="13" t="s">
        <v>180</v>
      </c>
      <c r="D3916" s="782" t="s">
        <v>11610</v>
      </c>
      <c r="E3916" s="22">
        <v>148500</v>
      </c>
      <c r="F3916" s="19"/>
      <c r="G3916" s="14">
        <f t="shared" si="69"/>
        <v>148500</v>
      </c>
      <c r="H3916" s="13"/>
    </row>
    <row r="3917" spans="1:8" x14ac:dyDescent="0.25">
      <c r="A3917" s="116">
        <v>45220</v>
      </c>
      <c r="B3917" s="21" t="s">
        <v>10342</v>
      </c>
      <c r="C3917" s="13" t="s">
        <v>180</v>
      </c>
      <c r="D3917" s="782" t="s">
        <v>11611</v>
      </c>
      <c r="E3917" s="22">
        <v>89600</v>
      </c>
      <c r="F3917" s="19"/>
      <c r="G3917" s="14">
        <f t="shared" si="69"/>
        <v>89600</v>
      </c>
      <c r="H3917" s="13"/>
    </row>
    <row r="3918" spans="1:8" x14ac:dyDescent="0.25">
      <c r="A3918" s="116">
        <v>45223</v>
      </c>
      <c r="B3918" s="21" t="s">
        <v>11568</v>
      </c>
      <c r="C3918" s="13" t="s">
        <v>8483</v>
      </c>
      <c r="D3918" s="782" t="s">
        <v>11617</v>
      </c>
      <c r="E3918" s="22">
        <v>186677</v>
      </c>
      <c r="F3918" s="19"/>
      <c r="G3918" s="14">
        <f t="shared" si="69"/>
        <v>186677</v>
      </c>
      <c r="H3918" s="13"/>
    </row>
    <row r="3919" spans="1:8" x14ac:dyDescent="0.25">
      <c r="A3919" s="116">
        <v>45223</v>
      </c>
      <c r="B3919" s="21" t="s">
        <v>10582</v>
      </c>
      <c r="C3919" s="13" t="s">
        <v>168</v>
      </c>
      <c r="D3919" s="782" t="s">
        <v>11602</v>
      </c>
      <c r="E3919" s="22">
        <v>55094</v>
      </c>
      <c r="F3919" s="19"/>
      <c r="G3919" s="14">
        <f t="shared" si="69"/>
        <v>55094</v>
      </c>
      <c r="H3919" s="13"/>
    </row>
    <row r="3920" spans="1:8" x14ac:dyDescent="0.25">
      <c r="A3920" s="116">
        <v>45223</v>
      </c>
      <c r="B3920" s="21" t="s">
        <v>11023</v>
      </c>
      <c r="C3920" s="13" t="s">
        <v>12082</v>
      </c>
      <c r="D3920" s="782" t="s">
        <v>11603</v>
      </c>
      <c r="E3920" s="22">
        <v>602000</v>
      </c>
      <c r="F3920" s="19"/>
      <c r="G3920" s="14">
        <f t="shared" si="69"/>
        <v>602000</v>
      </c>
      <c r="H3920" s="13" t="s">
        <v>11604</v>
      </c>
    </row>
    <row r="3921" spans="1:8" x14ac:dyDescent="0.25">
      <c r="A3921" s="116">
        <v>45223</v>
      </c>
      <c r="B3921" s="21" t="s">
        <v>10096</v>
      </c>
      <c r="C3921" s="13" t="s">
        <v>166</v>
      </c>
      <c r="D3921" s="782" t="s">
        <v>11605</v>
      </c>
      <c r="E3921" s="22">
        <v>20485</v>
      </c>
      <c r="F3921" s="19"/>
      <c r="G3921" s="14">
        <f t="shared" si="69"/>
        <v>20485</v>
      </c>
      <c r="H3921" s="13"/>
    </row>
    <row r="3922" spans="1:8" x14ac:dyDescent="0.25">
      <c r="A3922" s="116">
        <v>45224</v>
      </c>
      <c r="B3922" s="21" t="s">
        <v>11568</v>
      </c>
      <c r="C3922" s="13" t="s">
        <v>166</v>
      </c>
      <c r="D3922" s="782" t="s">
        <v>11606</v>
      </c>
      <c r="E3922" s="22">
        <v>101145</v>
      </c>
      <c r="F3922" s="19"/>
      <c r="G3922" s="14">
        <f t="shared" si="69"/>
        <v>101145</v>
      </c>
      <c r="H3922" s="13"/>
    </row>
    <row r="3923" spans="1:8" x14ac:dyDescent="0.25">
      <c r="A3923" s="116">
        <v>45224</v>
      </c>
      <c r="B3923" s="21" t="s">
        <v>10683</v>
      </c>
      <c r="C3923" s="13" t="s">
        <v>168</v>
      </c>
      <c r="D3923" s="782" t="s">
        <v>11712</v>
      </c>
      <c r="E3923" s="22">
        <v>55000</v>
      </c>
      <c r="F3923" s="19"/>
      <c r="G3923" s="14">
        <f t="shared" si="69"/>
        <v>55000</v>
      </c>
      <c r="H3923" s="13" t="s">
        <v>11713</v>
      </c>
    </row>
    <row r="3924" spans="1:8" x14ac:dyDescent="0.25">
      <c r="A3924" s="116">
        <v>45225</v>
      </c>
      <c r="B3924" s="21" t="s">
        <v>11568</v>
      </c>
      <c r="C3924" s="13" t="s">
        <v>8483</v>
      </c>
      <c r="D3924" s="782" t="s">
        <v>11618</v>
      </c>
      <c r="E3924" s="22">
        <v>251153</v>
      </c>
      <c r="F3924" s="19"/>
      <c r="G3924" s="14">
        <f t="shared" si="69"/>
        <v>251153</v>
      </c>
      <c r="H3924" s="13"/>
    </row>
    <row r="3925" spans="1:8" x14ac:dyDescent="0.25">
      <c r="A3925" s="116">
        <v>45225</v>
      </c>
      <c r="B3925" s="21" t="s">
        <v>10406</v>
      </c>
      <c r="C3925" s="13" t="s">
        <v>8483</v>
      </c>
      <c r="D3925" s="782" t="s">
        <v>11619</v>
      </c>
      <c r="E3925" s="22">
        <v>25780</v>
      </c>
      <c r="F3925" s="19"/>
      <c r="G3925" s="14">
        <f t="shared" si="69"/>
        <v>25780</v>
      </c>
      <c r="H3925" s="13"/>
    </row>
    <row r="3926" spans="1:8" x14ac:dyDescent="0.25">
      <c r="A3926" s="116">
        <v>45225</v>
      </c>
      <c r="B3926" s="21" t="s">
        <v>10582</v>
      </c>
      <c r="C3926" s="13" t="s">
        <v>166</v>
      </c>
      <c r="D3926" s="782" t="s">
        <v>11607</v>
      </c>
      <c r="E3926" s="22">
        <v>18060</v>
      </c>
      <c r="F3926" s="19"/>
      <c r="G3926" s="14">
        <f t="shared" si="69"/>
        <v>18060</v>
      </c>
      <c r="H3926" s="13"/>
    </row>
    <row r="3927" spans="1:8" x14ac:dyDescent="0.25">
      <c r="A3927" s="116">
        <v>45225</v>
      </c>
      <c r="B3927" s="21" t="s">
        <v>10342</v>
      </c>
      <c r="C3927" s="13" t="s">
        <v>166</v>
      </c>
      <c r="D3927" s="782" t="s">
        <v>11608</v>
      </c>
      <c r="E3927" s="22">
        <v>15980</v>
      </c>
      <c r="F3927" s="19"/>
      <c r="G3927" s="14">
        <f t="shared" si="69"/>
        <v>15980</v>
      </c>
      <c r="H3927" s="13"/>
    </row>
    <row r="3928" spans="1:8" x14ac:dyDescent="0.25">
      <c r="A3928" s="116">
        <v>45225</v>
      </c>
      <c r="B3928" s="21" t="s">
        <v>10582</v>
      </c>
      <c r="C3928" s="13" t="s">
        <v>166</v>
      </c>
      <c r="D3928" s="782" t="s">
        <v>11609</v>
      </c>
      <c r="E3928" s="22">
        <v>8670</v>
      </c>
      <c r="F3928" s="19"/>
      <c r="G3928" s="14">
        <f t="shared" si="69"/>
        <v>8670</v>
      </c>
      <c r="H3928" s="13"/>
    </row>
    <row r="3929" spans="1:8" x14ac:dyDescent="0.25">
      <c r="A3929" s="116">
        <v>45225</v>
      </c>
      <c r="B3929" s="21" t="s">
        <v>10342</v>
      </c>
      <c r="C3929" s="13" t="s">
        <v>164</v>
      </c>
      <c r="D3929" s="782" t="s">
        <v>11614</v>
      </c>
      <c r="E3929" s="22">
        <v>7240</v>
      </c>
      <c r="F3929" s="19"/>
      <c r="G3929" s="14">
        <f t="shared" si="69"/>
        <v>7240</v>
      </c>
      <c r="H3929" s="13"/>
    </row>
    <row r="3930" spans="1:8" x14ac:dyDescent="0.25">
      <c r="A3930" s="116">
        <v>45226</v>
      </c>
      <c r="B3930" s="21" t="s">
        <v>10688</v>
      </c>
      <c r="C3930" s="13" t="s">
        <v>8483</v>
      </c>
      <c r="D3930" s="782" t="s">
        <v>11620</v>
      </c>
      <c r="E3930" s="22">
        <v>82305</v>
      </c>
      <c r="F3930" s="19"/>
      <c r="G3930" s="14">
        <f t="shared" si="69"/>
        <v>82305</v>
      </c>
      <c r="H3930" s="13"/>
    </row>
    <row r="3931" spans="1:8" x14ac:dyDescent="0.25">
      <c r="A3931" s="116">
        <v>45226</v>
      </c>
      <c r="B3931" s="21" t="s">
        <v>11023</v>
      </c>
      <c r="C3931" s="13" t="s">
        <v>8483</v>
      </c>
      <c r="D3931" s="782" t="s">
        <v>11621</v>
      </c>
      <c r="E3931" s="22">
        <v>43922</v>
      </c>
      <c r="F3931" s="19"/>
      <c r="G3931" s="14">
        <f t="shared" si="69"/>
        <v>43922</v>
      </c>
      <c r="H3931" s="13"/>
    </row>
    <row r="3932" spans="1:8" x14ac:dyDescent="0.25">
      <c r="A3932" s="116">
        <v>45227</v>
      </c>
      <c r="B3932" s="21" t="s">
        <v>11568</v>
      </c>
      <c r="C3932" s="13" t="s">
        <v>164</v>
      </c>
      <c r="D3932" s="782" t="s">
        <v>11615</v>
      </c>
      <c r="E3932" s="22">
        <v>40947</v>
      </c>
      <c r="F3932" s="22"/>
      <c r="G3932" s="14">
        <f t="shared" si="69"/>
        <v>40947</v>
      </c>
      <c r="H3932" s="13"/>
    </row>
    <row r="3933" spans="1:8" x14ac:dyDescent="0.25">
      <c r="A3933" s="116">
        <v>45227</v>
      </c>
      <c r="B3933" s="21" t="s">
        <v>10490</v>
      </c>
      <c r="C3933" s="13" t="s">
        <v>5731</v>
      </c>
      <c r="D3933" s="782"/>
      <c r="E3933" s="22"/>
      <c r="F3933" s="19">
        <v>200000</v>
      </c>
      <c r="G3933" s="14">
        <f t="shared" si="69"/>
        <v>-200000</v>
      </c>
      <c r="H3933" s="13" t="s">
        <v>11622</v>
      </c>
    </row>
    <row r="3934" spans="1:8" x14ac:dyDescent="0.25">
      <c r="A3934" s="116">
        <v>45227</v>
      </c>
      <c r="B3934" s="21" t="s">
        <v>10261</v>
      </c>
      <c r="C3934" s="13" t="s">
        <v>5731</v>
      </c>
      <c r="D3934" s="782"/>
      <c r="E3934" s="22"/>
      <c r="F3934" s="19">
        <v>9400</v>
      </c>
      <c r="G3934" s="14">
        <f t="shared" si="69"/>
        <v>-9400</v>
      </c>
      <c r="H3934" s="13" t="s">
        <v>11492</v>
      </c>
    </row>
    <row r="3935" spans="1:8" x14ac:dyDescent="0.25">
      <c r="A3935" s="116">
        <v>45227</v>
      </c>
      <c r="B3935" s="21" t="s">
        <v>9877</v>
      </c>
      <c r="C3935" s="13" t="s">
        <v>5731</v>
      </c>
      <c r="D3935" s="782"/>
      <c r="E3935" s="22"/>
      <c r="F3935" s="19">
        <v>57000</v>
      </c>
      <c r="G3935" s="14">
        <f t="shared" si="69"/>
        <v>-57000</v>
      </c>
      <c r="H3935" s="13" t="s">
        <v>11492</v>
      </c>
    </row>
    <row r="3936" spans="1:8" x14ac:dyDescent="0.25">
      <c r="A3936" s="116">
        <v>45227</v>
      </c>
      <c r="B3936" s="21" t="s">
        <v>10582</v>
      </c>
      <c r="C3936" s="13" t="s">
        <v>5731</v>
      </c>
      <c r="D3936" s="782"/>
      <c r="E3936" s="22"/>
      <c r="F3936" s="19">
        <v>1500</v>
      </c>
      <c r="G3936" s="14">
        <f t="shared" si="69"/>
        <v>-1500</v>
      </c>
      <c r="H3936" s="13" t="s">
        <v>11492</v>
      </c>
    </row>
    <row r="3937" spans="1:8" x14ac:dyDescent="0.25">
      <c r="A3937" s="116">
        <v>45229</v>
      </c>
      <c r="B3937" s="21" t="s">
        <v>10342</v>
      </c>
      <c r="C3937" s="13" t="s">
        <v>7538</v>
      </c>
      <c r="D3937" s="782" t="s">
        <v>11695</v>
      </c>
      <c r="E3937" s="22">
        <v>437436</v>
      </c>
      <c r="F3937" s="19"/>
      <c r="G3937" s="14">
        <f t="shared" si="69"/>
        <v>437436</v>
      </c>
      <c r="H3937" s="13"/>
    </row>
    <row r="3938" spans="1:8" x14ac:dyDescent="0.25">
      <c r="A3938" s="116">
        <v>45229</v>
      </c>
      <c r="B3938" s="21" t="s">
        <v>11568</v>
      </c>
      <c r="C3938" s="13" t="s">
        <v>8483</v>
      </c>
      <c r="D3938" s="782" t="s">
        <v>11710</v>
      </c>
      <c r="E3938" s="22">
        <v>83101</v>
      </c>
      <c r="F3938" s="19"/>
      <c r="G3938" s="14">
        <f t="shared" si="69"/>
        <v>83101</v>
      </c>
      <c r="H3938" s="13"/>
    </row>
    <row r="3939" spans="1:8" x14ac:dyDescent="0.25">
      <c r="A3939" s="116">
        <v>45230</v>
      </c>
      <c r="B3939" s="21" t="s">
        <v>11193</v>
      </c>
      <c r="C3939" s="13" t="s">
        <v>7538</v>
      </c>
      <c r="D3939" s="782" t="s">
        <v>11696</v>
      </c>
      <c r="E3939" s="22">
        <v>43900</v>
      </c>
      <c r="F3939" s="19"/>
      <c r="G3939" s="14">
        <f t="shared" si="69"/>
        <v>43900</v>
      </c>
      <c r="H3939" s="13"/>
    </row>
    <row r="3940" spans="1:8" x14ac:dyDescent="0.25">
      <c r="A3940" s="116">
        <v>45230</v>
      </c>
      <c r="B3940" s="21" t="s">
        <v>10342</v>
      </c>
      <c r="C3940" s="13" t="s">
        <v>8483</v>
      </c>
      <c r="D3940" s="782" t="s">
        <v>11711</v>
      </c>
      <c r="E3940" s="22">
        <v>48244</v>
      </c>
      <c r="F3940" s="19"/>
      <c r="G3940" s="14">
        <f t="shared" si="69"/>
        <v>48244</v>
      </c>
      <c r="H3940" s="13"/>
    </row>
    <row r="3941" spans="1:8" x14ac:dyDescent="0.25">
      <c r="A3941" s="116">
        <v>45230</v>
      </c>
      <c r="B3941" s="21" t="s">
        <v>10096</v>
      </c>
      <c r="C3941" s="13" t="s">
        <v>166</v>
      </c>
      <c r="D3941" s="782" t="s">
        <v>11909</v>
      </c>
      <c r="E3941" s="22">
        <v>13200</v>
      </c>
      <c r="F3941" s="19"/>
      <c r="G3941" s="14">
        <f t="shared" si="69"/>
        <v>13200</v>
      </c>
      <c r="H3941" s="13"/>
    </row>
    <row r="3942" spans="1:8" x14ac:dyDescent="0.25">
      <c r="A3942" s="116">
        <v>45231</v>
      </c>
      <c r="B3942" s="21" t="s">
        <v>9463</v>
      </c>
      <c r="C3942" s="13" t="s">
        <v>7538</v>
      </c>
      <c r="D3942" s="782"/>
      <c r="E3942" s="22"/>
      <c r="F3942" s="19">
        <v>350000</v>
      </c>
      <c r="G3942" s="14">
        <f t="shared" si="69"/>
        <v>-350000</v>
      </c>
      <c r="H3942" s="13" t="s">
        <v>11662</v>
      </c>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10688</v>
      </c>
      <c r="C3944" s="13" t="s">
        <v>7538</v>
      </c>
      <c r="D3944" s="782" t="s">
        <v>11698</v>
      </c>
      <c r="E3944" s="22">
        <v>168867</v>
      </c>
      <c r="F3944" s="19"/>
      <c r="G3944" s="14">
        <f t="shared" si="69"/>
        <v>168867</v>
      </c>
      <c r="H3944" s="13"/>
    </row>
    <row r="3945" spans="1:8" x14ac:dyDescent="0.25">
      <c r="A3945" s="116">
        <v>45231</v>
      </c>
      <c r="B3945" s="21" t="s">
        <v>10077</v>
      </c>
      <c r="C3945" s="13" t="s">
        <v>164</v>
      </c>
      <c r="D3945" s="782" t="s">
        <v>11714</v>
      </c>
      <c r="E3945" s="22">
        <v>3140</v>
      </c>
      <c r="F3945" s="113"/>
      <c r="G3945" s="14">
        <f t="shared" si="69"/>
        <v>3140</v>
      </c>
      <c r="H3945" s="13"/>
    </row>
    <row r="3946" spans="1:8" x14ac:dyDescent="0.25">
      <c r="A3946" s="116">
        <v>45232</v>
      </c>
      <c r="B3946" s="21" t="s">
        <v>11193</v>
      </c>
      <c r="C3946" s="13" t="s">
        <v>8483</v>
      </c>
      <c r="D3946" s="782" t="s">
        <v>11776</v>
      </c>
      <c r="E3946" s="22">
        <v>75122</v>
      </c>
      <c r="F3946" s="113"/>
      <c r="G3946" s="14">
        <f t="shared" si="69"/>
        <v>75122</v>
      </c>
      <c r="H3946" s="13"/>
    </row>
    <row r="3947" spans="1:8" ht="16.5" thickBot="1" x14ac:dyDescent="0.3">
      <c r="A3947" s="116">
        <v>45233</v>
      </c>
      <c r="B3947" s="21" t="s">
        <v>9463</v>
      </c>
      <c r="C3947" s="13" t="s">
        <v>7538</v>
      </c>
      <c r="D3947" s="782"/>
      <c r="E3947" s="22"/>
      <c r="F3947" s="113">
        <v>350000</v>
      </c>
      <c r="G3947" s="14">
        <f t="shared" si="69"/>
        <v>-350000</v>
      </c>
      <c r="H3947" s="13" t="s">
        <v>11669</v>
      </c>
    </row>
    <row r="3948" spans="1:8" x14ac:dyDescent="0.25">
      <c r="A3948" s="116">
        <v>45233</v>
      </c>
      <c r="B3948" s="21" t="s">
        <v>9463</v>
      </c>
      <c r="C3948" s="13" t="s">
        <v>7538</v>
      </c>
      <c r="D3948" s="782"/>
      <c r="E3948" s="799"/>
      <c r="F3948" s="801">
        <f>350000-F3949</f>
        <v>176319</v>
      </c>
      <c r="G3948" s="800">
        <f t="shared" si="69"/>
        <v>-176319</v>
      </c>
      <c r="H3948" s="1139" t="s">
        <v>11700</v>
      </c>
    </row>
    <row r="3949" spans="1:8" ht="16.5" thickBot="1" x14ac:dyDescent="0.3">
      <c r="A3949" s="116">
        <v>45233</v>
      </c>
      <c r="B3949" s="21" t="s">
        <v>11193</v>
      </c>
      <c r="C3949" s="13" t="s">
        <v>7538</v>
      </c>
      <c r="D3949" s="782"/>
      <c r="E3949" s="799"/>
      <c r="F3949" s="802">
        <v>173681</v>
      </c>
      <c r="G3949" s="800">
        <f t="shared" si="69"/>
        <v>-173681</v>
      </c>
      <c r="H3949" s="1140"/>
    </row>
    <row r="3950" spans="1:8" x14ac:dyDescent="0.25">
      <c r="A3950" s="116">
        <v>45233</v>
      </c>
      <c r="B3950" s="21" t="s">
        <v>10688</v>
      </c>
      <c r="C3950" s="13" t="s">
        <v>9186</v>
      </c>
      <c r="D3950" s="782"/>
      <c r="E3950" s="22"/>
      <c r="F3950" s="115">
        <v>400000</v>
      </c>
      <c r="G3950" s="14">
        <f t="shared" si="69"/>
        <v>-400000</v>
      </c>
      <c r="H3950" s="13" t="s">
        <v>11671</v>
      </c>
    </row>
    <row r="3951" spans="1:8" x14ac:dyDescent="0.25">
      <c r="A3951" s="116">
        <v>45233</v>
      </c>
      <c r="B3951" s="21" t="s">
        <v>10688</v>
      </c>
      <c r="C3951" s="13" t="s">
        <v>9186</v>
      </c>
      <c r="D3951" s="782"/>
      <c r="E3951" s="22"/>
      <c r="F3951" s="19">
        <v>485000</v>
      </c>
      <c r="G3951" s="14">
        <f t="shared" si="69"/>
        <v>-485000</v>
      </c>
      <c r="H3951" s="13" t="s">
        <v>11672</v>
      </c>
    </row>
    <row r="3952" spans="1:8" x14ac:dyDescent="0.25">
      <c r="A3952" s="116">
        <v>45233</v>
      </c>
      <c r="B3952" s="21" t="s">
        <v>10688</v>
      </c>
      <c r="C3952" s="13" t="s">
        <v>7538</v>
      </c>
      <c r="D3952" s="782" t="s">
        <v>11699</v>
      </c>
      <c r="E3952" s="22">
        <v>224668</v>
      </c>
      <c r="F3952" s="19"/>
      <c r="G3952" s="14">
        <f t="shared" si="69"/>
        <v>224668</v>
      </c>
      <c r="H3952" s="13"/>
    </row>
    <row r="3953" spans="1:8" x14ac:dyDescent="0.25">
      <c r="A3953" s="116">
        <v>45233</v>
      </c>
      <c r="B3953" s="21" t="s">
        <v>10342</v>
      </c>
      <c r="C3953" s="13" t="s">
        <v>7538</v>
      </c>
      <c r="D3953" s="782" t="s">
        <v>11697</v>
      </c>
      <c r="E3953" s="22">
        <v>32000</v>
      </c>
      <c r="F3953" s="19"/>
      <c r="G3953" s="14">
        <f t="shared" si="69"/>
        <v>32000</v>
      </c>
      <c r="H3953" s="13"/>
    </row>
    <row r="3954" spans="1:8" x14ac:dyDescent="0.25">
      <c r="A3954" s="116">
        <v>45233</v>
      </c>
      <c r="B3954" s="21" t="s">
        <v>11023</v>
      </c>
      <c r="C3954" s="13" t="s">
        <v>166</v>
      </c>
      <c r="D3954" s="782" t="s">
        <v>11910</v>
      </c>
      <c r="E3954" s="22">
        <v>9240</v>
      </c>
      <c r="F3954" s="19"/>
      <c r="G3954" s="14">
        <f t="shared" si="69"/>
        <v>9240</v>
      </c>
      <c r="H3954" s="13"/>
    </row>
    <row r="3955" spans="1:8" x14ac:dyDescent="0.25">
      <c r="A3955" s="116">
        <v>45234</v>
      </c>
      <c r="B3955" s="21" t="s">
        <v>10688</v>
      </c>
      <c r="C3955" s="13" t="s">
        <v>8483</v>
      </c>
      <c r="D3955" s="782"/>
      <c r="E3955" s="22"/>
      <c r="F3955" s="19">
        <v>1300000</v>
      </c>
      <c r="G3955" s="14">
        <f t="shared" si="69"/>
        <v>-1300000</v>
      </c>
      <c r="H3955" s="13" t="s">
        <v>11558</v>
      </c>
    </row>
    <row r="3956" spans="1:8" x14ac:dyDescent="0.25">
      <c r="A3956" s="116">
        <v>45234</v>
      </c>
      <c r="B3956" s="21" t="s">
        <v>10688</v>
      </c>
      <c r="C3956" s="13" t="s">
        <v>8483</v>
      </c>
      <c r="D3956" s="782" t="s">
        <v>11777</v>
      </c>
      <c r="E3956" s="22">
        <v>85030</v>
      </c>
      <c r="F3956" s="19"/>
      <c r="G3956" s="14">
        <f t="shared" si="69"/>
        <v>85030</v>
      </c>
      <c r="H3956" s="13"/>
    </row>
    <row r="3957" spans="1:8" x14ac:dyDescent="0.25">
      <c r="A3957" s="116">
        <v>45234</v>
      </c>
      <c r="B3957" s="21" t="s">
        <v>11568</v>
      </c>
      <c r="C3957" s="13" t="s">
        <v>8483</v>
      </c>
      <c r="D3957" s="782" t="s">
        <v>11778</v>
      </c>
      <c r="E3957" s="22">
        <v>33426</v>
      </c>
      <c r="F3957" s="19"/>
      <c r="G3957" s="14">
        <f t="shared" si="69"/>
        <v>33426</v>
      </c>
      <c r="H3957" s="13"/>
    </row>
    <row r="3958" spans="1:8" x14ac:dyDescent="0.25">
      <c r="A3958" s="116">
        <v>45234</v>
      </c>
      <c r="B3958" s="21" t="s">
        <v>11391</v>
      </c>
      <c r="C3958" s="13" t="s">
        <v>168</v>
      </c>
      <c r="D3958" s="782" t="s">
        <v>11782</v>
      </c>
      <c r="E3958" s="22">
        <v>19640</v>
      </c>
      <c r="F3958" s="19"/>
      <c r="G3958" s="14">
        <f t="shared" si="69"/>
        <v>19640</v>
      </c>
      <c r="H3958" s="13"/>
    </row>
    <row r="3959" spans="1:8" x14ac:dyDescent="0.25">
      <c r="A3959" s="116">
        <v>45234</v>
      </c>
      <c r="B3959" s="21" t="s">
        <v>11023</v>
      </c>
      <c r="C3959" s="13" t="s">
        <v>7309</v>
      </c>
      <c r="D3959" s="782" t="s">
        <v>8650</v>
      </c>
      <c r="E3959" s="22">
        <v>1931655</v>
      </c>
      <c r="F3959" s="19"/>
      <c r="G3959" s="14">
        <f t="shared" si="69"/>
        <v>1931655</v>
      </c>
      <c r="H3959" s="13"/>
    </row>
    <row r="3960" spans="1:8" x14ac:dyDescent="0.25">
      <c r="A3960" s="116">
        <v>45236</v>
      </c>
      <c r="B3960" s="21" t="s">
        <v>10342</v>
      </c>
      <c r="C3960" s="13" t="s">
        <v>7538</v>
      </c>
      <c r="D3960" s="782" t="s">
        <v>11773</v>
      </c>
      <c r="E3960" s="22">
        <v>32000</v>
      </c>
      <c r="F3960" s="19"/>
      <c r="G3960" s="14">
        <f t="shared" si="69"/>
        <v>32000</v>
      </c>
      <c r="H3960" s="13"/>
    </row>
    <row r="3961" spans="1:8" x14ac:dyDescent="0.25">
      <c r="A3961" s="116">
        <v>45236</v>
      </c>
      <c r="B3961" s="21" t="s">
        <v>11568</v>
      </c>
      <c r="C3961" s="13" t="s">
        <v>166</v>
      </c>
      <c r="D3961" s="782" t="s">
        <v>11911</v>
      </c>
      <c r="E3961" s="22">
        <v>36420</v>
      </c>
      <c r="F3961" s="19"/>
      <c r="G3961" s="14">
        <f t="shared" si="69"/>
        <v>36420</v>
      </c>
      <c r="H3961" s="13"/>
    </row>
    <row r="3962" spans="1:8" x14ac:dyDescent="0.25">
      <c r="A3962" s="116">
        <v>45237</v>
      </c>
      <c r="B3962" s="21" t="s">
        <v>11023</v>
      </c>
      <c r="C3962" s="13" t="s">
        <v>7538</v>
      </c>
      <c r="D3962" s="782" t="s">
        <v>11774</v>
      </c>
      <c r="E3962" s="22">
        <v>32600</v>
      </c>
      <c r="F3962" s="19"/>
      <c r="G3962" s="14">
        <f t="shared" si="69"/>
        <v>32600</v>
      </c>
      <c r="H3962" s="13"/>
    </row>
    <row r="3963" spans="1:8" x14ac:dyDescent="0.25">
      <c r="A3963" s="116">
        <v>45237</v>
      </c>
      <c r="B3963" s="21" t="s">
        <v>10342</v>
      </c>
      <c r="C3963" s="13" t="s">
        <v>8483</v>
      </c>
      <c r="D3963" s="782" t="s">
        <v>11779</v>
      </c>
      <c r="E3963" s="22">
        <v>203960</v>
      </c>
      <c r="F3963" s="19"/>
      <c r="G3963" s="14">
        <f t="shared" si="69"/>
        <v>203960</v>
      </c>
      <c r="H3963" s="13"/>
    </row>
    <row r="3964" spans="1:8" x14ac:dyDescent="0.25">
      <c r="A3964" s="116">
        <v>45237</v>
      </c>
      <c r="B3964" s="21" t="s">
        <v>11023</v>
      </c>
      <c r="C3964" s="13" t="s">
        <v>8483</v>
      </c>
      <c r="D3964" s="782" t="s">
        <v>11780</v>
      </c>
      <c r="E3964" s="22">
        <v>20685</v>
      </c>
      <c r="F3964" s="19"/>
      <c r="G3964" s="14">
        <f t="shared" si="69"/>
        <v>20685</v>
      </c>
      <c r="H3964" s="13"/>
    </row>
    <row r="3965" spans="1:8" x14ac:dyDescent="0.25">
      <c r="A3965" s="116">
        <v>45237</v>
      </c>
      <c r="B3965" s="21" t="s">
        <v>10688</v>
      </c>
      <c r="C3965" s="13" t="s">
        <v>168</v>
      </c>
      <c r="D3965" s="782" t="s">
        <v>11833</v>
      </c>
      <c r="E3965" s="22">
        <v>74282</v>
      </c>
      <c r="F3965" s="19"/>
      <c r="G3965" s="14">
        <f t="shared" si="69"/>
        <v>74282</v>
      </c>
      <c r="H3965" s="13"/>
    </row>
    <row r="3966" spans="1:8" x14ac:dyDescent="0.25">
      <c r="A3966" s="116">
        <v>45237</v>
      </c>
      <c r="B3966" s="21" t="s">
        <v>10342</v>
      </c>
      <c r="C3966" s="13" t="s">
        <v>7538</v>
      </c>
      <c r="D3966" s="782"/>
      <c r="E3966" s="22"/>
      <c r="F3966" s="19">
        <v>350000</v>
      </c>
      <c r="G3966" s="14">
        <f t="shared" si="69"/>
        <v>-350000</v>
      </c>
      <c r="H3966" s="13" t="s">
        <v>11772</v>
      </c>
    </row>
    <row r="3967" spans="1:8" x14ac:dyDescent="0.25">
      <c r="A3967" s="116">
        <v>45237</v>
      </c>
      <c r="B3967" s="21" t="s">
        <v>10342</v>
      </c>
      <c r="C3967" s="13" t="s">
        <v>7538</v>
      </c>
      <c r="D3967" s="782"/>
      <c r="E3967" s="22"/>
      <c r="F3967" s="19">
        <v>350000</v>
      </c>
      <c r="G3967" s="14">
        <f t="shared" si="69"/>
        <v>-350000</v>
      </c>
      <c r="H3967" s="13" t="s">
        <v>11771</v>
      </c>
    </row>
    <row r="3968" spans="1:8" x14ac:dyDescent="0.25">
      <c r="A3968" s="116">
        <v>45237</v>
      </c>
      <c r="B3968" s="21" t="s">
        <v>10096</v>
      </c>
      <c r="C3968" s="13" t="s">
        <v>166</v>
      </c>
      <c r="D3968" s="782" t="s">
        <v>11912</v>
      </c>
      <c r="E3968" s="22">
        <v>4515</v>
      </c>
      <c r="F3968" s="19"/>
      <c r="G3968" s="14">
        <f t="shared" si="69"/>
        <v>4515</v>
      </c>
      <c r="H3968" s="13"/>
    </row>
    <row r="3969" spans="1:8" x14ac:dyDescent="0.25">
      <c r="A3969" s="116">
        <v>45237</v>
      </c>
      <c r="B3969" s="21" t="s">
        <v>11391</v>
      </c>
      <c r="C3969" s="13" t="s">
        <v>164</v>
      </c>
      <c r="D3969" s="782" t="s">
        <v>12044</v>
      </c>
      <c r="E3969" s="22">
        <v>1420</v>
      </c>
      <c r="F3969" s="19"/>
      <c r="G3969" s="14">
        <f t="shared" si="69"/>
        <v>1420</v>
      </c>
      <c r="H3969" s="13"/>
    </row>
    <row r="3970" spans="1:8" x14ac:dyDescent="0.25">
      <c r="A3970" s="116">
        <v>45238</v>
      </c>
      <c r="B3970" s="21" t="s">
        <v>10342</v>
      </c>
      <c r="C3970" s="13" t="s">
        <v>164</v>
      </c>
      <c r="D3970" s="782" t="s">
        <v>12051</v>
      </c>
      <c r="E3970" s="22">
        <v>6739</v>
      </c>
      <c r="F3970" s="19"/>
      <c r="G3970" s="14">
        <f t="shared" si="69"/>
        <v>6739</v>
      </c>
      <c r="H3970" s="13"/>
    </row>
    <row r="3971" spans="1:8" x14ac:dyDescent="0.25">
      <c r="A3971" s="116">
        <v>45240</v>
      </c>
      <c r="B3971" s="21" t="s">
        <v>11391</v>
      </c>
      <c r="C3971" s="13" t="s">
        <v>8483</v>
      </c>
      <c r="D3971" s="782" t="s">
        <v>11781</v>
      </c>
      <c r="E3971" s="22">
        <v>13416</v>
      </c>
      <c r="F3971" s="19"/>
      <c r="G3971" s="14">
        <f t="shared" si="69"/>
        <v>13416</v>
      </c>
      <c r="H3971" s="13"/>
    </row>
    <row r="3972" spans="1:8" x14ac:dyDescent="0.25">
      <c r="A3972" s="116">
        <v>45240</v>
      </c>
      <c r="B3972" s="21" t="s">
        <v>10096</v>
      </c>
      <c r="C3972" s="13" t="s">
        <v>164</v>
      </c>
      <c r="D3972" s="782" t="s">
        <v>11783</v>
      </c>
      <c r="E3972" s="22">
        <v>168</v>
      </c>
      <c r="F3972" s="19"/>
      <c r="G3972" s="14">
        <f t="shared" si="69"/>
        <v>168</v>
      </c>
      <c r="H3972" s="13"/>
    </row>
    <row r="3973" spans="1:8" x14ac:dyDescent="0.25">
      <c r="A3973" s="116">
        <v>45240</v>
      </c>
      <c r="B3973" s="21" t="s">
        <v>11568</v>
      </c>
      <c r="C3973" s="13" t="s">
        <v>166</v>
      </c>
      <c r="D3973" s="782" t="s">
        <v>11913</v>
      </c>
      <c r="E3973" s="22">
        <v>20875</v>
      </c>
      <c r="F3973" s="19"/>
      <c r="G3973" s="14">
        <f t="shared" si="69"/>
        <v>20875</v>
      </c>
      <c r="H3973" s="13"/>
    </row>
    <row r="3974" spans="1:8" x14ac:dyDescent="0.25">
      <c r="A3974" s="116">
        <v>45241</v>
      </c>
      <c r="B3974" s="21" t="s">
        <v>9940</v>
      </c>
      <c r="C3974" s="13" t="s">
        <v>12081</v>
      </c>
      <c r="D3974" s="782" t="s">
        <v>11932</v>
      </c>
      <c r="E3974" s="22">
        <v>98400</v>
      </c>
      <c r="F3974" s="113"/>
      <c r="G3974" s="14">
        <f t="shared" si="69"/>
        <v>98400</v>
      </c>
      <c r="H3974" s="13"/>
    </row>
    <row r="3975" spans="1:8" x14ac:dyDescent="0.25">
      <c r="A3975" s="116">
        <v>45241</v>
      </c>
      <c r="B3975" s="21" t="s">
        <v>10406</v>
      </c>
      <c r="C3975" s="13" t="s">
        <v>7538</v>
      </c>
      <c r="D3975" s="782" t="s">
        <v>11775</v>
      </c>
      <c r="E3975" s="22">
        <v>43900</v>
      </c>
      <c r="F3975" s="19"/>
      <c r="G3975" s="14">
        <f t="shared" si="69"/>
        <v>43900</v>
      </c>
      <c r="H3975" s="13"/>
    </row>
    <row r="3976" spans="1:8" x14ac:dyDescent="0.25">
      <c r="A3976" s="116">
        <v>45241</v>
      </c>
      <c r="B3976" s="21" t="s">
        <v>10688</v>
      </c>
      <c r="C3976" s="13" t="s">
        <v>168</v>
      </c>
      <c r="D3976" s="782" t="s">
        <v>11834</v>
      </c>
      <c r="E3976" s="22">
        <v>386760</v>
      </c>
      <c r="F3976" s="19"/>
      <c r="G3976" s="14">
        <f t="shared" si="69"/>
        <v>386760</v>
      </c>
      <c r="H3976" s="13"/>
    </row>
    <row r="3977" spans="1:8" x14ac:dyDescent="0.25">
      <c r="A3977" s="116">
        <v>45241</v>
      </c>
      <c r="B3977" s="21" t="s">
        <v>10688</v>
      </c>
      <c r="C3977" s="13" t="s">
        <v>180</v>
      </c>
      <c r="D3977" s="782" t="s">
        <v>11844</v>
      </c>
      <c r="E3977" s="22">
        <v>62400</v>
      </c>
      <c r="F3977" s="19"/>
      <c r="G3977" s="14">
        <f t="shared" si="69"/>
        <v>62400</v>
      </c>
      <c r="H3977" s="13"/>
    </row>
    <row r="3978" spans="1:8" x14ac:dyDescent="0.25">
      <c r="A3978" s="116">
        <v>45243</v>
      </c>
      <c r="B3978" s="21" t="s">
        <v>10688</v>
      </c>
      <c r="C3978" s="13" t="s">
        <v>8483</v>
      </c>
      <c r="D3978" s="782" t="s">
        <v>11839</v>
      </c>
      <c r="E3978" s="22">
        <v>61469</v>
      </c>
      <c r="F3978" s="19"/>
      <c r="G3978" s="14">
        <f t="shared" si="69"/>
        <v>61469</v>
      </c>
      <c r="H3978" s="13"/>
    </row>
    <row r="3979" spans="1:8" x14ac:dyDescent="0.25">
      <c r="A3979" s="116">
        <v>45243</v>
      </c>
      <c r="B3979" s="21" t="s">
        <v>11568</v>
      </c>
      <c r="C3979" s="13" t="s">
        <v>164</v>
      </c>
      <c r="D3979" s="782" t="s">
        <v>12045</v>
      </c>
      <c r="E3979" s="22">
        <v>11157</v>
      </c>
      <c r="F3979" s="19"/>
      <c r="G3979" s="14">
        <f t="shared" si="69"/>
        <v>11157</v>
      </c>
      <c r="H3979" s="13"/>
    </row>
    <row r="3980" spans="1:8" x14ac:dyDescent="0.25">
      <c r="A3980" s="116">
        <v>45244</v>
      </c>
      <c r="B3980" s="21" t="s">
        <v>10342</v>
      </c>
      <c r="C3980" s="13" t="s">
        <v>168</v>
      </c>
      <c r="D3980" s="782" t="s">
        <v>11835</v>
      </c>
      <c r="E3980" s="22">
        <v>59680</v>
      </c>
      <c r="F3980" s="19"/>
      <c r="G3980" s="14">
        <f t="shared" si="69"/>
        <v>59680</v>
      </c>
      <c r="H3980" s="13"/>
    </row>
    <row r="3981" spans="1:8" x14ac:dyDescent="0.25">
      <c r="A3981" s="116">
        <v>45244</v>
      </c>
      <c r="B3981" s="21" t="s">
        <v>10688</v>
      </c>
      <c r="C3981" s="13" t="s">
        <v>168</v>
      </c>
      <c r="D3981" s="782" t="s">
        <v>11836</v>
      </c>
      <c r="E3981" s="22">
        <v>67140</v>
      </c>
      <c r="F3981" s="19"/>
      <c r="G3981" s="14">
        <f t="shared" si="69"/>
        <v>67140</v>
      </c>
      <c r="H3981" s="13"/>
    </row>
    <row r="3982" spans="1:8" x14ac:dyDescent="0.25">
      <c r="A3982" s="116">
        <v>45244</v>
      </c>
      <c r="B3982" s="21" t="s">
        <v>10688</v>
      </c>
      <c r="C3982" s="13" t="s">
        <v>7538</v>
      </c>
      <c r="D3982" s="782" t="s">
        <v>11870</v>
      </c>
      <c r="E3982" s="22">
        <v>152867</v>
      </c>
      <c r="F3982" s="19"/>
      <c r="G3982" s="14">
        <f t="shared" si="69"/>
        <v>152867</v>
      </c>
      <c r="H3982" s="13"/>
    </row>
    <row r="3983" spans="1:8" x14ac:dyDescent="0.25">
      <c r="A3983" s="116">
        <v>45245</v>
      </c>
      <c r="B3983" s="21" t="s">
        <v>10688</v>
      </c>
      <c r="C3983" s="13" t="s">
        <v>7538</v>
      </c>
      <c r="D3983" s="782"/>
      <c r="E3983" s="22"/>
      <c r="F3983" s="19">
        <v>350000</v>
      </c>
      <c r="G3983" s="14">
        <f t="shared" si="69"/>
        <v>-350000</v>
      </c>
      <c r="H3983" s="13" t="s">
        <v>11803</v>
      </c>
    </row>
    <row r="3984" spans="1:8" x14ac:dyDescent="0.25">
      <c r="A3984" s="116">
        <v>45245</v>
      </c>
      <c r="B3984" s="21" t="s">
        <v>10688</v>
      </c>
      <c r="C3984" s="13" t="s">
        <v>7538</v>
      </c>
      <c r="D3984" s="782"/>
      <c r="E3984" s="22"/>
      <c r="F3984" s="19">
        <v>350000</v>
      </c>
      <c r="G3984" s="14">
        <f t="shared" ref="G3984:G4053" si="70">E3984-F3984</f>
        <v>-350000</v>
      </c>
      <c r="H3984" s="13" t="s">
        <v>11804</v>
      </c>
    </row>
    <row r="3985" spans="1:8" x14ac:dyDescent="0.25">
      <c r="A3985" s="116">
        <v>45245</v>
      </c>
      <c r="B3985" s="21" t="s">
        <v>10688</v>
      </c>
      <c r="C3985" s="13" t="s">
        <v>8170</v>
      </c>
      <c r="D3985" s="782"/>
      <c r="E3985" s="22"/>
      <c r="F3985" s="19">
        <v>500000</v>
      </c>
      <c r="G3985" s="14">
        <f t="shared" si="70"/>
        <v>-500000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11023</v>
      </c>
      <c r="C3988" s="13" t="s">
        <v>166</v>
      </c>
      <c r="D3988" s="782" t="s">
        <v>11914</v>
      </c>
      <c r="E3988" s="22">
        <v>7990</v>
      </c>
      <c r="F3988" s="19"/>
      <c r="G3988" s="14">
        <f t="shared" si="70"/>
        <v>7990</v>
      </c>
      <c r="H3988" s="13"/>
    </row>
    <row r="3989" spans="1:8" x14ac:dyDescent="0.25">
      <c r="A3989" s="116">
        <v>45246</v>
      </c>
      <c r="B3989" s="21" t="s">
        <v>10342</v>
      </c>
      <c r="C3989" s="13" t="s">
        <v>168</v>
      </c>
      <c r="D3989" s="782" t="s">
        <v>11837</v>
      </c>
      <c r="E3989" s="22">
        <v>24200</v>
      </c>
      <c r="F3989" s="19"/>
      <c r="G3989" s="14">
        <f t="shared" si="70"/>
        <v>24200</v>
      </c>
      <c r="H3989" s="13"/>
    </row>
    <row r="3990" spans="1:8" x14ac:dyDescent="0.25">
      <c r="A3990" s="116">
        <v>45246</v>
      </c>
      <c r="B3990" s="21" t="s">
        <v>10688</v>
      </c>
      <c r="C3990" s="13" t="s">
        <v>8483</v>
      </c>
      <c r="D3990" s="782" t="s">
        <v>11840</v>
      </c>
      <c r="E3990" s="22">
        <v>93159</v>
      </c>
      <c r="F3990" s="19"/>
      <c r="G3990" s="14">
        <f t="shared" si="70"/>
        <v>93159</v>
      </c>
      <c r="H3990" s="13"/>
    </row>
    <row r="3991" spans="1:8" x14ac:dyDescent="0.25">
      <c r="A3991" s="116">
        <v>45246</v>
      </c>
      <c r="B3991" s="21" t="s">
        <v>10688</v>
      </c>
      <c r="C3991" s="13" t="s">
        <v>7538</v>
      </c>
      <c r="D3991" s="782" t="s">
        <v>11346</v>
      </c>
      <c r="E3991" s="22">
        <v>34290</v>
      </c>
      <c r="F3991" s="19"/>
      <c r="G3991" s="14">
        <f t="shared" si="70"/>
        <v>34290</v>
      </c>
      <c r="H3991" s="13"/>
    </row>
    <row r="3992" spans="1:8" x14ac:dyDescent="0.25">
      <c r="A3992" s="116">
        <v>45247</v>
      </c>
      <c r="B3992" s="21" t="s">
        <v>10688</v>
      </c>
      <c r="C3992" s="13" t="s">
        <v>7538</v>
      </c>
      <c r="D3992" s="782" t="s">
        <v>11871</v>
      </c>
      <c r="E3992" s="22">
        <v>212768</v>
      </c>
      <c r="F3992" s="19"/>
      <c r="G3992" s="14">
        <f t="shared" si="70"/>
        <v>212768</v>
      </c>
      <c r="H3992" s="13"/>
    </row>
    <row r="3993" spans="1:8" x14ac:dyDescent="0.25">
      <c r="A3993" s="116">
        <v>45247</v>
      </c>
      <c r="B3993" s="21" t="s">
        <v>10688</v>
      </c>
      <c r="C3993" s="13" t="s">
        <v>7538</v>
      </c>
      <c r="D3993" s="782"/>
      <c r="E3993" s="22"/>
      <c r="F3993" s="19">
        <v>500000</v>
      </c>
      <c r="G3993" s="14">
        <f t="shared" si="70"/>
        <v>-500000</v>
      </c>
      <c r="H3993" s="13" t="s">
        <v>11831</v>
      </c>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11841</v>
      </c>
      <c r="C3995" s="13" t="s">
        <v>8483</v>
      </c>
      <c r="D3995" s="782" t="s">
        <v>11842</v>
      </c>
      <c r="E3995" s="22">
        <v>49822</v>
      </c>
      <c r="F3995" s="19"/>
      <c r="G3995" s="14">
        <f t="shared" si="70"/>
        <v>49822</v>
      </c>
      <c r="H3995" s="13"/>
    </row>
    <row r="3996" spans="1:8" x14ac:dyDescent="0.25">
      <c r="A3996" s="116">
        <v>45247</v>
      </c>
      <c r="B3996" s="21" t="s">
        <v>11740</v>
      </c>
      <c r="C3996" s="13" t="s">
        <v>8483</v>
      </c>
      <c r="D3996" s="782" t="s">
        <v>11843</v>
      </c>
      <c r="E3996" s="22">
        <v>106322</v>
      </c>
      <c r="F3996" s="19"/>
      <c r="G3996" s="14">
        <f t="shared" si="70"/>
        <v>106322</v>
      </c>
      <c r="H3996" s="13"/>
    </row>
    <row r="3997" spans="1:8" x14ac:dyDescent="0.25">
      <c r="A3997" s="116">
        <v>45248</v>
      </c>
      <c r="B3997" s="21" t="s">
        <v>10342</v>
      </c>
      <c r="C3997" s="13" t="s">
        <v>11444</v>
      </c>
      <c r="D3997" s="782"/>
      <c r="E3997" s="22"/>
      <c r="F3997" s="19">
        <v>495000</v>
      </c>
      <c r="G3997" s="14">
        <f>E3997-F3997</f>
        <v>-495000</v>
      </c>
      <c r="H3997" s="13" t="s">
        <v>11874</v>
      </c>
    </row>
    <row r="3998" spans="1:8" x14ac:dyDescent="0.25">
      <c r="A3998" s="116">
        <v>45248</v>
      </c>
      <c r="B3998" s="21" t="s">
        <v>10342</v>
      </c>
      <c r="C3998" s="13" t="s">
        <v>11444</v>
      </c>
      <c r="D3998" s="782"/>
      <c r="E3998" s="22"/>
      <c r="F3998" s="19">
        <v>490000</v>
      </c>
      <c r="G3998" s="14">
        <f>E3998-F3998</f>
        <v>-490000</v>
      </c>
      <c r="H3998" s="13" t="s">
        <v>11874</v>
      </c>
    </row>
    <row r="3999" spans="1:8" x14ac:dyDescent="0.25">
      <c r="A3999" s="116">
        <v>45248</v>
      </c>
      <c r="B3999" s="21" t="s">
        <v>10688</v>
      </c>
      <c r="C3999" s="13" t="s">
        <v>168</v>
      </c>
      <c r="D3999" s="782" t="s">
        <v>11905</v>
      </c>
      <c r="E3999" s="22">
        <v>78000</v>
      </c>
      <c r="F3999" s="113"/>
      <c r="G3999" s="14">
        <f>E3999-F3999</f>
        <v>78000</v>
      </c>
      <c r="H3999" s="13"/>
    </row>
    <row r="4000" spans="1:8" x14ac:dyDescent="0.25">
      <c r="A4000" s="116">
        <v>45248</v>
      </c>
      <c r="B4000" s="21" t="s">
        <v>11207</v>
      </c>
      <c r="C4000" s="13" t="s">
        <v>12081</v>
      </c>
      <c r="D4000" s="782"/>
      <c r="E4000" s="22"/>
      <c r="F4000" s="113">
        <v>500000</v>
      </c>
      <c r="G4000" s="14">
        <f t="shared" ref="G4000:G4006" si="71">E4000-F4000</f>
        <v>-500000</v>
      </c>
      <c r="H4000" s="13" t="s">
        <v>11874</v>
      </c>
    </row>
    <row r="4001" spans="1:8" x14ac:dyDescent="0.25">
      <c r="A4001" s="116">
        <v>45248</v>
      </c>
      <c r="B4001" s="21" t="s">
        <v>11207</v>
      </c>
      <c r="C4001" s="13" t="s">
        <v>12081</v>
      </c>
      <c r="D4001" s="782"/>
      <c r="E4001" s="22"/>
      <c r="F4001" s="113">
        <v>500000</v>
      </c>
      <c r="G4001" s="14">
        <f t="shared" si="71"/>
        <v>-500000</v>
      </c>
      <c r="H4001" s="13" t="s">
        <v>11874</v>
      </c>
    </row>
    <row r="4002" spans="1:8" x14ac:dyDescent="0.25">
      <c r="A4002" s="116">
        <v>45248</v>
      </c>
      <c r="B4002" s="21" t="s">
        <v>11207</v>
      </c>
      <c r="C4002" s="13" t="s">
        <v>12081</v>
      </c>
      <c r="D4002" s="782"/>
      <c r="E4002" s="22"/>
      <c r="F4002" s="113">
        <v>500000</v>
      </c>
      <c r="G4002" s="14">
        <f t="shared" si="71"/>
        <v>-500000</v>
      </c>
      <c r="H4002" s="13" t="s">
        <v>11874</v>
      </c>
    </row>
    <row r="4003" spans="1:8" x14ac:dyDescent="0.25">
      <c r="A4003" s="116">
        <v>45248</v>
      </c>
      <c r="B4003" s="21" t="s">
        <v>11207</v>
      </c>
      <c r="C4003" s="13" t="s">
        <v>12081</v>
      </c>
      <c r="D4003" s="782"/>
      <c r="E4003" s="22"/>
      <c r="F4003" s="113">
        <v>500000</v>
      </c>
      <c r="G4003" s="14">
        <f t="shared" si="71"/>
        <v>-500000</v>
      </c>
      <c r="H4003" s="13" t="s">
        <v>11874</v>
      </c>
    </row>
    <row r="4004" spans="1:8" x14ac:dyDescent="0.25">
      <c r="A4004" s="116">
        <v>45248</v>
      </c>
      <c r="B4004" s="21" t="s">
        <v>11207</v>
      </c>
      <c r="C4004" s="13" t="s">
        <v>12081</v>
      </c>
      <c r="D4004" s="782"/>
      <c r="E4004" s="22"/>
      <c r="F4004" s="113">
        <v>400000</v>
      </c>
      <c r="G4004" s="14">
        <f t="shared" si="71"/>
        <v>-400000</v>
      </c>
      <c r="H4004" s="13" t="s">
        <v>11874</v>
      </c>
    </row>
    <row r="4005" spans="1:8" x14ac:dyDescent="0.25">
      <c r="A4005" s="116">
        <v>45248</v>
      </c>
      <c r="B4005" s="21" t="s">
        <v>11207</v>
      </c>
      <c r="C4005" s="13" t="s">
        <v>12081</v>
      </c>
      <c r="D4005" s="782"/>
      <c r="E4005" s="22"/>
      <c r="F4005" s="113">
        <v>300000</v>
      </c>
      <c r="G4005" s="14">
        <f t="shared" si="71"/>
        <v>-300000</v>
      </c>
      <c r="H4005" s="13" t="s">
        <v>11874</v>
      </c>
    </row>
    <row r="4006" spans="1:8" x14ac:dyDescent="0.25">
      <c r="A4006" s="116">
        <v>45248</v>
      </c>
      <c r="B4006" s="21" t="s">
        <v>11207</v>
      </c>
      <c r="C4006" s="13" t="s">
        <v>12081</v>
      </c>
      <c r="D4006" s="782"/>
      <c r="E4006" s="22"/>
      <c r="F4006" s="113">
        <v>300000</v>
      </c>
      <c r="G4006" s="14">
        <f t="shared" si="71"/>
        <v>-300000</v>
      </c>
      <c r="H4006" s="13" t="s">
        <v>11874</v>
      </c>
    </row>
    <row r="4007" spans="1:8" ht="16.5" thickBot="1" x14ac:dyDescent="0.3">
      <c r="A4007" s="116">
        <v>45250</v>
      </c>
      <c r="B4007" s="21" t="s">
        <v>10342</v>
      </c>
      <c r="C4007" s="13" t="s">
        <v>7538</v>
      </c>
      <c r="D4007" s="782" t="s">
        <v>11872</v>
      </c>
      <c r="E4007" s="22">
        <v>221300</v>
      </c>
      <c r="F4007" s="113"/>
      <c r="G4007" s="14">
        <f t="shared" si="70"/>
        <v>221300</v>
      </c>
      <c r="H4007" s="13"/>
    </row>
    <row r="4008" spans="1:8" x14ac:dyDescent="0.25">
      <c r="A4008" s="116">
        <v>45250</v>
      </c>
      <c r="B4008" s="21" t="s">
        <v>9463</v>
      </c>
      <c r="C4008" s="13" t="s">
        <v>169</v>
      </c>
      <c r="D4008" s="782"/>
      <c r="E4008" s="799"/>
      <c r="F4008" s="801">
        <v>234213</v>
      </c>
      <c r="G4008" s="800">
        <f t="shared" si="70"/>
        <v>-234213</v>
      </c>
      <c r="H4008" s="13" t="s">
        <v>11885</v>
      </c>
    </row>
    <row r="4009" spans="1:8" x14ac:dyDescent="0.25">
      <c r="A4009" s="116">
        <v>45250</v>
      </c>
      <c r="B4009" s="21" t="s">
        <v>10683</v>
      </c>
      <c r="C4009" s="13" t="s">
        <v>169</v>
      </c>
      <c r="D4009" s="782"/>
      <c r="E4009" s="799"/>
      <c r="F4009" s="148">
        <v>163580</v>
      </c>
      <c r="G4009" s="800">
        <f t="shared" si="70"/>
        <v>-163580</v>
      </c>
      <c r="H4009" s="13" t="s">
        <v>11885</v>
      </c>
    </row>
    <row r="4010" spans="1:8" ht="16.5" thickBot="1" x14ac:dyDescent="0.3">
      <c r="A4010" s="116">
        <v>45250</v>
      </c>
      <c r="B4010" s="21" t="s">
        <v>10096</v>
      </c>
      <c r="C4010" s="13" t="s">
        <v>169</v>
      </c>
      <c r="D4010" s="782"/>
      <c r="E4010" s="799"/>
      <c r="F4010" s="802">
        <v>102207</v>
      </c>
      <c r="G4010" s="800">
        <f t="shared" si="70"/>
        <v>-102207</v>
      </c>
      <c r="H4010" s="13" t="s">
        <v>11885</v>
      </c>
    </row>
    <row r="4011" spans="1:8" x14ac:dyDescent="0.25">
      <c r="A4011" s="116">
        <v>45251</v>
      </c>
      <c r="B4011" s="21" t="s">
        <v>10342</v>
      </c>
      <c r="C4011" s="13" t="s">
        <v>180</v>
      </c>
      <c r="D4011" s="782"/>
      <c r="E4011" s="799"/>
      <c r="F4011" s="801">
        <v>107660</v>
      </c>
      <c r="G4011" s="800">
        <f t="shared" si="70"/>
        <v>-107660</v>
      </c>
      <c r="H4011" s="13" t="s">
        <v>11900</v>
      </c>
    </row>
    <row r="4012" spans="1:8" x14ac:dyDescent="0.25">
      <c r="A4012" s="116">
        <v>45251</v>
      </c>
      <c r="B4012" s="21" t="s">
        <v>10688</v>
      </c>
      <c r="C4012" s="13" t="s">
        <v>180</v>
      </c>
      <c r="D4012" s="782"/>
      <c r="E4012" s="799"/>
      <c r="F4012" s="148">
        <v>247020</v>
      </c>
      <c r="G4012" s="800">
        <f t="shared" si="70"/>
        <v>-247020</v>
      </c>
      <c r="H4012" s="13" t="s">
        <v>11900</v>
      </c>
    </row>
    <row r="4013" spans="1:8" ht="16.5" thickBot="1" x14ac:dyDescent="0.3">
      <c r="A4013" s="116">
        <v>45251</v>
      </c>
      <c r="B4013" s="21" t="s">
        <v>11023</v>
      </c>
      <c r="C4013" s="13" t="s">
        <v>180</v>
      </c>
      <c r="D4013" s="782"/>
      <c r="E4013" s="799"/>
      <c r="F4013" s="802">
        <v>145320</v>
      </c>
      <c r="G4013" s="800">
        <f t="shared" si="70"/>
        <v>-145320</v>
      </c>
      <c r="H4013" s="13" t="s">
        <v>11900</v>
      </c>
    </row>
    <row r="4014" spans="1:8" x14ac:dyDescent="0.25">
      <c r="A4014" s="116">
        <v>45251</v>
      </c>
      <c r="B4014" s="21" t="s">
        <v>11023</v>
      </c>
      <c r="C4014" s="13" t="s">
        <v>8483</v>
      </c>
      <c r="D4014" s="782" t="s">
        <v>11906</v>
      </c>
      <c r="E4014" s="22">
        <v>49712</v>
      </c>
      <c r="F4014" s="115"/>
      <c r="G4014" s="800">
        <f t="shared" si="70"/>
        <v>49712</v>
      </c>
      <c r="H4014" s="13"/>
    </row>
    <row r="4015" spans="1:8" x14ac:dyDescent="0.25">
      <c r="A4015" s="116">
        <v>45251</v>
      </c>
      <c r="B4015" s="21" t="s">
        <v>11568</v>
      </c>
      <c r="C4015" s="13" t="s">
        <v>8483</v>
      </c>
      <c r="D4015" s="782" t="s">
        <v>11907</v>
      </c>
      <c r="E4015" s="22">
        <v>40419</v>
      </c>
      <c r="F4015" s="115"/>
      <c r="G4015" s="800">
        <f t="shared" si="70"/>
        <v>40419</v>
      </c>
      <c r="H4015" s="13"/>
    </row>
    <row r="4016" spans="1:8" x14ac:dyDescent="0.25">
      <c r="A4016" s="116">
        <v>45251</v>
      </c>
      <c r="B4016" s="21" t="s">
        <v>11633</v>
      </c>
      <c r="C4016" s="13" t="s">
        <v>8483</v>
      </c>
      <c r="D4016" s="782" t="s">
        <v>11908</v>
      </c>
      <c r="E4016" s="22">
        <v>73043</v>
      </c>
      <c r="F4016" s="115"/>
      <c r="G4016" s="800">
        <f t="shared" si="70"/>
        <v>73043</v>
      </c>
      <c r="H4016" s="13"/>
    </row>
    <row r="4017" spans="1:8" x14ac:dyDescent="0.25">
      <c r="A4017" s="116">
        <v>45251</v>
      </c>
      <c r="B4017" s="21" t="s">
        <v>10688</v>
      </c>
      <c r="C4017" s="13" t="s">
        <v>7538</v>
      </c>
      <c r="D4017" s="782" t="s">
        <v>11926</v>
      </c>
      <c r="E4017" s="22">
        <v>59900</v>
      </c>
      <c r="F4017" s="115"/>
      <c r="G4017" s="800">
        <f t="shared" si="70"/>
        <v>59900</v>
      </c>
      <c r="H4017" s="13"/>
    </row>
    <row r="4018" spans="1:8" x14ac:dyDescent="0.25">
      <c r="A4018" s="116">
        <v>45251</v>
      </c>
      <c r="B4018" s="21" t="s">
        <v>9940</v>
      </c>
      <c r="C4018" s="13" t="s">
        <v>12081</v>
      </c>
      <c r="D4018" s="782" t="s">
        <v>11933</v>
      </c>
      <c r="E4018" s="22">
        <v>1554800</v>
      </c>
      <c r="F4018" s="113"/>
      <c r="G4018" s="14">
        <f t="shared" si="70"/>
        <v>1554800</v>
      </c>
      <c r="H4018" s="13"/>
    </row>
    <row r="4019" spans="1:8" x14ac:dyDescent="0.25">
      <c r="A4019" s="116">
        <v>45252</v>
      </c>
      <c r="B4019" s="21" t="s">
        <v>10342</v>
      </c>
      <c r="C4019" s="13" t="s">
        <v>8483</v>
      </c>
      <c r="D4019" s="782"/>
      <c r="E4019" s="22"/>
      <c r="F4019" s="115">
        <v>1000000</v>
      </c>
      <c r="G4019" s="14">
        <f t="shared" si="70"/>
        <v>-1000000</v>
      </c>
      <c r="H4019" s="13" t="s">
        <v>11814</v>
      </c>
    </row>
    <row r="4020" spans="1:8" x14ac:dyDescent="0.25">
      <c r="A4020" s="116">
        <v>45252</v>
      </c>
      <c r="B4020" s="21" t="s">
        <v>10688</v>
      </c>
      <c r="C4020" s="13" t="s">
        <v>7538</v>
      </c>
      <c r="D4020" s="782"/>
      <c r="E4020" s="22"/>
      <c r="F4020" s="19">
        <v>850000</v>
      </c>
      <c r="G4020" s="14">
        <f t="shared" si="70"/>
        <v>-850000</v>
      </c>
      <c r="H4020" s="13" t="s">
        <v>11925</v>
      </c>
    </row>
    <row r="4021" spans="1:8" x14ac:dyDescent="0.25">
      <c r="A4021" s="116">
        <v>45254</v>
      </c>
      <c r="B4021" s="21" t="s">
        <v>11023</v>
      </c>
      <c r="C4021" s="13" t="s">
        <v>169</v>
      </c>
      <c r="D4021" s="782" t="s">
        <v>11953</v>
      </c>
      <c r="E4021" s="22">
        <v>4500</v>
      </c>
      <c r="F4021" s="19"/>
      <c r="G4021" s="14">
        <f t="shared" si="70"/>
        <v>4500</v>
      </c>
      <c r="H4021" s="13"/>
    </row>
    <row r="4022" spans="1:8" x14ac:dyDescent="0.25">
      <c r="A4022" s="116">
        <v>45255</v>
      </c>
      <c r="B4022" s="21" t="s">
        <v>11841</v>
      </c>
      <c r="C4022" s="13" t="s">
        <v>8483</v>
      </c>
      <c r="D4022" s="782" t="s">
        <v>11950</v>
      </c>
      <c r="E4022" s="22">
        <v>6351</v>
      </c>
      <c r="F4022" s="19"/>
      <c r="G4022" s="14">
        <f t="shared" si="70"/>
        <v>6351</v>
      </c>
      <c r="H4022" s="13"/>
    </row>
    <row r="4023" spans="1:8" x14ac:dyDescent="0.25">
      <c r="A4023" s="116">
        <v>45255</v>
      </c>
      <c r="B4023" s="21" t="s">
        <v>10342</v>
      </c>
      <c r="C4023" s="13" t="s">
        <v>8483</v>
      </c>
      <c r="D4023" s="782" t="s">
        <v>11951</v>
      </c>
      <c r="E4023" s="22">
        <v>10508</v>
      </c>
      <c r="F4023" s="19"/>
      <c r="G4023" s="14">
        <f t="shared" si="70"/>
        <v>10508</v>
      </c>
      <c r="H4023" s="13"/>
    </row>
    <row r="4024" spans="1:8" x14ac:dyDescent="0.25">
      <c r="A4024" s="116">
        <v>45255</v>
      </c>
      <c r="B4024" s="21" t="s">
        <v>11740</v>
      </c>
      <c r="C4024" s="13" t="s">
        <v>8483</v>
      </c>
      <c r="D4024" s="782" t="s">
        <v>11952</v>
      </c>
      <c r="E4024" s="22">
        <v>42998</v>
      </c>
      <c r="F4024" s="19"/>
      <c r="G4024" s="14">
        <f t="shared" si="70"/>
        <v>42998</v>
      </c>
      <c r="H4024" s="13"/>
    </row>
    <row r="4025" spans="1:8" x14ac:dyDescent="0.25">
      <c r="A4025" s="116">
        <v>45257</v>
      </c>
      <c r="B4025" s="21" t="s">
        <v>11023</v>
      </c>
      <c r="C4025" s="13" t="s">
        <v>180</v>
      </c>
      <c r="D4025" s="782" t="s">
        <v>11949</v>
      </c>
      <c r="E4025" s="22">
        <v>124800</v>
      </c>
      <c r="F4025" s="19"/>
      <c r="G4025" s="14">
        <f t="shared" si="70"/>
        <v>124800</v>
      </c>
      <c r="H4025" s="13"/>
    </row>
    <row r="4026" spans="1:8" x14ac:dyDescent="0.25">
      <c r="A4026" s="116">
        <v>45257</v>
      </c>
      <c r="B4026" s="21" t="s">
        <v>10688</v>
      </c>
      <c r="C4026" s="13" t="s">
        <v>164</v>
      </c>
      <c r="D4026" s="782" t="s">
        <v>12046</v>
      </c>
      <c r="E4026" s="22">
        <v>5887</v>
      </c>
      <c r="F4026" s="19"/>
      <c r="G4026" s="14">
        <f t="shared" si="70"/>
        <v>5887</v>
      </c>
      <c r="H4026" s="13"/>
    </row>
    <row r="4027" spans="1:8" x14ac:dyDescent="0.25">
      <c r="A4027" s="116">
        <v>45258</v>
      </c>
      <c r="B4027" s="21" t="s">
        <v>10688</v>
      </c>
      <c r="C4027" s="13" t="s">
        <v>12084</v>
      </c>
      <c r="D4027" s="782"/>
      <c r="E4027" s="22"/>
      <c r="F4027" s="19">
        <v>500000</v>
      </c>
      <c r="G4027" s="14">
        <f t="shared" si="70"/>
        <v>-500000</v>
      </c>
      <c r="H4027" s="13" t="s">
        <v>11937</v>
      </c>
    </row>
    <row r="4028" spans="1:8" x14ac:dyDescent="0.25">
      <c r="A4028" s="116">
        <v>45258</v>
      </c>
      <c r="B4028" s="21" t="s">
        <v>10688</v>
      </c>
      <c r="C4028" s="13" t="s">
        <v>12084</v>
      </c>
      <c r="D4028" s="782"/>
      <c r="E4028" s="22"/>
      <c r="F4028" s="19">
        <v>500000</v>
      </c>
      <c r="G4028" s="14">
        <f t="shared" si="70"/>
        <v>-500000</v>
      </c>
      <c r="H4028" s="13" t="s">
        <v>11937</v>
      </c>
    </row>
    <row r="4029" spans="1:8" x14ac:dyDescent="0.25">
      <c r="A4029" s="116">
        <v>45258</v>
      </c>
      <c r="B4029" s="21" t="s">
        <v>10688</v>
      </c>
      <c r="C4029" s="13" t="s">
        <v>12084</v>
      </c>
      <c r="D4029" s="782"/>
      <c r="E4029" s="22"/>
      <c r="F4029" s="19">
        <v>500000</v>
      </c>
      <c r="G4029" s="14">
        <f t="shared" si="70"/>
        <v>-500000</v>
      </c>
      <c r="H4029" s="13" t="s">
        <v>11937</v>
      </c>
    </row>
    <row r="4030" spans="1:8" x14ac:dyDescent="0.25">
      <c r="A4030" s="116">
        <v>45258</v>
      </c>
      <c r="B4030" s="21" t="s">
        <v>10688</v>
      </c>
      <c r="C4030" s="13" t="s">
        <v>12084</v>
      </c>
      <c r="D4030" s="782"/>
      <c r="E4030" s="22"/>
      <c r="F4030" s="19">
        <v>500000</v>
      </c>
      <c r="G4030" s="14">
        <f t="shared" si="70"/>
        <v>-500000</v>
      </c>
      <c r="H4030" s="13" t="s">
        <v>11937</v>
      </c>
    </row>
    <row r="4031" spans="1:8" x14ac:dyDescent="0.25">
      <c r="A4031" s="116">
        <v>45260</v>
      </c>
      <c r="B4031" s="21" t="s">
        <v>11740</v>
      </c>
      <c r="C4031" s="13" t="s">
        <v>8483</v>
      </c>
      <c r="D4031" s="782" t="s">
        <v>12040</v>
      </c>
      <c r="E4031" s="22">
        <v>30958</v>
      </c>
      <c r="F4031" s="19"/>
      <c r="G4031" s="14">
        <f t="shared" si="70"/>
        <v>30958</v>
      </c>
      <c r="H4031" s="13"/>
    </row>
    <row r="4032" spans="1:8" x14ac:dyDescent="0.25">
      <c r="A4032" s="116">
        <v>45260</v>
      </c>
      <c r="B4032" s="21" t="s">
        <v>11023</v>
      </c>
      <c r="C4032" s="13" t="s">
        <v>12082</v>
      </c>
      <c r="D4032" s="782" t="s">
        <v>12083</v>
      </c>
      <c r="E4032" s="22">
        <v>189553</v>
      </c>
      <c r="F4032" s="19"/>
      <c r="G4032" s="14">
        <f t="shared" si="70"/>
        <v>189553</v>
      </c>
      <c r="H4032" s="13"/>
    </row>
    <row r="4033" spans="1:8" x14ac:dyDescent="0.25">
      <c r="A4033" s="116">
        <v>45262</v>
      </c>
      <c r="B4033" s="21" t="s">
        <v>10688</v>
      </c>
      <c r="C4033" s="13" t="s">
        <v>7538</v>
      </c>
      <c r="D4033" s="782"/>
      <c r="E4033" s="22"/>
      <c r="F4033" s="19">
        <v>1000000</v>
      </c>
      <c r="G4033" s="14">
        <f t="shared" si="70"/>
        <v>-1000000</v>
      </c>
      <c r="H4033" s="13" t="s">
        <v>11500</v>
      </c>
    </row>
    <row r="4034" spans="1:8" x14ac:dyDescent="0.25">
      <c r="A4034" s="116">
        <v>45262</v>
      </c>
      <c r="B4034" s="21" t="s">
        <v>10688</v>
      </c>
      <c r="C4034" s="13" t="s">
        <v>7538</v>
      </c>
      <c r="D4034" s="782"/>
      <c r="E4034" s="22"/>
      <c r="F4034" s="19">
        <v>600000</v>
      </c>
      <c r="G4034" s="14">
        <f t="shared" si="70"/>
        <v>-600000</v>
      </c>
      <c r="H4034" s="13" t="s">
        <v>11293</v>
      </c>
    </row>
    <row r="4035" spans="1:8" x14ac:dyDescent="0.25">
      <c r="A4035" s="116">
        <v>45262</v>
      </c>
      <c r="B4035" s="21" t="s">
        <v>11740</v>
      </c>
      <c r="C4035" s="13" t="s">
        <v>180</v>
      </c>
      <c r="D4035" s="782" t="s">
        <v>12050</v>
      </c>
      <c r="E4035" s="22">
        <v>52800</v>
      </c>
      <c r="F4035" s="19"/>
      <c r="G4035" s="14">
        <f t="shared" si="70"/>
        <v>52800</v>
      </c>
      <c r="H4035" s="13"/>
    </row>
    <row r="4036" spans="1:8" x14ac:dyDescent="0.25">
      <c r="A4036" s="116">
        <v>45264</v>
      </c>
      <c r="B4036" s="21" t="s">
        <v>10688</v>
      </c>
      <c r="C4036" s="13" t="s">
        <v>12084</v>
      </c>
      <c r="D4036" s="782" t="s">
        <v>12052</v>
      </c>
      <c r="E4036" s="22">
        <v>2952685</v>
      </c>
      <c r="F4036" s="19"/>
      <c r="G4036" s="14">
        <f t="shared" si="70"/>
        <v>2952685</v>
      </c>
      <c r="H4036" s="13"/>
    </row>
    <row r="4037" spans="1:8" x14ac:dyDescent="0.25">
      <c r="A4037" s="116">
        <v>45264</v>
      </c>
      <c r="B4037" s="21" t="s">
        <v>11023</v>
      </c>
      <c r="C4037" s="13" t="s">
        <v>168</v>
      </c>
      <c r="D4037" s="782" t="s">
        <v>12054</v>
      </c>
      <c r="E4037" s="22">
        <v>45000</v>
      </c>
      <c r="F4037" s="19"/>
      <c r="G4037" s="14">
        <f t="shared" si="70"/>
        <v>45000</v>
      </c>
      <c r="H4037" s="13"/>
    </row>
    <row r="4038" spans="1:8" x14ac:dyDescent="0.25">
      <c r="A4038" s="116">
        <v>45265</v>
      </c>
      <c r="B4038" s="21" t="s">
        <v>10342</v>
      </c>
      <c r="C4038" s="13" t="s">
        <v>7538</v>
      </c>
      <c r="D4038" s="782" t="s">
        <v>12057</v>
      </c>
      <c r="E4038" s="22">
        <v>144334</v>
      </c>
      <c r="F4038" s="19"/>
      <c r="G4038" s="14">
        <f t="shared" si="70"/>
        <v>144334</v>
      </c>
      <c r="H4038" s="13"/>
    </row>
    <row r="4039" spans="1:8" x14ac:dyDescent="0.25">
      <c r="A4039" s="116">
        <v>45266</v>
      </c>
      <c r="B4039" s="21" t="s">
        <v>10342</v>
      </c>
      <c r="C4039" s="13" t="s">
        <v>8483</v>
      </c>
      <c r="D4039" s="782" t="s">
        <v>12041</v>
      </c>
      <c r="E4039" s="22">
        <v>40849</v>
      </c>
      <c r="F4039" s="19"/>
      <c r="G4039" s="14">
        <f t="shared" si="70"/>
        <v>40849</v>
      </c>
      <c r="H4039" s="13"/>
    </row>
    <row r="4040" spans="1:8" x14ac:dyDescent="0.25">
      <c r="A4040" s="116">
        <v>45266</v>
      </c>
      <c r="B4040" s="21" t="s">
        <v>11740</v>
      </c>
      <c r="C4040" s="13" t="s">
        <v>8483</v>
      </c>
      <c r="D4040" s="782" t="s">
        <v>12042</v>
      </c>
      <c r="E4040" s="22">
        <v>18196</v>
      </c>
      <c r="F4040" s="19"/>
      <c r="G4040" s="14">
        <f t="shared" si="70"/>
        <v>18196</v>
      </c>
      <c r="H4040" s="13"/>
    </row>
    <row r="4041" spans="1:8" x14ac:dyDescent="0.25">
      <c r="A4041" s="116">
        <v>45267</v>
      </c>
      <c r="B4041" s="21" t="s">
        <v>11740</v>
      </c>
      <c r="C4041" s="13" t="s">
        <v>164</v>
      </c>
      <c r="D4041" s="782" t="s">
        <v>12048</v>
      </c>
      <c r="E4041" s="22">
        <v>16400</v>
      </c>
      <c r="F4041" s="19"/>
      <c r="G4041" s="14">
        <f t="shared" si="70"/>
        <v>16400</v>
      </c>
      <c r="H4041" s="13"/>
    </row>
    <row r="4042" spans="1:8" x14ac:dyDescent="0.25">
      <c r="A4042" s="116">
        <v>45267</v>
      </c>
      <c r="B4042" s="21" t="s">
        <v>11023</v>
      </c>
      <c r="C4042" s="13" t="s">
        <v>168</v>
      </c>
      <c r="D4042" s="782" t="s">
        <v>12053</v>
      </c>
      <c r="E4042" s="22">
        <v>55000</v>
      </c>
      <c r="F4042" s="19"/>
      <c r="G4042" s="14">
        <f t="shared" si="70"/>
        <v>55000</v>
      </c>
      <c r="H4042" s="13"/>
    </row>
    <row r="4043" spans="1:8" x14ac:dyDescent="0.25">
      <c r="A4043" s="116">
        <v>45267</v>
      </c>
      <c r="B4043" s="21" t="s">
        <v>11740</v>
      </c>
      <c r="C4043" s="13" t="s">
        <v>166</v>
      </c>
      <c r="D4043" s="782" t="s">
        <v>12080</v>
      </c>
      <c r="E4043" s="22">
        <v>25430</v>
      </c>
      <c r="F4043" s="19"/>
      <c r="G4043" s="14">
        <f t="shared" si="70"/>
        <v>25430</v>
      </c>
      <c r="H4043" s="13"/>
    </row>
    <row r="4044" spans="1:8" x14ac:dyDescent="0.25">
      <c r="A4044" s="116">
        <v>45267</v>
      </c>
      <c r="B4044" s="21" t="s">
        <v>11740</v>
      </c>
      <c r="C4044" s="13" t="s">
        <v>180</v>
      </c>
      <c r="D4044" s="782" t="s">
        <v>12101</v>
      </c>
      <c r="E4044" s="22">
        <v>214720</v>
      </c>
      <c r="F4044" s="19"/>
      <c r="G4044" s="14">
        <f t="shared" si="70"/>
        <v>214720</v>
      </c>
      <c r="H4044" s="13"/>
    </row>
    <row r="4045" spans="1:8" x14ac:dyDescent="0.25">
      <c r="A4045" s="116">
        <v>45268</v>
      </c>
      <c r="B4045" s="21" t="s">
        <v>10077</v>
      </c>
      <c r="C4045" s="13" t="s">
        <v>164</v>
      </c>
      <c r="D4045" s="782" t="s">
        <v>12047</v>
      </c>
      <c r="E4045" s="22">
        <v>6047</v>
      </c>
      <c r="F4045" s="19"/>
      <c r="G4045" s="14">
        <f t="shared" si="70"/>
        <v>6047</v>
      </c>
      <c r="H4045" s="13"/>
    </row>
    <row r="4046" spans="1:8" x14ac:dyDescent="0.25">
      <c r="A4046" s="116">
        <v>45269</v>
      </c>
      <c r="B4046" s="21" t="s">
        <v>7886</v>
      </c>
      <c r="C4046" s="13" t="s">
        <v>11450</v>
      </c>
      <c r="D4046" s="782"/>
      <c r="E4046" s="22"/>
      <c r="F4046" s="19">
        <v>340000</v>
      </c>
      <c r="G4046" s="14">
        <f t="shared" si="70"/>
        <v>-340000</v>
      </c>
      <c r="H4046" s="13" t="s">
        <v>11500</v>
      </c>
    </row>
    <row r="4047" spans="1:8" x14ac:dyDescent="0.25">
      <c r="A4047" s="116">
        <v>45269</v>
      </c>
      <c r="B4047" s="21" t="s">
        <v>7886</v>
      </c>
      <c r="C4047" s="13" t="s">
        <v>11450</v>
      </c>
      <c r="D4047" s="782"/>
      <c r="E4047" s="22"/>
      <c r="F4047" s="19">
        <v>21510</v>
      </c>
      <c r="G4047" s="14">
        <f t="shared" si="70"/>
        <v>-21510</v>
      </c>
      <c r="H4047" s="13" t="s">
        <v>5019</v>
      </c>
    </row>
    <row r="4048" spans="1:8" x14ac:dyDescent="0.25">
      <c r="A4048" s="116">
        <v>45272</v>
      </c>
      <c r="B4048" s="21" t="s">
        <v>11740</v>
      </c>
      <c r="C4048" s="13" t="s">
        <v>8483</v>
      </c>
      <c r="D4048" s="782" t="s">
        <v>12043</v>
      </c>
      <c r="E4048" s="22">
        <v>32566</v>
      </c>
      <c r="F4048" s="19"/>
      <c r="G4048" s="14">
        <f t="shared" si="70"/>
        <v>32566</v>
      </c>
      <c r="H4048" s="13"/>
    </row>
    <row r="4049" spans="1:8" x14ac:dyDescent="0.25">
      <c r="A4049" s="116">
        <v>45272</v>
      </c>
      <c r="B4049" s="21" t="s">
        <v>11023</v>
      </c>
      <c r="C4049" s="13" t="s">
        <v>168</v>
      </c>
      <c r="D4049" s="782" t="s">
        <v>12055</v>
      </c>
      <c r="E4049" s="22">
        <v>55000</v>
      </c>
      <c r="F4049" s="19"/>
      <c r="G4049" s="14">
        <f t="shared" si="70"/>
        <v>55000</v>
      </c>
      <c r="H4049" s="13"/>
    </row>
    <row r="4050" spans="1:8" x14ac:dyDescent="0.25">
      <c r="A4050" s="116">
        <v>45272</v>
      </c>
      <c r="B4050" s="21" t="s">
        <v>11023</v>
      </c>
      <c r="C4050" s="13" t="s">
        <v>168</v>
      </c>
      <c r="D4050" s="782" t="s">
        <v>12056</v>
      </c>
      <c r="E4050" s="22">
        <v>45000</v>
      </c>
      <c r="F4050" s="19"/>
      <c r="G4050" s="14">
        <f t="shared" si="70"/>
        <v>45000</v>
      </c>
      <c r="H4050" s="13"/>
    </row>
    <row r="4051" spans="1:8" x14ac:dyDescent="0.25">
      <c r="A4051" s="116">
        <v>45275</v>
      </c>
      <c r="B4051" s="21" t="s">
        <v>11740</v>
      </c>
      <c r="C4051" s="13" t="s">
        <v>164</v>
      </c>
      <c r="D4051" s="782" t="s">
        <v>12049</v>
      </c>
      <c r="E4051" s="22">
        <v>5396</v>
      </c>
      <c r="F4051" s="19"/>
      <c r="G4051" s="14">
        <f t="shared" si="70"/>
        <v>5396</v>
      </c>
      <c r="H4051" s="13"/>
    </row>
    <row r="4052" spans="1:8" x14ac:dyDescent="0.25">
      <c r="A4052" s="116">
        <v>45275</v>
      </c>
      <c r="B4052" s="21" t="s">
        <v>12025</v>
      </c>
      <c r="C4052" s="13" t="s">
        <v>180</v>
      </c>
      <c r="D4052" s="782"/>
      <c r="E4052" s="22"/>
      <c r="F4052" s="19">
        <v>1500000</v>
      </c>
      <c r="G4052" s="14">
        <f t="shared" si="70"/>
        <v>-1500000</v>
      </c>
      <c r="H4052" s="13" t="s">
        <v>12061</v>
      </c>
    </row>
    <row r="4053" spans="1:8" x14ac:dyDescent="0.25">
      <c r="A4053" s="116">
        <v>45275</v>
      </c>
      <c r="B4053" s="21" t="s">
        <v>10342</v>
      </c>
      <c r="C4053" s="13" t="s">
        <v>8483</v>
      </c>
      <c r="D4053" s="782"/>
      <c r="E4053" s="22"/>
      <c r="F4053" s="19">
        <v>250000</v>
      </c>
      <c r="G4053" s="14">
        <f t="shared" si="70"/>
        <v>-250000</v>
      </c>
      <c r="H4053" s="13" t="s">
        <v>12061</v>
      </c>
    </row>
    <row r="4054" spans="1:8" x14ac:dyDescent="0.25">
      <c r="A4054" s="116">
        <v>45275</v>
      </c>
      <c r="B4054" s="21" t="s">
        <v>10688</v>
      </c>
      <c r="C4054" s="13" t="s">
        <v>8483</v>
      </c>
      <c r="D4054" s="782"/>
      <c r="E4054" s="22"/>
      <c r="F4054" s="19">
        <v>250000</v>
      </c>
      <c r="G4054" s="14">
        <f t="shared" ref="G4054:G4067" si="72">E4054-F4054</f>
        <v>-250000</v>
      </c>
      <c r="H4054" s="13" t="s">
        <v>12061</v>
      </c>
    </row>
    <row r="4055" spans="1:8" x14ac:dyDescent="0.25">
      <c r="A4055" s="116">
        <v>45275</v>
      </c>
      <c r="B4055" s="21" t="s">
        <v>11023</v>
      </c>
      <c r="C4055" s="13" t="s">
        <v>8483</v>
      </c>
      <c r="D4055" s="782"/>
      <c r="E4055" s="22"/>
      <c r="F4055" s="19">
        <v>250000</v>
      </c>
      <c r="G4055" s="14">
        <f t="shared" si="72"/>
        <v>-250000</v>
      </c>
      <c r="H4055" s="13" t="s">
        <v>12061</v>
      </c>
    </row>
    <row r="4056" spans="1:8" x14ac:dyDescent="0.25">
      <c r="A4056" s="116">
        <v>45275</v>
      </c>
      <c r="B4056" s="21" t="s">
        <v>11568</v>
      </c>
      <c r="C4056" s="13" t="s">
        <v>8483</v>
      </c>
      <c r="D4056" s="782"/>
      <c r="E4056" s="22"/>
      <c r="F4056" s="19">
        <v>250000</v>
      </c>
      <c r="G4056" s="14">
        <f t="shared" si="72"/>
        <v>-250000</v>
      </c>
      <c r="H4056" s="13" t="s">
        <v>12061</v>
      </c>
    </row>
    <row r="4057" spans="1:8" ht="16.5" thickBot="1" x14ac:dyDescent="0.3">
      <c r="A4057" s="116">
        <v>45275</v>
      </c>
      <c r="B4057" s="21" t="s">
        <v>10342</v>
      </c>
      <c r="C4057" s="13" t="s">
        <v>7538</v>
      </c>
      <c r="D4057" s="782"/>
      <c r="E4057" s="22"/>
      <c r="F4057" s="113">
        <v>1000000</v>
      </c>
      <c r="G4057" s="14">
        <f t="shared" si="72"/>
        <v>-1000000</v>
      </c>
      <c r="H4057" s="13" t="s">
        <v>12061</v>
      </c>
    </row>
    <row r="4058" spans="1:8" x14ac:dyDescent="0.25">
      <c r="A4058" s="116">
        <v>45276</v>
      </c>
      <c r="B4058" s="21" t="s">
        <v>10077</v>
      </c>
      <c r="C4058" s="13" t="s">
        <v>164</v>
      </c>
      <c r="D4058" s="782"/>
      <c r="E4058" s="799"/>
      <c r="F4058" s="801">
        <v>14707</v>
      </c>
      <c r="G4058" s="800">
        <f t="shared" si="72"/>
        <v>-14707</v>
      </c>
      <c r="H4058" s="13" t="s">
        <v>12091</v>
      </c>
    </row>
    <row r="4059" spans="1:8" x14ac:dyDescent="0.25">
      <c r="A4059" s="116">
        <v>45276</v>
      </c>
      <c r="B4059" s="21" t="s">
        <v>10096</v>
      </c>
      <c r="C4059" s="13" t="s">
        <v>164</v>
      </c>
      <c r="D4059" s="782"/>
      <c r="E4059" s="799"/>
      <c r="F4059" s="148">
        <v>41074</v>
      </c>
      <c r="G4059" s="800">
        <f t="shared" si="72"/>
        <v>-41074</v>
      </c>
      <c r="H4059" s="13" t="s">
        <v>12091</v>
      </c>
    </row>
    <row r="4060" spans="1:8" x14ac:dyDescent="0.25">
      <c r="A4060" s="116">
        <v>45276</v>
      </c>
      <c r="B4060" s="21" t="s">
        <v>10342</v>
      </c>
      <c r="C4060" s="13" t="s">
        <v>164</v>
      </c>
      <c r="D4060" s="782"/>
      <c r="E4060" s="799"/>
      <c r="F4060" s="148">
        <v>32306</v>
      </c>
      <c r="G4060" s="800">
        <f t="shared" si="72"/>
        <v>-32306</v>
      </c>
      <c r="H4060" s="13" t="s">
        <v>12091</v>
      </c>
    </row>
    <row r="4061" spans="1:8" x14ac:dyDescent="0.25">
      <c r="A4061" s="116">
        <v>45276</v>
      </c>
      <c r="B4061" s="21" t="s">
        <v>10688</v>
      </c>
      <c r="C4061" s="13" t="s">
        <v>164</v>
      </c>
      <c r="D4061" s="782"/>
      <c r="E4061" s="799"/>
      <c r="F4061" s="148">
        <v>5887</v>
      </c>
      <c r="G4061" s="800">
        <f t="shared" si="72"/>
        <v>-5887</v>
      </c>
      <c r="H4061" s="13" t="s">
        <v>12091</v>
      </c>
    </row>
    <row r="4062" spans="1:8" x14ac:dyDescent="0.25">
      <c r="A4062" s="116">
        <v>45276</v>
      </c>
      <c r="B4062" s="21" t="s">
        <v>11568</v>
      </c>
      <c r="C4062" s="13" t="s">
        <v>164</v>
      </c>
      <c r="D4062" s="782"/>
      <c r="E4062" s="799"/>
      <c r="F4062" s="148">
        <v>52104</v>
      </c>
      <c r="G4062" s="800">
        <f t="shared" si="72"/>
        <v>-52104</v>
      </c>
      <c r="H4062" s="13" t="s">
        <v>12091</v>
      </c>
    </row>
    <row r="4063" spans="1:8" x14ac:dyDescent="0.25">
      <c r="A4063" s="116">
        <v>45276</v>
      </c>
      <c r="B4063" s="21" t="s">
        <v>11391</v>
      </c>
      <c r="C4063" s="13" t="s">
        <v>164</v>
      </c>
      <c r="D4063" s="782"/>
      <c r="E4063" s="799"/>
      <c r="F4063" s="148">
        <v>1420</v>
      </c>
      <c r="G4063" s="800">
        <f t="shared" si="72"/>
        <v>-1420</v>
      </c>
      <c r="H4063" s="13" t="s">
        <v>12091</v>
      </c>
    </row>
    <row r="4064" spans="1:8" ht="16.5" thickBot="1" x14ac:dyDescent="0.3">
      <c r="A4064" s="116">
        <v>45276</v>
      </c>
      <c r="B4064" s="21" t="s">
        <v>11740</v>
      </c>
      <c r="C4064" s="13" t="s">
        <v>164</v>
      </c>
      <c r="D4064" s="782"/>
      <c r="E4064" s="799"/>
      <c r="F4064" s="802">
        <v>12502</v>
      </c>
      <c r="G4064" s="800">
        <f t="shared" si="72"/>
        <v>-12502</v>
      </c>
      <c r="H4064" s="13" t="s">
        <v>12091</v>
      </c>
    </row>
    <row r="4065" spans="1:8" x14ac:dyDescent="0.25">
      <c r="A4065" s="116">
        <v>45276</v>
      </c>
      <c r="B4065" s="21" t="s">
        <v>12025</v>
      </c>
      <c r="C4065" s="13" t="s">
        <v>180</v>
      </c>
      <c r="D4065" s="782" t="s">
        <v>12102</v>
      </c>
      <c r="E4065" s="22">
        <v>1343560</v>
      </c>
      <c r="F4065" s="115"/>
      <c r="G4065" s="800">
        <f t="shared" si="72"/>
        <v>1343560</v>
      </c>
      <c r="H4065" s="13"/>
    </row>
    <row r="4066" spans="1:8" x14ac:dyDescent="0.25">
      <c r="A4066" s="116">
        <v>45280</v>
      </c>
      <c r="B4066" s="21" t="s">
        <v>11023</v>
      </c>
      <c r="C4066" s="13" t="s">
        <v>1205</v>
      </c>
      <c r="D4066" s="782" t="s">
        <v>12131</v>
      </c>
      <c r="E4066" s="22">
        <v>44000</v>
      </c>
      <c r="F4066" s="115"/>
      <c r="G4066" s="800">
        <f t="shared" si="72"/>
        <v>44000</v>
      </c>
      <c r="H4066" s="13"/>
    </row>
    <row r="4067" spans="1:8" x14ac:dyDescent="0.25">
      <c r="A4067" s="116">
        <v>45283</v>
      </c>
      <c r="B4067" s="21" t="s">
        <v>11023</v>
      </c>
      <c r="C4067" s="13" t="s">
        <v>12082</v>
      </c>
      <c r="D4067" s="782"/>
      <c r="E4067" s="22"/>
      <c r="F4067" s="19">
        <v>189553</v>
      </c>
      <c r="G4067" s="800">
        <f t="shared" si="72"/>
        <v>-189553</v>
      </c>
      <c r="H4067" s="13" t="s">
        <v>12119</v>
      </c>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row r="4593" spans="1:8" x14ac:dyDescent="0.25">
      <c r="A4593" s="13"/>
      <c r="B4593" s="21"/>
      <c r="C4593" s="13"/>
      <c r="D4593" s="782"/>
      <c r="E4593" s="22"/>
      <c r="F4593" s="19"/>
      <c r="G4593" s="14"/>
      <c r="H4593" s="13"/>
    </row>
    <row r="4594" spans="1:8" x14ac:dyDescent="0.25">
      <c r="A4594" s="13"/>
      <c r="B4594" s="21"/>
      <c r="C4594" s="13"/>
      <c r="D4594" s="782"/>
      <c r="E4594" s="22"/>
      <c r="F4594" s="19"/>
      <c r="G4594" s="14"/>
      <c r="H4594" s="13"/>
    </row>
    <row r="4595" spans="1:8" x14ac:dyDescent="0.25">
      <c r="A4595" s="13"/>
      <c r="B4595" s="21"/>
      <c r="C4595" s="13"/>
      <c r="D4595" s="782"/>
      <c r="E4595" s="22"/>
      <c r="F4595" s="19"/>
      <c r="G4595" s="14"/>
      <c r="H4595" s="13"/>
    </row>
  </sheetData>
  <autoFilter ref="A1:XFC4057"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1:H3823"/>
    <mergeCell ref="H3805:H3807"/>
    <mergeCell ref="H3579:H3583"/>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948:H3949"/>
    <mergeCell ref="H3555:H3559"/>
    <mergeCell ref="H3547:H3549"/>
    <mergeCell ref="H3790:H3798"/>
    <mergeCell ref="D3772:D3773"/>
    <mergeCell ref="D3769:D3770"/>
    <mergeCell ref="D3912:D3913"/>
    <mergeCell ref="H3826:H3829"/>
    <mergeCell ref="H3840:H3843"/>
    <mergeCell ref="H3815:H3820"/>
    <mergeCell ref="H3799:H3802"/>
    <mergeCell ref="H3731:H3733"/>
    <mergeCell ref="D3664:D3665"/>
    <mergeCell ref="H3664:H3665"/>
    <mergeCell ref="H3653:H3658"/>
    <mergeCell ref="H3894:H3900"/>
    <mergeCell ref="D3568:D3569"/>
    <mergeCell ref="H3599:H3605"/>
    <mergeCell ref="H3592:H3593"/>
    <mergeCell ref="H3666:H3670"/>
    <mergeCell ref="H3705:H3707"/>
    <mergeCell ref="H3699:H3703"/>
    <mergeCell ref="H3685:H3690"/>
    <mergeCell ref="H3649:H3651"/>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11709</v>
      </c>
      <c r="B2" s="1244"/>
      <c r="C2" s="1244"/>
      <c r="D2" s="1244"/>
      <c r="E2" s="1244"/>
      <c r="F2" s="1244"/>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11702</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10637</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11703</v>
      </c>
      <c r="C37" s="1104"/>
      <c r="D37" s="20"/>
      <c r="E37" s="34">
        <v>300000</v>
      </c>
      <c r="F37" s="20">
        <f t="shared" si="0"/>
        <v>3212685</v>
      </c>
    </row>
    <row r="38" spans="1:7" s="7" customFormat="1" ht="15.75" x14ac:dyDescent="0.25">
      <c r="A38" s="116">
        <v>44854</v>
      </c>
      <c r="B38" s="21" t="s">
        <v>11703</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11704</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11705</v>
      </c>
      <c r="C51" s="1105"/>
      <c r="D51" s="1106"/>
      <c r="E51" s="1107">
        <v>300000</v>
      </c>
      <c r="F51" s="20">
        <f t="shared" si="0"/>
        <v>4815226</v>
      </c>
      <c r="G51" s="744"/>
    </row>
    <row r="52" spans="1:8" s="7" customFormat="1" ht="15.75" x14ac:dyDescent="0.25">
      <c r="A52" s="116">
        <v>44910</v>
      </c>
      <c r="B52" s="21" t="s">
        <v>11705</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11706</v>
      </c>
      <c r="C62" s="1104"/>
      <c r="D62" s="20"/>
      <c r="E62" s="34">
        <v>600000</v>
      </c>
      <c r="F62" s="20">
        <f t="shared" si="0"/>
        <v>3882840</v>
      </c>
    </row>
    <row r="63" spans="1:8" s="7" customFormat="1" ht="15.75" x14ac:dyDescent="0.25">
      <c r="A63" s="116">
        <v>44973</v>
      </c>
      <c r="B63" s="21" t="s">
        <v>11707</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10088</v>
      </c>
      <c r="D68" s="20">
        <v>77980</v>
      </c>
      <c r="E68" s="34"/>
      <c r="F68" s="20">
        <f t="shared" si="0"/>
        <v>2771588</v>
      </c>
    </row>
    <row r="69" spans="1:7" s="7" customFormat="1" ht="15.75" x14ac:dyDescent="0.25">
      <c r="A69" s="116">
        <v>45065</v>
      </c>
      <c r="B69" s="21" t="s">
        <v>9769</v>
      </c>
      <c r="C69" s="1104" t="s">
        <v>10090</v>
      </c>
      <c r="D69" s="20">
        <v>51648</v>
      </c>
      <c r="E69" s="34"/>
      <c r="F69" s="20">
        <f t="shared" si="0"/>
        <v>2823236</v>
      </c>
    </row>
    <row r="70" spans="1:7" s="7" customFormat="1" ht="15.75" x14ac:dyDescent="0.25">
      <c r="A70" s="116">
        <v>45072</v>
      </c>
      <c r="B70" s="21" t="s">
        <v>9769</v>
      </c>
      <c r="C70" s="1104" t="s">
        <v>10092</v>
      </c>
      <c r="D70" s="20">
        <v>10200</v>
      </c>
      <c r="E70" s="34"/>
      <c r="F70" s="20">
        <f t="shared" si="0"/>
        <v>2833436</v>
      </c>
    </row>
    <row r="71" spans="1:7" s="7" customFormat="1" ht="15.75" x14ac:dyDescent="0.25">
      <c r="A71" s="116">
        <v>45075</v>
      </c>
      <c r="B71" s="21" t="s">
        <v>9769</v>
      </c>
      <c r="C71" s="1104" t="s">
        <v>10094</v>
      </c>
      <c r="D71" s="20">
        <v>32000</v>
      </c>
      <c r="E71" s="34"/>
      <c r="F71" s="20">
        <f t="shared" ref="F71:F145" si="1">F70+D71-E71</f>
        <v>2865436</v>
      </c>
    </row>
    <row r="72" spans="1:7" s="7" customFormat="1" ht="15.75" x14ac:dyDescent="0.25">
      <c r="A72" s="116">
        <v>45075</v>
      </c>
      <c r="B72" s="21" t="s">
        <v>10096</v>
      </c>
      <c r="C72" s="1104" t="s">
        <v>10097</v>
      </c>
      <c r="D72" s="20">
        <v>25630</v>
      </c>
      <c r="E72" s="34"/>
      <c r="F72" s="20">
        <f t="shared" si="1"/>
        <v>2891066</v>
      </c>
    </row>
    <row r="73" spans="1:7" s="7" customFormat="1" ht="15.75" x14ac:dyDescent="0.25">
      <c r="A73" s="116">
        <v>45083</v>
      </c>
      <c r="B73" s="21" t="s">
        <v>9463</v>
      </c>
      <c r="C73" s="1104" t="s">
        <v>10375</v>
      </c>
      <c r="D73" s="20">
        <v>59395</v>
      </c>
      <c r="E73" s="34"/>
      <c r="F73" s="20">
        <f t="shared" si="1"/>
        <v>2950461</v>
      </c>
    </row>
    <row r="74" spans="1:7" s="7" customFormat="1" ht="15.75" customHeight="1" x14ac:dyDescent="0.25">
      <c r="A74" s="116">
        <v>45086</v>
      </c>
      <c r="B74" s="21" t="s">
        <v>10237</v>
      </c>
      <c r="C74" s="1104"/>
      <c r="D74" s="20"/>
      <c r="E74" s="34">
        <v>1000000</v>
      </c>
      <c r="F74" s="20">
        <f t="shared" si="1"/>
        <v>1950461</v>
      </c>
      <c r="G74" s="1103"/>
    </row>
    <row r="75" spans="1:7" s="7" customFormat="1" ht="15.75" x14ac:dyDescent="0.25">
      <c r="A75" s="116">
        <v>45091</v>
      </c>
      <c r="B75" s="21" t="s">
        <v>9463</v>
      </c>
      <c r="C75" s="1104" t="s">
        <v>10376</v>
      </c>
      <c r="D75" s="20">
        <v>94595</v>
      </c>
      <c r="E75" s="34"/>
      <c r="F75" s="20">
        <f t="shared" si="1"/>
        <v>2045056</v>
      </c>
    </row>
    <row r="76" spans="1:7" s="7" customFormat="1" ht="15.75" x14ac:dyDescent="0.25">
      <c r="A76" s="116">
        <v>45093</v>
      </c>
      <c r="B76" s="21" t="s">
        <v>9463</v>
      </c>
      <c r="C76" s="1104" t="s">
        <v>10377</v>
      </c>
      <c r="D76" s="20">
        <v>118790</v>
      </c>
      <c r="E76" s="34"/>
      <c r="F76" s="20">
        <f t="shared" si="1"/>
        <v>2163846</v>
      </c>
    </row>
    <row r="77" spans="1:7" s="7" customFormat="1" ht="15.75" x14ac:dyDescent="0.25">
      <c r="A77" s="116">
        <v>45099</v>
      </c>
      <c r="B77" s="21" t="s">
        <v>10261</v>
      </c>
      <c r="C77" s="1104" t="s">
        <v>10553</v>
      </c>
      <c r="D77" s="20">
        <v>149260</v>
      </c>
      <c r="E77" s="34"/>
      <c r="F77" s="20">
        <f t="shared" si="1"/>
        <v>2313106</v>
      </c>
    </row>
    <row r="78" spans="1:7" s="7" customFormat="1" ht="15.75" x14ac:dyDescent="0.25">
      <c r="A78" s="116">
        <v>45114</v>
      </c>
      <c r="B78" s="21" t="s">
        <v>10261</v>
      </c>
      <c r="C78" s="1104" t="s">
        <v>10552</v>
      </c>
      <c r="D78" s="20">
        <v>35200</v>
      </c>
      <c r="E78" s="34"/>
      <c r="F78" s="20">
        <f t="shared" si="1"/>
        <v>2348306</v>
      </c>
    </row>
    <row r="79" spans="1:7" s="7" customFormat="1" ht="15.75" x14ac:dyDescent="0.25">
      <c r="A79" s="116">
        <v>45131</v>
      </c>
      <c r="B79" s="21" t="s">
        <v>10698</v>
      </c>
      <c r="C79" s="1104"/>
      <c r="D79" s="20"/>
      <c r="E79" s="34">
        <v>385000</v>
      </c>
      <c r="F79" s="20">
        <f t="shared" si="1"/>
        <v>1963306</v>
      </c>
    </row>
    <row r="80" spans="1:7" s="7" customFormat="1" ht="15.75" x14ac:dyDescent="0.25">
      <c r="A80" s="116">
        <v>45133</v>
      </c>
      <c r="B80" s="21" t="s">
        <v>9463</v>
      </c>
      <c r="C80" s="1104" t="s">
        <v>10735</v>
      </c>
      <c r="D80" s="33">
        <v>136390</v>
      </c>
      <c r="E80" s="34"/>
      <c r="F80" s="20">
        <f t="shared" si="1"/>
        <v>2099696</v>
      </c>
    </row>
    <row r="81" spans="1:9" s="7" customFormat="1" ht="15.75" x14ac:dyDescent="0.25">
      <c r="A81" s="116">
        <v>45133</v>
      </c>
      <c r="B81" s="21" t="s">
        <v>10096</v>
      </c>
      <c r="C81" s="1104" t="s">
        <v>10736</v>
      </c>
      <c r="D81" s="20">
        <v>10125</v>
      </c>
      <c r="E81" s="34"/>
      <c r="F81" s="20">
        <f t="shared" si="1"/>
        <v>2109821</v>
      </c>
    </row>
    <row r="82" spans="1:9" s="7" customFormat="1" ht="15.75" x14ac:dyDescent="0.25">
      <c r="A82" s="116">
        <v>45141</v>
      </c>
      <c r="B82" s="21" t="s">
        <v>10683</v>
      </c>
      <c r="C82" s="1104" t="s">
        <v>10797</v>
      </c>
      <c r="D82" s="20">
        <v>752630</v>
      </c>
      <c r="E82" s="34"/>
      <c r="F82" s="20">
        <f t="shared" si="1"/>
        <v>2862451</v>
      </c>
    </row>
    <row r="83" spans="1:9" s="7" customFormat="1" ht="15.75" x14ac:dyDescent="0.25">
      <c r="A83" s="116">
        <v>45143</v>
      </c>
      <c r="B83" s="21" t="s">
        <v>9463</v>
      </c>
      <c r="C83" s="1104" t="s">
        <v>10798</v>
      </c>
      <c r="D83" s="20">
        <v>153990</v>
      </c>
      <c r="E83" s="34"/>
      <c r="F83" s="20">
        <f t="shared" si="1"/>
        <v>3016441</v>
      </c>
    </row>
    <row r="84" spans="1:9" s="7" customFormat="1" ht="15.75" x14ac:dyDescent="0.25">
      <c r="A84" s="116">
        <v>45149</v>
      </c>
      <c r="B84" s="21" t="s">
        <v>10342</v>
      </c>
      <c r="C84" s="1104" t="s">
        <v>10958</v>
      </c>
      <c r="D84" s="20">
        <v>67956</v>
      </c>
      <c r="E84" s="34"/>
      <c r="F84" s="20">
        <f t="shared" si="1"/>
        <v>3084397</v>
      </c>
    </row>
    <row r="85" spans="1:9" s="7" customFormat="1" ht="15.75" customHeight="1" x14ac:dyDescent="0.25">
      <c r="A85" s="116">
        <v>45153</v>
      </c>
      <c r="B85" s="21" t="s">
        <v>11708</v>
      </c>
      <c r="C85" s="1104"/>
      <c r="D85" s="20"/>
      <c r="E85" s="34">
        <v>1350000</v>
      </c>
      <c r="F85" s="20">
        <f t="shared" si="1"/>
        <v>1734397</v>
      </c>
      <c r="G85" s="1103"/>
    </row>
    <row r="86" spans="1:9" s="7" customFormat="1" ht="17.25" customHeight="1" x14ac:dyDescent="0.25">
      <c r="A86" s="116">
        <v>45161</v>
      </c>
      <c r="B86" s="21" t="s">
        <v>10683</v>
      </c>
      <c r="C86" s="1104" t="s">
        <v>11058</v>
      </c>
      <c r="D86" s="20">
        <v>334758</v>
      </c>
      <c r="E86" s="34"/>
      <c r="F86" s="20">
        <f t="shared" si="1"/>
        <v>2069155</v>
      </c>
      <c r="G86" s="1100"/>
    </row>
    <row r="87" spans="1:9" s="7" customFormat="1" ht="17.25" customHeight="1" x14ac:dyDescent="0.25">
      <c r="A87" s="116">
        <v>45162</v>
      </c>
      <c r="B87" s="21" t="s">
        <v>10406</v>
      </c>
      <c r="C87" s="1104" t="s">
        <v>11059</v>
      </c>
      <c r="D87" s="20">
        <v>82636</v>
      </c>
      <c r="E87" s="34"/>
      <c r="F87" s="20">
        <f t="shared" si="1"/>
        <v>2151791</v>
      </c>
      <c r="G87" s="1100"/>
    </row>
    <row r="88" spans="1:9" s="7" customFormat="1" ht="15.75" x14ac:dyDescent="0.25">
      <c r="A88" s="116">
        <v>45168</v>
      </c>
      <c r="B88" s="21" t="s">
        <v>10683</v>
      </c>
      <c r="C88" s="1104" t="s">
        <v>11044</v>
      </c>
      <c r="D88" s="20">
        <v>32000</v>
      </c>
      <c r="E88" s="34"/>
      <c r="F88" s="20">
        <f t="shared" si="1"/>
        <v>2183791</v>
      </c>
    </row>
    <row r="89" spans="1:9" s="7" customFormat="1" ht="15.75" x14ac:dyDescent="0.25">
      <c r="A89" s="116">
        <v>45169</v>
      </c>
      <c r="B89" s="21" t="s">
        <v>9463</v>
      </c>
      <c r="C89" s="1104" t="s">
        <v>11129</v>
      </c>
      <c r="D89" s="20">
        <v>119294</v>
      </c>
      <c r="E89" s="34"/>
      <c r="F89" s="20">
        <f t="shared" si="1"/>
        <v>2303085</v>
      </c>
    </row>
    <row r="90" spans="1:9" s="7" customFormat="1" ht="15.75" x14ac:dyDescent="0.25">
      <c r="A90" s="116">
        <v>45173</v>
      </c>
      <c r="B90" s="21" t="s">
        <v>9463</v>
      </c>
      <c r="C90" s="1104" t="s">
        <v>11130</v>
      </c>
      <c r="D90" s="20">
        <v>119296</v>
      </c>
      <c r="E90" s="34"/>
      <c r="F90" s="20">
        <f t="shared" si="1"/>
        <v>2422381</v>
      </c>
    </row>
    <row r="91" spans="1:9" s="7" customFormat="1" ht="16.5" customHeight="1" x14ac:dyDescent="0.25">
      <c r="A91" s="116">
        <v>45178</v>
      </c>
      <c r="B91" s="21" t="s">
        <v>9463</v>
      </c>
      <c r="C91" s="1104" t="s">
        <v>11131</v>
      </c>
      <c r="D91" s="20">
        <v>222592</v>
      </c>
      <c r="E91" s="34"/>
      <c r="F91" s="20">
        <f t="shared" si="1"/>
        <v>2644973</v>
      </c>
      <c r="I91" s="134"/>
    </row>
    <row r="92" spans="1:9" s="7" customFormat="1" ht="15.75" x14ac:dyDescent="0.25">
      <c r="A92" s="116">
        <v>45178</v>
      </c>
      <c r="B92" s="21" t="s">
        <v>10688</v>
      </c>
      <c r="C92" s="1104" t="s">
        <v>11191</v>
      </c>
      <c r="D92" s="20">
        <v>804137</v>
      </c>
      <c r="E92" s="34"/>
      <c r="F92" s="20">
        <f t="shared" si="1"/>
        <v>3449110</v>
      </c>
    </row>
    <row r="93" spans="1:9" s="7" customFormat="1" ht="15.75" x14ac:dyDescent="0.25">
      <c r="A93" s="116">
        <v>45180</v>
      </c>
      <c r="B93" s="21" t="s">
        <v>9463</v>
      </c>
      <c r="C93" s="1104" t="s">
        <v>11192</v>
      </c>
      <c r="D93" s="20">
        <v>119296</v>
      </c>
      <c r="E93" s="34"/>
      <c r="F93" s="20">
        <f t="shared" si="1"/>
        <v>3568406</v>
      </c>
    </row>
    <row r="94" spans="1:9" s="7" customFormat="1" ht="15.75" x14ac:dyDescent="0.25">
      <c r="A94" s="116">
        <v>45180</v>
      </c>
      <c r="B94" s="21" t="s">
        <v>10688</v>
      </c>
      <c r="C94" s="1104" t="s">
        <v>11195</v>
      </c>
      <c r="D94" s="20">
        <v>891939</v>
      </c>
      <c r="E94" s="34"/>
      <c r="F94" s="20">
        <f t="shared" si="1"/>
        <v>4460345</v>
      </c>
    </row>
    <row r="95" spans="1:9" s="7" customFormat="1" ht="15.75" x14ac:dyDescent="0.25">
      <c r="A95" s="116">
        <v>45180</v>
      </c>
      <c r="B95" s="21" t="s">
        <v>11193</v>
      </c>
      <c r="C95" s="1104" t="s">
        <v>11194</v>
      </c>
      <c r="D95" s="20">
        <v>235504</v>
      </c>
      <c r="E95" s="34"/>
      <c r="F95" s="20">
        <f t="shared" si="1"/>
        <v>4695849</v>
      </c>
    </row>
    <row r="96" spans="1:9" s="7" customFormat="1" ht="15.75" x14ac:dyDescent="0.25">
      <c r="A96" s="116">
        <v>45184</v>
      </c>
      <c r="B96" s="21" t="s">
        <v>9463</v>
      </c>
      <c r="C96" s="1104" t="s">
        <v>11324</v>
      </c>
      <c r="D96" s="20">
        <v>103296</v>
      </c>
      <c r="E96" s="34"/>
      <c r="F96" s="20">
        <f t="shared" si="1"/>
        <v>4799145</v>
      </c>
    </row>
    <row r="97" spans="1:7" s="7" customFormat="1" ht="15.75" x14ac:dyDescent="0.25">
      <c r="A97" s="116">
        <v>45184</v>
      </c>
      <c r="B97" s="21" t="s">
        <v>10688</v>
      </c>
      <c r="C97" s="1104" t="s">
        <v>11325</v>
      </c>
      <c r="D97" s="20">
        <v>804137</v>
      </c>
      <c r="E97" s="34"/>
      <c r="F97" s="20">
        <f t="shared" si="1"/>
        <v>5603282</v>
      </c>
    </row>
    <row r="98" spans="1:7" s="7" customFormat="1" ht="15.75" x14ac:dyDescent="0.25">
      <c r="A98" s="116">
        <v>45187</v>
      </c>
      <c r="B98" s="21" t="s">
        <v>10688</v>
      </c>
      <c r="C98" s="1104" t="s">
        <v>11326</v>
      </c>
      <c r="D98" s="20">
        <v>1011740</v>
      </c>
      <c r="E98" s="34"/>
      <c r="F98" s="20">
        <f t="shared" si="1"/>
        <v>6615022</v>
      </c>
    </row>
    <row r="99" spans="1:7" s="7" customFormat="1" ht="15.75" x14ac:dyDescent="0.25">
      <c r="A99" s="116">
        <v>45190</v>
      </c>
      <c r="B99" s="21" t="s">
        <v>9463</v>
      </c>
      <c r="C99" s="1104" t="s">
        <v>11328</v>
      </c>
      <c r="D99" s="20">
        <v>113296</v>
      </c>
      <c r="E99" s="34"/>
      <c r="F99" s="20">
        <f t="shared" si="1"/>
        <v>6728318</v>
      </c>
    </row>
    <row r="100" spans="1:7" s="7" customFormat="1" ht="15.75" x14ac:dyDescent="0.25">
      <c r="A100" s="116">
        <v>45191</v>
      </c>
      <c r="B100" s="21" t="s">
        <v>9463</v>
      </c>
      <c r="C100" s="1104" t="s">
        <v>11329</v>
      </c>
      <c r="D100" s="20">
        <v>16000</v>
      </c>
      <c r="E100" s="34"/>
      <c r="F100" s="20">
        <f t="shared" si="1"/>
        <v>6744318</v>
      </c>
    </row>
    <row r="101" spans="1:7" s="7" customFormat="1" ht="15.75" x14ac:dyDescent="0.25">
      <c r="A101" s="116">
        <v>45191</v>
      </c>
      <c r="B101" s="21" t="s">
        <v>10342</v>
      </c>
      <c r="C101" s="1104" t="s">
        <v>11327</v>
      </c>
      <c r="D101" s="20">
        <v>684336</v>
      </c>
      <c r="E101" s="34"/>
      <c r="F101" s="20">
        <f t="shared" si="1"/>
        <v>7428654</v>
      </c>
    </row>
    <row r="102" spans="1:7" s="7" customFormat="1" ht="15.75" x14ac:dyDescent="0.25">
      <c r="A102" s="116">
        <v>45191</v>
      </c>
      <c r="B102" s="21" t="s">
        <v>10261</v>
      </c>
      <c r="C102" s="1104" t="s">
        <v>11332</v>
      </c>
      <c r="D102" s="20">
        <v>43900</v>
      </c>
      <c r="E102" s="34"/>
      <c r="F102" s="20">
        <f t="shared" si="1"/>
        <v>7472554</v>
      </c>
    </row>
    <row r="103" spans="1:7" s="7" customFormat="1" ht="15.75" x14ac:dyDescent="0.25">
      <c r="A103" s="116">
        <v>45191</v>
      </c>
      <c r="B103" s="21" t="s">
        <v>9463</v>
      </c>
      <c r="C103" s="1104" t="s">
        <v>11331</v>
      </c>
      <c r="D103" s="20">
        <v>67648</v>
      </c>
      <c r="E103" s="34"/>
      <c r="F103" s="20">
        <f t="shared" si="1"/>
        <v>7540202</v>
      </c>
    </row>
    <row r="104" spans="1:7" s="7" customFormat="1" ht="15.75" x14ac:dyDescent="0.25">
      <c r="A104" s="116">
        <v>45191</v>
      </c>
      <c r="B104" s="21" t="s">
        <v>10688</v>
      </c>
      <c r="C104" s="1104" t="s">
        <v>11330</v>
      </c>
      <c r="D104" s="20">
        <v>804137</v>
      </c>
      <c r="E104" s="34"/>
      <c r="F104" s="20">
        <f t="shared" si="1"/>
        <v>8344339</v>
      </c>
    </row>
    <row r="105" spans="1:7" s="7" customFormat="1" ht="15.75" x14ac:dyDescent="0.25">
      <c r="A105" s="116">
        <v>45192</v>
      </c>
      <c r="B105" s="21" t="s">
        <v>9463</v>
      </c>
      <c r="C105" s="1104" t="s">
        <v>11372</v>
      </c>
      <c r="D105" s="20">
        <v>16000</v>
      </c>
      <c r="E105" s="34"/>
      <c r="F105" s="20">
        <f t="shared" si="1"/>
        <v>8360339</v>
      </c>
    </row>
    <row r="106" spans="1:7" s="7" customFormat="1" ht="15.75" x14ac:dyDescent="0.25">
      <c r="A106" s="116">
        <v>45194</v>
      </c>
      <c r="B106" s="13" t="s">
        <v>11293</v>
      </c>
      <c r="C106" s="1104"/>
      <c r="D106" s="20"/>
      <c r="E106" s="34">
        <v>500000</v>
      </c>
      <c r="F106" s="20">
        <f t="shared" si="1"/>
        <v>7860339</v>
      </c>
    </row>
    <row r="107" spans="1:7" s="7" customFormat="1" ht="15.75" x14ac:dyDescent="0.25">
      <c r="A107" s="116">
        <v>45195</v>
      </c>
      <c r="B107" s="13" t="s">
        <v>11293</v>
      </c>
      <c r="C107" s="1104"/>
      <c r="D107" s="20"/>
      <c r="E107" s="34">
        <v>800000</v>
      </c>
      <c r="F107" s="20">
        <f t="shared" si="1"/>
        <v>7060339</v>
      </c>
      <c r="G107" s="744"/>
    </row>
    <row r="108" spans="1:7" s="7" customFormat="1" ht="15.75" x14ac:dyDescent="0.25">
      <c r="A108" s="116">
        <v>45195</v>
      </c>
      <c r="B108" s="21" t="s">
        <v>10342</v>
      </c>
      <c r="C108" s="1104" t="s">
        <v>11373</v>
      </c>
      <c r="D108" s="20">
        <v>716336</v>
      </c>
      <c r="E108" s="34"/>
      <c r="F108" s="20">
        <f t="shared" si="1"/>
        <v>7776675</v>
      </c>
      <c r="G108" s="1097"/>
    </row>
    <row r="109" spans="1:7" s="7" customFormat="1" ht="15.75" x14ac:dyDescent="0.25">
      <c r="A109" s="116">
        <v>45197</v>
      </c>
      <c r="B109" s="21" t="s">
        <v>11193</v>
      </c>
      <c r="C109" s="1104" t="s">
        <v>11374</v>
      </c>
      <c r="D109" s="20">
        <v>147702</v>
      </c>
      <c r="E109" s="34"/>
      <c r="F109" s="20">
        <f t="shared" si="1"/>
        <v>7924377</v>
      </c>
      <c r="G109" s="1097"/>
    </row>
    <row r="110" spans="1:7" s="7" customFormat="1" ht="15.75" x14ac:dyDescent="0.25">
      <c r="A110" s="116">
        <v>45195</v>
      </c>
      <c r="B110" s="13" t="s">
        <v>11293</v>
      </c>
      <c r="C110" s="1104"/>
      <c r="D110" s="20"/>
      <c r="E110" s="34">
        <v>500000</v>
      </c>
      <c r="F110" s="20">
        <f t="shared" si="1"/>
        <v>7424377</v>
      </c>
      <c r="G110" s="744"/>
    </row>
    <row r="111" spans="1:7" s="7" customFormat="1" ht="21" x14ac:dyDescent="0.25">
      <c r="A111" s="116">
        <v>45197</v>
      </c>
      <c r="B111" s="21" t="s">
        <v>11384</v>
      </c>
      <c r="C111" s="1104"/>
      <c r="D111" s="20"/>
      <c r="E111" s="34">
        <v>50000</v>
      </c>
      <c r="F111" s="20">
        <f t="shared" si="1"/>
        <v>7374377</v>
      </c>
      <c r="G111" s="1101"/>
    </row>
    <row r="112" spans="1:7" s="7" customFormat="1" ht="15.75" x14ac:dyDescent="0.25">
      <c r="A112" s="116">
        <v>45202</v>
      </c>
      <c r="B112" s="21" t="s">
        <v>10688</v>
      </c>
      <c r="C112" s="1104" t="s">
        <v>11375</v>
      </c>
      <c r="D112" s="20">
        <v>64000</v>
      </c>
      <c r="E112" s="34"/>
      <c r="F112" s="20">
        <f t="shared" si="1"/>
        <v>7438377</v>
      </c>
    </row>
    <row r="113" spans="1:7" s="7" customFormat="1" ht="15.75" x14ac:dyDescent="0.25">
      <c r="A113" s="116">
        <v>45202</v>
      </c>
      <c r="B113" s="21" t="s">
        <v>10342</v>
      </c>
      <c r="C113" s="1104" t="s">
        <v>11376</v>
      </c>
      <c r="D113" s="20">
        <v>683270</v>
      </c>
      <c r="E113" s="34"/>
      <c r="F113" s="20">
        <f t="shared" si="1"/>
        <v>8121647</v>
      </c>
    </row>
    <row r="114" spans="1:7" s="7" customFormat="1" ht="15.75" x14ac:dyDescent="0.25">
      <c r="A114" s="116">
        <v>45202</v>
      </c>
      <c r="B114" s="13" t="s">
        <v>11293</v>
      </c>
      <c r="C114" s="1104"/>
      <c r="D114" s="20"/>
      <c r="E114" s="34">
        <v>200000</v>
      </c>
      <c r="F114" s="20">
        <f t="shared" si="1"/>
        <v>7921647</v>
      </c>
    </row>
    <row r="115" spans="1:7" s="7" customFormat="1" ht="15.75" x14ac:dyDescent="0.25">
      <c r="A115" s="116">
        <v>45205</v>
      </c>
      <c r="B115" s="21" t="s">
        <v>10342</v>
      </c>
      <c r="C115" s="1104" t="s">
        <v>11474</v>
      </c>
      <c r="D115" s="20">
        <v>461969</v>
      </c>
      <c r="E115" s="34"/>
      <c r="F115" s="20">
        <f t="shared" si="1"/>
        <v>8383616</v>
      </c>
    </row>
    <row r="116" spans="1:7" s="7" customFormat="1" ht="15.75" x14ac:dyDescent="0.25">
      <c r="A116" s="116">
        <v>45205</v>
      </c>
      <c r="B116" s="21" t="s">
        <v>10688</v>
      </c>
      <c r="C116" s="1104" t="s">
        <v>11475</v>
      </c>
      <c r="D116" s="20">
        <v>461969</v>
      </c>
      <c r="E116" s="34"/>
      <c r="F116" s="20">
        <f t="shared" si="1"/>
        <v>8845585</v>
      </c>
    </row>
    <row r="117" spans="1:7" s="7" customFormat="1" ht="15.75" x14ac:dyDescent="0.25">
      <c r="A117" s="116">
        <v>45213</v>
      </c>
      <c r="B117" s="21" t="s">
        <v>10342</v>
      </c>
      <c r="C117" s="1104" t="s">
        <v>11533</v>
      </c>
      <c r="D117" s="20">
        <v>48000</v>
      </c>
      <c r="E117" s="34"/>
      <c r="F117" s="20">
        <f t="shared" si="1"/>
        <v>8893585</v>
      </c>
    </row>
    <row r="118" spans="1:7" s="7" customFormat="1" ht="15.75" x14ac:dyDescent="0.25">
      <c r="A118" s="116">
        <v>45213</v>
      </c>
      <c r="B118" s="21" t="s">
        <v>10688</v>
      </c>
      <c r="C118" s="1104" t="s">
        <v>11534</v>
      </c>
      <c r="D118" s="20">
        <v>374168</v>
      </c>
      <c r="E118" s="34"/>
      <c r="F118" s="20">
        <f t="shared" si="1"/>
        <v>9267753</v>
      </c>
    </row>
    <row r="119" spans="1:7" s="7" customFormat="1" ht="15.75" x14ac:dyDescent="0.25">
      <c r="A119" s="116">
        <v>45217</v>
      </c>
      <c r="B119" s="21" t="s">
        <v>10342</v>
      </c>
      <c r="C119" s="1104" t="s">
        <v>11535</v>
      </c>
      <c r="D119" s="20">
        <v>374168</v>
      </c>
      <c r="E119" s="34"/>
      <c r="F119" s="20">
        <f t="shared" si="1"/>
        <v>9641921</v>
      </c>
    </row>
    <row r="120" spans="1:7" s="7" customFormat="1" ht="15.75" x14ac:dyDescent="0.25">
      <c r="A120" s="116">
        <v>45217</v>
      </c>
      <c r="B120" s="21" t="s">
        <v>10688</v>
      </c>
      <c r="C120" s="1104" t="s">
        <v>11536</v>
      </c>
      <c r="D120" s="20">
        <v>374168</v>
      </c>
      <c r="E120" s="34"/>
      <c r="F120" s="20">
        <f t="shared" si="1"/>
        <v>10016089</v>
      </c>
    </row>
    <row r="121" spans="1:7" s="7" customFormat="1" ht="15.75" x14ac:dyDescent="0.25">
      <c r="A121" s="116">
        <v>45229</v>
      </c>
      <c r="B121" s="21" t="s">
        <v>10342</v>
      </c>
      <c r="C121" s="1104" t="s">
        <v>11695</v>
      </c>
      <c r="D121" s="20">
        <v>437436</v>
      </c>
      <c r="E121" s="34"/>
      <c r="F121" s="20">
        <f t="shared" si="1"/>
        <v>10453525</v>
      </c>
    </row>
    <row r="122" spans="1:7" s="7" customFormat="1" ht="15.75" x14ac:dyDescent="0.25">
      <c r="A122" s="116">
        <v>45230</v>
      </c>
      <c r="B122" s="21" t="s">
        <v>11193</v>
      </c>
      <c r="C122" s="1104" t="s">
        <v>11696</v>
      </c>
      <c r="D122" s="20">
        <v>43900</v>
      </c>
      <c r="E122" s="34"/>
      <c r="F122" s="20">
        <f t="shared" si="1"/>
        <v>10497425</v>
      </c>
    </row>
    <row r="123" spans="1:7" s="7" customFormat="1" ht="15.75" x14ac:dyDescent="0.25">
      <c r="A123" s="116">
        <v>45231</v>
      </c>
      <c r="B123" s="13" t="s">
        <v>11662</v>
      </c>
      <c r="C123" s="1104"/>
      <c r="D123" s="20"/>
      <c r="E123" s="34">
        <v>350000</v>
      </c>
      <c r="F123" s="20">
        <f t="shared" si="1"/>
        <v>10147425</v>
      </c>
    </row>
    <row r="124" spans="1:7" s="7" customFormat="1" ht="15.75" x14ac:dyDescent="0.25">
      <c r="A124" s="116">
        <v>45231</v>
      </c>
      <c r="B124" s="13" t="s">
        <v>11663</v>
      </c>
      <c r="C124" s="1104"/>
      <c r="D124" s="20"/>
      <c r="E124" s="34">
        <v>350000</v>
      </c>
      <c r="F124" s="20">
        <f t="shared" si="1"/>
        <v>9797425</v>
      </c>
    </row>
    <row r="125" spans="1:7" s="7" customFormat="1" ht="15.75" x14ac:dyDescent="0.25">
      <c r="A125" s="116">
        <v>45231</v>
      </c>
      <c r="B125" s="21" t="s">
        <v>10688</v>
      </c>
      <c r="C125" s="1104" t="s">
        <v>11698</v>
      </c>
      <c r="D125" s="20">
        <v>168867</v>
      </c>
      <c r="E125" s="34"/>
      <c r="F125" s="20">
        <f t="shared" si="1"/>
        <v>9966292</v>
      </c>
    </row>
    <row r="126" spans="1:7" s="7" customFormat="1" ht="15.75" x14ac:dyDescent="0.25">
      <c r="A126" s="116">
        <v>45233</v>
      </c>
      <c r="B126" s="13" t="s">
        <v>11669</v>
      </c>
      <c r="C126" s="1104"/>
      <c r="D126" s="20"/>
      <c r="E126" s="34">
        <v>350000</v>
      </c>
      <c r="F126" s="20">
        <f t="shared" si="1"/>
        <v>9616292</v>
      </c>
    </row>
    <row r="127" spans="1:7" s="7" customFormat="1" ht="15.75" x14ac:dyDescent="0.25">
      <c r="A127" s="116">
        <v>45233</v>
      </c>
      <c r="B127" s="21" t="s">
        <v>11670</v>
      </c>
      <c r="C127" s="1104"/>
      <c r="D127" s="20"/>
      <c r="E127" s="34">
        <v>350000</v>
      </c>
      <c r="F127" s="20">
        <f t="shared" si="1"/>
        <v>9266292</v>
      </c>
      <c r="G127" s="1097"/>
    </row>
    <row r="128" spans="1:7" s="7" customFormat="1" ht="15.75" x14ac:dyDescent="0.25">
      <c r="A128" s="116">
        <v>45233</v>
      </c>
      <c r="B128" s="21" t="s">
        <v>10688</v>
      </c>
      <c r="C128" s="1104" t="s">
        <v>11699</v>
      </c>
      <c r="D128" s="20">
        <v>224668</v>
      </c>
      <c r="E128" s="34"/>
      <c r="F128" s="20">
        <f t="shared" si="1"/>
        <v>9490960</v>
      </c>
    </row>
    <row r="129" spans="1:6" s="7" customFormat="1" ht="15.75" x14ac:dyDescent="0.25">
      <c r="A129" s="116">
        <v>45233</v>
      </c>
      <c r="B129" s="21" t="s">
        <v>10342</v>
      </c>
      <c r="C129" s="1104" t="s">
        <v>11697</v>
      </c>
      <c r="D129" s="20">
        <v>32000</v>
      </c>
      <c r="E129" s="34"/>
      <c r="F129" s="20">
        <f t="shared" si="1"/>
        <v>9522960</v>
      </c>
    </row>
    <row r="130" spans="1:6" ht="15.75" x14ac:dyDescent="0.25">
      <c r="A130" s="116">
        <v>45236</v>
      </c>
      <c r="B130" s="2" t="s">
        <v>10342</v>
      </c>
      <c r="C130" s="1104" t="s">
        <v>11773</v>
      </c>
      <c r="D130" s="20">
        <v>32000</v>
      </c>
      <c r="E130" s="2"/>
      <c r="F130" s="20">
        <f t="shared" si="1"/>
        <v>9554960</v>
      </c>
    </row>
    <row r="131" spans="1:6" ht="15.75" x14ac:dyDescent="0.25">
      <c r="A131" s="116">
        <v>45237</v>
      </c>
      <c r="B131" s="2" t="s">
        <v>11023</v>
      </c>
      <c r="C131" s="1104"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4" t="s">
        <v>11775</v>
      </c>
      <c r="D134" s="20">
        <v>43900</v>
      </c>
      <c r="E134" s="2"/>
      <c r="F134" s="20">
        <f t="shared" si="1"/>
        <v>8931460</v>
      </c>
    </row>
    <row r="135" spans="1:6" ht="15.75" x14ac:dyDescent="0.25">
      <c r="A135" s="116">
        <v>45244</v>
      </c>
      <c r="B135" s="21" t="s">
        <v>10688</v>
      </c>
      <c r="C135" s="1104"/>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11925</v>
      </c>
      <c r="C144" s="2"/>
      <c r="D144" s="15"/>
      <c r="E144" s="15">
        <v>850000</v>
      </c>
      <c r="F144" s="20">
        <f t="shared" si="1"/>
        <v>7062585</v>
      </c>
    </row>
    <row r="145" spans="1:6" ht="15.75" x14ac:dyDescent="0.25">
      <c r="A145" s="116">
        <v>45262</v>
      </c>
      <c r="B145" s="2" t="s">
        <v>11965</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6" customFormat="1" ht="30" x14ac:dyDescent="0.25">
      <c r="A148" s="116">
        <v>45275</v>
      </c>
      <c r="B148" s="726" t="s">
        <v>12061</v>
      </c>
      <c r="C148" s="122"/>
      <c r="D148" s="122"/>
      <c r="E148" s="375">
        <v>1000000</v>
      </c>
      <c r="F148" s="1106">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6" sqref="D16"/>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389" t="s">
        <v>0</v>
      </c>
      <c r="B3" s="1390" t="s">
        <v>47</v>
      </c>
      <c r="C3" s="940" t="s">
        <v>158</v>
      </c>
      <c r="D3" s="940" t="s">
        <v>5</v>
      </c>
    </row>
    <row r="4" spans="1:5" ht="15.75" hidden="1" thickBot="1" x14ac:dyDescent="0.3">
      <c r="B4"/>
      <c r="C4"/>
      <c r="D4"/>
    </row>
    <row r="5" spans="1:5" ht="21.75" thickBot="1" x14ac:dyDescent="0.4">
      <c r="A5" s="1391" t="s">
        <v>10303</v>
      </c>
      <c r="B5" s="1392" t="s">
        <v>1707</v>
      </c>
      <c r="C5" s="1393" t="s">
        <v>1815</v>
      </c>
      <c r="D5" s="1394" t="s">
        <v>46</v>
      </c>
      <c r="E5" s="1033" t="s">
        <v>10974</v>
      </c>
    </row>
    <row r="6" spans="1:5" ht="23.25" x14ac:dyDescent="0.35">
      <c r="A6" s="1395" t="s">
        <v>7538</v>
      </c>
      <c r="B6" s="1396">
        <v>22082781</v>
      </c>
      <c r="C6" s="1396">
        <v>17475862</v>
      </c>
      <c r="D6" s="1397">
        <v>4606919</v>
      </c>
    </row>
    <row r="7" spans="1:5" ht="23.25" x14ac:dyDescent="0.35">
      <c r="A7" s="1395" t="s">
        <v>168</v>
      </c>
      <c r="B7" s="1398">
        <v>33360685</v>
      </c>
      <c r="C7" s="1398">
        <v>30420462</v>
      </c>
      <c r="D7" s="1397">
        <v>2940223</v>
      </c>
    </row>
    <row r="8" spans="1:5" ht="23.25" x14ac:dyDescent="0.35">
      <c r="A8" s="1395" t="s">
        <v>8170</v>
      </c>
      <c r="B8" s="1396">
        <v>9250000</v>
      </c>
      <c r="C8" s="1396">
        <v>7750000</v>
      </c>
      <c r="D8" s="1399">
        <v>1500000</v>
      </c>
    </row>
    <row r="9" spans="1:5" ht="23.25" x14ac:dyDescent="0.35">
      <c r="A9" s="1395" t="s">
        <v>8033</v>
      </c>
      <c r="B9" s="1396">
        <v>4770000</v>
      </c>
      <c r="C9" s="1396">
        <v>3395000</v>
      </c>
      <c r="D9" s="1399">
        <v>1375000</v>
      </c>
    </row>
    <row r="10" spans="1:5" ht="23.25" x14ac:dyDescent="0.35">
      <c r="A10" s="1395" t="s">
        <v>8483</v>
      </c>
      <c r="B10" s="1396">
        <v>24892303</v>
      </c>
      <c r="C10" s="1396">
        <v>23625797</v>
      </c>
      <c r="D10" s="1397">
        <v>1266506</v>
      </c>
    </row>
    <row r="11" spans="1:5" ht="23.25" x14ac:dyDescent="0.35">
      <c r="A11" s="1395" t="s">
        <v>5731</v>
      </c>
      <c r="B11" s="1398">
        <v>5331532</v>
      </c>
      <c r="C11" s="1398">
        <v>4411680</v>
      </c>
      <c r="D11" s="1399">
        <v>919852</v>
      </c>
    </row>
    <row r="12" spans="1:5" ht="23.25" x14ac:dyDescent="0.35">
      <c r="A12" s="1395" t="s">
        <v>7309</v>
      </c>
      <c r="B12" s="1396">
        <v>14794457</v>
      </c>
      <c r="C12" s="1396">
        <v>14003087</v>
      </c>
      <c r="D12" s="1399">
        <v>791370</v>
      </c>
    </row>
    <row r="13" spans="1:5" ht="23.25" x14ac:dyDescent="0.35">
      <c r="A13" s="1395" t="s">
        <v>166</v>
      </c>
      <c r="B13" s="1398">
        <v>20018924</v>
      </c>
      <c r="C13" s="1398">
        <v>19279034</v>
      </c>
      <c r="D13" s="1397">
        <v>739890</v>
      </c>
    </row>
    <row r="14" spans="1:5" s="4" customFormat="1" ht="23.25" x14ac:dyDescent="0.35">
      <c r="A14" s="1395" t="s">
        <v>169</v>
      </c>
      <c r="B14" s="1398">
        <v>7440327</v>
      </c>
      <c r="C14" s="1398">
        <v>6818204</v>
      </c>
      <c r="D14" s="1399">
        <v>622123</v>
      </c>
    </row>
    <row r="15" spans="1:5" ht="23.25" x14ac:dyDescent="0.35">
      <c r="A15" s="1395" t="s">
        <v>12082</v>
      </c>
      <c r="B15" s="1396">
        <v>1600298</v>
      </c>
      <c r="C15" s="1396">
        <v>1127772</v>
      </c>
      <c r="D15" s="1399">
        <v>472526</v>
      </c>
    </row>
    <row r="16" spans="1:5" s="4" customFormat="1" ht="23.25" x14ac:dyDescent="0.35">
      <c r="A16" s="1395" t="s">
        <v>1816</v>
      </c>
      <c r="B16" s="1398">
        <v>15297184</v>
      </c>
      <c r="C16" s="1398">
        <v>15018691</v>
      </c>
      <c r="D16" s="1397">
        <v>278493</v>
      </c>
    </row>
    <row r="17" spans="1:5" ht="23.25" x14ac:dyDescent="0.35">
      <c r="A17" s="1395" t="s">
        <v>11444</v>
      </c>
      <c r="B17" s="1396">
        <v>4226000</v>
      </c>
      <c r="C17" s="1396">
        <v>3960000</v>
      </c>
      <c r="D17" s="1397">
        <v>266000</v>
      </c>
    </row>
    <row r="18" spans="1:5" ht="23.25" x14ac:dyDescent="0.35">
      <c r="A18" s="1395" t="s">
        <v>180</v>
      </c>
      <c r="B18" s="1398">
        <v>23458336</v>
      </c>
      <c r="C18" s="1398">
        <v>23205516</v>
      </c>
      <c r="D18" s="1399">
        <v>252820</v>
      </c>
      <c r="E18" s="4"/>
    </row>
    <row r="19" spans="1:5" ht="23.25" x14ac:dyDescent="0.35">
      <c r="A19" s="1395" t="s">
        <v>1828</v>
      </c>
      <c r="B19" s="1398">
        <v>11639548</v>
      </c>
      <c r="C19" s="1398">
        <v>11438414</v>
      </c>
      <c r="D19" s="1399">
        <v>201134</v>
      </c>
    </row>
    <row r="20" spans="1:5" ht="23.25" x14ac:dyDescent="0.35">
      <c r="A20" s="1395" t="s">
        <v>2212</v>
      </c>
      <c r="B20" s="1398">
        <v>910728</v>
      </c>
      <c r="C20" s="1398">
        <v>769328</v>
      </c>
      <c r="D20" s="1399">
        <v>141400</v>
      </c>
    </row>
    <row r="21" spans="1:5" ht="23.25" x14ac:dyDescent="0.35">
      <c r="A21" s="1395" t="s">
        <v>11448</v>
      </c>
      <c r="B21" s="1396">
        <v>140000</v>
      </c>
      <c r="C21" s="1396"/>
      <c r="D21" s="1399">
        <v>140000</v>
      </c>
    </row>
    <row r="22" spans="1:5" s="4" customFormat="1" ht="23.25" x14ac:dyDescent="0.35">
      <c r="A22" s="1395" t="s">
        <v>6826</v>
      </c>
      <c r="B22" s="1398">
        <v>137550</v>
      </c>
      <c r="C22" s="1398">
        <v>61200</v>
      </c>
      <c r="D22" s="1399">
        <v>76350</v>
      </c>
    </row>
    <row r="23" spans="1:5" ht="23.25" x14ac:dyDescent="0.35">
      <c r="A23" s="1395" t="s">
        <v>3039</v>
      </c>
      <c r="B23" s="1398">
        <v>3121578</v>
      </c>
      <c r="C23" s="1398">
        <v>3065056</v>
      </c>
      <c r="D23" s="1399">
        <v>56522</v>
      </c>
    </row>
    <row r="24" spans="1:5" s="4" customFormat="1" ht="23.25" x14ac:dyDescent="0.35">
      <c r="A24" s="1395" t="s">
        <v>8166</v>
      </c>
      <c r="B24" s="1396">
        <v>40800</v>
      </c>
      <c r="C24" s="1396"/>
      <c r="D24" s="1399">
        <v>40800</v>
      </c>
    </row>
    <row r="25" spans="1:5" ht="23.25" x14ac:dyDescent="0.35">
      <c r="A25" s="1395" t="s">
        <v>161</v>
      </c>
      <c r="B25" s="1398">
        <v>5122182</v>
      </c>
      <c r="C25" s="1398">
        <v>5088969</v>
      </c>
      <c r="D25" s="1399">
        <v>33213</v>
      </c>
    </row>
    <row r="26" spans="1:5" s="4" customFormat="1" ht="23.25" x14ac:dyDescent="0.35">
      <c r="A26" s="1395" t="s">
        <v>8545</v>
      </c>
      <c r="B26" s="1396">
        <v>1063000</v>
      </c>
      <c r="C26" s="1396">
        <v>1039000</v>
      </c>
      <c r="D26" s="1397">
        <v>24000</v>
      </c>
    </row>
    <row r="27" spans="1:5" ht="23.25" x14ac:dyDescent="0.35">
      <c r="A27" s="1395" t="s">
        <v>164</v>
      </c>
      <c r="B27" s="1398">
        <v>5539565</v>
      </c>
      <c r="C27" s="1398">
        <v>5530271</v>
      </c>
      <c r="D27" s="1399">
        <v>9294</v>
      </c>
    </row>
    <row r="28" spans="1:5" ht="23.25" x14ac:dyDescent="0.35">
      <c r="A28" s="1395" t="s">
        <v>440</v>
      </c>
      <c r="B28" s="1398">
        <v>2807432</v>
      </c>
      <c r="C28" s="1398">
        <v>2798262</v>
      </c>
      <c r="D28" s="1399">
        <v>9170</v>
      </c>
    </row>
    <row r="29" spans="1:5" s="4" customFormat="1" ht="23.25" x14ac:dyDescent="0.35">
      <c r="A29" s="1395" t="s">
        <v>7748</v>
      </c>
      <c r="B29" s="1396">
        <v>72000</v>
      </c>
      <c r="C29" s="1396">
        <v>68000</v>
      </c>
      <c r="D29" s="1399">
        <v>4000</v>
      </c>
    </row>
    <row r="30" spans="1:5" ht="23.25" x14ac:dyDescent="0.35">
      <c r="A30" s="1395" t="s">
        <v>8301</v>
      </c>
      <c r="B30" s="1396">
        <v>75857</v>
      </c>
      <c r="C30" s="1396">
        <v>75857</v>
      </c>
      <c r="D30" s="1399">
        <v>0</v>
      </c>
    </row>
    <row r="31" spans="1:5" s="4" customFormat="1" ht="23.25" x14ac:dyDescent="0.35">
      <c r="A31" s="1395" t="s">
        <v>162</v>
      </c>
      <c r="B31" s="1398">
        <v>1123152</v>
      </c>
      <c r="C31" s="1398">
        <v>1123152</v>
      </c>
      <c r="D31" s="1399">
        <v>0</v>
      </c>
    </row>
    <row r="32" spans="1:5" ht="23.25" x14ac:dyDescent="0.35">
      <c r="A32" s="1395" t="s">
        <v>8479</v>
      </c>
      <c r="B32" s="1396">
        <v>929240</v>
      </c>
      <c r="C32" s="1396">
        <v>929240</v>
      </c>
      <c r="D32" s="1397">
        <v>0</v>
      </c>
    </row>
    <row r="33" spans="1:4" s="4" customFormat="1" ht="23.25" x14ac:dyDescent="0.35">
      <c r="A33" s="1395" t="s">
        <v>6868</v>
      </c>
      <c r="B33" s="1396">
        <v>401680</v>
      </c>
      <c r="C33" s="1396">
        <v>401680</v>
      </c>
      <c r="D33" s="1399">
        <v>0</v>
      </c>
    </row>
    <row r="34" spans="1:4" ht="23.25" x14ac:dyDescent="0.35">
      <c r="A34" s="1395" t="s">
        <v>3738</v>
      </c>
      <c r="B34" s="1398">
        <v>4508400</v>
      </c>
      <c r="C34" s="1398">
        <v>4508400</v>
      </c>
      <c r="D34" s="1399">
        <v>0</v>
      </c>
    </row>
    <row r="35" spans="1:4" ht="23.25" x14ac:dyDescent="0.35">
      <c r="A35" s="1395" t="s">
        <v>7246</v>
      </c>
      <c r="B35" s="1396">
        <v>107110</v>
      </c>
      <c r="C35" s="1396">
        <v>107110</v>
      </c>
      <c r="D35" s="1399">
        <v>0</v>
      </c>
    </row>
    <row r="36" spans="1:4" s="4" customFormat="1" ht="23.25" x14ac:dyDescent="0.35">
      <c r="A36" s="1395" t="s">
        <v>7985</v>
      </c>
      <c r="B36" s="1396">
        <v>213963</v>
      </c>
      <c r="C36" s="1396">
        <v>213963</v>
      </c>
      <c r="D36" s="1397">
        <v>0</v>
      </c>
    </row>
    <row r="37" spans="1:4" ht="23.25" x14ac:dyDescent="0.35">
      <c r="A37" s="1395" t="s">
        <v>7248</v>
      </c>
      <c r="B37" s="1396">
        <v>45000</v>
      </c>
      <c r="C37" s="1396">
        <v>45000</v>
      </c>
      <c r="D37" s="1397">
        <v>0</v>
      </c>
    </row>
    <row r="38" spans="1:4" ht="23.25" x14ac:dyDescent="0.35">
      <c r="A38" s="1395" t="s">
        <v>4853</v>
      </c>
      <c r="B38" s="1398">
        <v>1173409</v>
      </c>
      <c r="C38" s="1398">
        <v>1173409</v>
      </c>
      <c r="D38" s="1399">
        <v>0</v>
      </c>
    </row>
    <row r="39" spans="1:4" ht="23.25" x14ac:dyDescent="0.35">
      <c r="A39" s="1395" t="s">
        <v>2609</v>
      </c>
      <c r="B39" s="1396">
        <v>269000</v>
      </c>
      <c r="C39" s="1396">
        <v>269000</v>
      </c>
      <c r="D39" s="1397">
        <v>0</v>
      </c>
    </row>
    <row r="40" spans="1:4" s="4" customFormat="1" ht="23.25" x14ac:dyDescent="0.35">
      <c r="A40" s="1395" t="s">
        <v>9006</v>
      </c>
      <c r="B40" s="1396">
        <v>300000</v>
      </c>
      <c r="C40" s="1396">
        <v>300000</v>
      </c>
      <c r="D40" s="1399">
        <v>0</v>
      </c>
    </row>
    <row r="41" spans="1:4" ht="23.25" x14ac:dyDescent="0.35">
      <c r="A41" s="1395" t="s">
        <v>3255</v>
      </c>
      <c r="B41" s="1398">
        <v>8500000</v>
      </c>
      <c r="C41" s="1398">
        <v>8500000</v>
      </c>
      <c r="D41" s="1399">
        <v>0</v>
      </c>
    </row>
    <row r="42" spans="1:4" ht="23.25" x14ac:dyDescent="0.35">
      <c r="A42" s="1395" t="s">
        <v>2281</v>
      </c>
      <c r="B42" s="1398">
        <v>7994136</v>
      </c>
      <c r="C42" s="1398">
        <v>7994136</v>
      </c>
      <c r="D42" s="1399">
        <v>0</v>
      </c>
    </row>
    <row r="43" spans="1:4" ht="23.25" x14ac:dyDescent="0.35">
      <c r="A43" s="1395" t="s">
        <v>2327</v>
      </c>
      <c r="B43" s="1398">
        <v>1318169</v>
      </c>
      <c r="C43" s="1398">
        <v>1318169</v>
      </c>
      <c r="D43" s="1399">
        <v>0</v>
      </c>
    </row>
    <row r="44" spans="1:4" s="4" customFormat="1" ht="23.25" x14ac:dyDescent="0.35">
      <c r="A44" s="1395" t="s">
        <v>8329</v>
      </c>
      <c r="B44" s="1396">
        <v>884054</v>
      </c>
      <c r="C44" s="1396">
        <v>884054</v>
      </c>
      <c r="D44" s="1399">
        <v>0</v>
      </c>
    </row>
    <row r="45" spans="1:4" ht="23.25" x14ac:dyDescent="0.35">
      <c r="A45" s="1395" t="s">
        <v>9186</v>
      </c>
      <c r="B45" s="1396">
        <v>885000</v>
      </c>
      <c r="C45" s="1396">
        <v>885000</v>
      </c>
      <c r="D45" s="1397">
        <v>0</v>
      </c>
    </row>
    <row r="46" spans="1:4" ht="23.25" x14ac:dyDescent="0.35">
      <c r="A46" s="1395" t="s">
        <v>8477</v>
      </c>
      <c r="B46" s="1396">
        <v>975000</v>
      </c>
      <c r="C46" s="1396">
        <v>975000</v>
      </c>
      <c r="D46" s="1399">
        <v>0</v>
      </c>
    </row>
    <row r="47" spans="1:4" s="4" customFormat="1" ht="23.25" x14ac:dyDescent="0.35">
      <c r="A47" s="1395" t="s">
        <v>4445</v>
      </c>
      <c r="B47" s="1398">
        <v>2404759</v>
      </c>
      <c r="C47" s="1398">
        <v>2404759</v>
      </c>
      <c r="D47" s="1399">
        <v>0</v>
      </c>
    </row>
    <row r="48" spans="1:4" ht="23.25" x14ac:dyDescent="0.35">
      <c r="A48" s="1395" t="s">
        <v>75</v>
      </c>
      <c r="B48" s="1398"/>
      <c r="C48" s="1398"/>
      <c r="D48" s="1399">
        <v>0</v>
      </c>
    </row>
    <row r="49" spans="1:4" s="4" customFormat="1" ht="23.25" x14ac:dyDescent="0.35">
      <c r="A49" s="1395" t="s">
        <v>8803</v>
      </c>
      <c r="B49" s="1396">
        <v>300000</v>
      </c>
      <c r="C49" s="1396">
        <v>300000</v>
      </c>
      <c r="D49" s="1397">
        <v>0</v>
      </c>
    </row>
    <row r="50" spans="1:4" ht="23.25" x14ac:dyDescent="0.35">
      <c r="A50" s="1395" t="s">
        <v>6867</v>
      </c>
      <c r="B50" s="1396">
        <v>836000</v>
      </c>
      <c r="C50" s="1396">
        <v>836000</v>
      </c>
      <c r="D50" s="1399">
        <v>0</v>
      </c>
    </row>
    <row r="51" spans="1:4" ht="23.25" x14ac:dyDescent="0.35">
      <c r="A51" s="1395" t="s">
        <v>7854</v>
      </c>
      <c r="B51" s="1396">
        <v>55000</v>
      </c>
      <c r="C51" s="1396">
        <v>55000</v>
      </c>
      <c r="D51" s="1399">
        <v>0</v>
      </c>
    </row>
    <row r="52" spans="1:4" ht="23.25" x14ac:dyDescent="0.35">
      <c r="A52" s="1395" t="s">
        <v>6556</v>
      </c>
      <c r="B52" s="1396">
        <v>18000</v>
      </c>
      <c r="C52" s="1396">
        <v>18000</v>
      </c>
      <c r="D52" s="1399">
        <v>0</v>
      </c>
    </row>
    <row r="53" spans="1:4" ht="23.25" x14ac:dyDescent="0.35">
      <c r="A53" s="1395" t="s">
        <v>7828</v>
      </c>
      <c r="B53" s="1396">
        <v>135950</v>
      </c>
      <c r="C53" s="1396">
        <v>135950</v>
      </c>
      <c r="D53" s="1397">
        <v>0</v>
      </c>
    </row>
    <row r="54" spans="1:4" ht="23.25" x14ac:dyDescent="0.35">
      <c r="A54" s="1395" t="s">
        <v>5113</v>
      </c>
      <c r="B54" s="1398">
        <v>1683890</v>
      </c>
      <c r="C54" s="1398">
        <v>1683890</v>
      </c>
      <c r="D54" s="1399">
        <v>0</v>
      </c>
    </row>
    <row r="55" spans="1:4" ht="23.25" x14ac:dyDescent="0.35">
      <c r="A55" s="1395" t="s">
        <v>7943</v>
      </c>
      <c r="B55" s="1396">
        <v>110000</v>
      </c>
      <c r="C55" s="1396">
        <v>110000</v>
      </c>
      <c r="D55" s="1397">
        <v>0</v>
      </c>
    </row>
    <row r="56" spans="1:4" s="4" customFormat="1" ht="23.25" x14ac:dyDescent="0.35">
      <c r="A56" s="1395" t="s">
        <v>11450</v>
      </c>
      <c r="B56" s="1396">
        <v>1061510</v>
      </c>
      <c r="C56" s="1396">
        <v>1061510</v>
      </c>
      <c r="D56" s="1397">
        <v>0</v>
      </c>
    </row>
    <row r="57" spans="1:4" ht="23.25" x14ac:dyDescent="0.35">
      <c r="A57" s="1395" t="s">
        <v>1535</v>
      </c>
      <c r="B57" s="1396">
        <v>253832</v>
      </c>
      <c r="C57" s="1396">
        <v>253832</v>
      </c>
      <c r="D57" s="1399">
        <v>0</v>
      </c>
    </row>
    <row r="58" spans="1:4" ht="23.25" x14ac:dyDescent="0.35">
      <c r="A58" s="1395" t="s">
        <v>3696</v>
      </c>
      <c r="B58" s="1398">
        <v>1711621</v>
      </c>
      <c r="C58" s="1398">
        <v>1711621</v>
      </c>
      <c r="D58" s="1399">
        <v>0</v>
      </c>
    </row>
    <row r="59" spans="1:4" ht="23.25" x14ac:dyDescent="0.35">
      <c r="A59" s="1395" t="s">
        <v>7560</v>
      </c>
      <c r="B59" s="1396">
        <v>121505</v>
      </c>
      <c r="C59" s="1396">
        <v>121505</v>
      </c>
      <c r="D59" s="1399">
        <v>0</v>
      </c>
    </row>
    <row r="60" spans="1:4" ht="23.25" x14ac:dyDescent="0.35">
      <c r="A60" s="1395" t="s">
        <v>7634</v>
      </c>
      <c r="B60" s="1398">
        <v>44807</v>
      </c>
      <c r="C60" s="1398">
        <v>44807</v>
      </c>
      <c r="D60" s="1399">
        <v>0</v>
      </c>
    </row>
    <row r="61" spans="1:4" s="4" customFormat="1" ht="23.25" x14ac:dyDescent="0.35">
      <c r="A61" s="1395" t="s">
        <v>7587</v>
      </c>
      <c r="B61" s="1396">
        <v>556000</v>
      </c>
      <c r="C61" s="1396">
        <v>556000</v>
      </c>
      <c r="D61" s="1397">
        <v>0</v>
      </c>
    </row>
    <row r="62" spans="1:4" ht="23.25" x14ac:dyDescent="0.35">
      <c r="A62" s="1395" t="s">
        <v>12084</v>
      </c>
      <c r="B62" s="1396">
        <v>2952685</v>
      </c>
      <c r="C62" s="1396">
        <v>3000000</v>
      </c>
      <c r="D62" s="1399">
        <v>-47315</v>
      </c>
    </row>
    <row r="63" spans="1:4" ht="23.25" x14ac:dyDescent="0.35">
      <c r="A63" s="1395" t="s">
        <v>5234</v>
      </c>
      <c r="B63" s="1396">
        <v>2977420</v>
      </c>
      <c r="C63" s="1396">
        <v>3305962</v>
      </c>
      <c r="D63" s="1399">
        <v>-328542</v>
      </c>
    </row>
    <row r="64" spans="1:4" s="4" customFormat="1" ht="24" thickBot="1" x14ac:dyDescent="0.4">
      <c r="A64" s="1395" t="s">
        <v>12081</v>
      </c>
      <c r="B64" s="1396">
        <v>6563280</v>
      </c>
      <c r="C64" s="1396">
        <v>10500000</v>
      </c>
      <c r="D64" s="1399">
        <v>-3936720</v>
      </c>
    </row>
    <row r="65" spans="1:11" ht="19.5" thickBot="1" x14ac:dyDescent="0.35">
      <c r="A65" s="1400" t="s">
        <v>45</v>
      </c>
      <c r="B65" s="1401">
        <v>268606639</v>
      </c>
      <c r="C65" s="1402">
        <v>256151611</v>
      </c>
      <c r="D65" s="1403">
        <v>12455028</v>
      </c>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1"/>
      <c r="H70" s="251"/>
      <c r="I70" s="251">
        <f ca="1">SUMIF($A:$D,$F$70,D:D)</f>
        <v>2940223</v>
      </c>
    </row>
    <row r="71" spans="1:11" ht="18.75" x14ac:dyDescent="0.3">
      <c r="B71"/>
      <c r="C71"/>
      <c r="D71"/>
      <c r="F71" s="4" t="s">
        <v>12085</v>
      </c>
      <c r="G71" s="251">
        <f ca="1">SUMIF($A:$B,F71,B:B)</f>
        <v>1600298</v>
      </c>
      <c r="H71" s="251">
        <f ca="1">SUMIF($A:$C,F71,C:C)</f>
        <v>1127772</v>
      </c>
      <c r="I71" s="251">
        <f ca="1">SUMIF(A:D,F71,D:D)</f>
        <v>472526</v>
      </c>
    </row>
    <row r="72" spans="1:11" ht="18.75" x14ac:dyDescent="0.3">
      <c r="B72"/>
      <c r="C72"/>
      <c r="D72"/>
      <c r="F72" s="4" t="s">
        <v>12086</v>
      </c>
      <c r="G72" s="251">
        <f ca="1">SUMIF($A:$B,F72,B:B)</f>
        <v>6563280</v>
      </c>
      <c r="H72" s="251">
        <f ca="1">SUMIF($A:$C,F72,C:C)</f>
        <v>10500000</v>
      </c>
      <c r="I72" s="251">
        <f ca="1">SUMIF(A:D,F72,D:D)</f>
        <v>-3936720</v>
      </c>
    </row>
    <row r="73" spans="1:11" ht="18.75" x14ac:dyDescent="0.3">
      <c r="B73"/>
      <c r="C73"/>
      <c r="D73"/>
      <c r="F73" s="4" t="s">
        <v>12087</v>
      </c>
      <c r="G73" s="251">
        <f ca="1">SUMIF($A:$B,F73,B:B)</f>
        <v>2952685</v>
      </c>
      <c r="H73" s="251">
        <f ca="1">SUMIF($A:$C,F73,C:C)</f>
        <v>3000000</v>
      </c>
      <c r="I73" s="251">
        <f ca="1">SUMIF(A:D,F73,D:D)</f>
        <v>-47315</v>
      </c>
    </row>
    <row r="74" spans="1:11" s="5" customFormat="1" ht="18.75" x14ac:dyDescent="0.3">
      <c r="A74"/>
      <c r="B74"/>
      <c r="C74"/>
      <c r="D74"/>
      <c r="I74" s="1125">
        <f ca="1">SUM(I70:I73)</f>
        <v>-571286</v>
      </c>
      <c r="K74" s="1125"/>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90714</v>
      </c>
      <c r="K78" s="3"/>
    </row>
    <row r="79" spans="1:11" x14ac:dyDescent="0.25">
      <c r="B79"/>
      <c r="C79"/>
      <c r="D79"/>
    </row>
    <row r="80" spans="1:11" x14ac:dyDescent="0.25">
      <c r="B80"/>
      <c r="C80"/>
      <c r="D80"/>
      <c r="I80" s="3">
        <f ca="1">I78-155000</f>
        <v>-64286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ht="15.75" thickBot="1" x14ac:dyDescent="0.3"/>
    <row r="108" customFormat="1" ht="15.75" thickBot="1" x14ac:dyDescent="0.3"/>
    <row r="109" customFormat="1" x14ac:dyDescent="0.25"/>
    <row r="110" customFormat="1" x14ac:dyDescent="0.25"/>
    <row r="111" customFormat="1" x14ac:dyDescent="0.25"/>
    <row r="112" customFormat="1" ht="15.75" thickBot="1" x14ac:dyDescent="0.3"/>
    <row r="113" customFormat="1" ht="15.75" thickBot="1" x14ac:dyDescent="0.3"/>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32"/>
      <c r="I4" s="1132"/>
      <c r="J4" s="1132"/>
    </row>
    <row r="5" spans="1:10" ht="24" thickBot="1" x14ac:dyDescent="0.35">
      <c r="A5" s="294" t="s">
        <v>4172</v>
      </c>
      <c r="B5" s="295" t="s">
        <v>4169</v>
      </c>
      <c r="C5" s="295" t="s">
        <v>4170</v>
      </c>
      <c r="D5" s="295" t="s">
        <v>4171</v>
      </c>
      <c r="E5" s="1033" t="s">
        <v>10974</v>
      </c>
      <c r="H5" s="1132"/>
      <c r="I5" s="1132"/>
      <c r="J5" s="1132"/>
    </row>
    <row r="6" spans="1:10" x14ac:dyDescent="0.3">
      <c r="A6" s="338" t="s">
        <v>11682</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11897</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4056400</v>
      </c>
      <c r="C26" s="297"/>
      <c r="D26" s="297">
        <v>-4056400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4769800</v>
      </c>
      <c r="C29" s="297"/>
      <c r="D29" s="297">
        <v>-4769800</v>
      </c>
    </row>
    <row r="30" spans="1:4" x14ac:dyDescent="0.3">
      <c r="A30" s="296" t="s">
        <v>45</v>
      </c>
      <c r="B30" s="297">
        <v>32876340</v>
      </c>
      <c r="C30" s="297"/>
      <c r="D30" s="297">
        <v>-32876340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10688</v>
      </c>
      <c r="C1" s="1011" t="s">
        <v>10490</v>
      </c>
      <c r="D1" s="1012" t="s">
        <v>10273</v>
      </c>
      <c r="E1" s="1011" t="s">
        <v>10449</v>
      </c>
      <c r="F1" s="1011" t="s">
        <v>10406</v>
      </c>
      <c r="G1" s="1011" t="s">
        <v>10342</v>
      </c>
      <c r="H1" s="1011" t="s">
        <v>10254</v>
      </c>
      <c r="I1" s="1011" t="s">
        <v>10232</v>
      </c>
      <c r="J1" s="1011" t="s">
        <v>10133</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10406</v>
      </c>
      <c r="B2" s="1015">
        <f>SUMIFS(Supplier!E3662:E3690,Supplier!C3662:C3690,s!A2,Supplier!B3662:B3690,s!$B$1)</f>
        <v>0</v>
      </c>
      <c r="C2" s="1015">
        <f>SUMIFS(Supplier!F3662:F3690,Supplier!D3662:D3690,s!B2,Supplier!C3662:C3690,s!$B$1)</f>
        <v>0</v>
      </c>
      <c r="D2" s="1015">
        <f>SUMIFS(Supplier!G3662:G3690,Supplier!E3662:E3690,s!C2,Supplier!D3662:D3690,s!$B$1)</f>
        <v>0</v>
      </c>
      <c r="E2" s="1015">
        <f>SUMIFS(Supplier!H3662:H3690,Supplier!F3662:F3690,s!D2,Supplier!E3662:E3690,s!$B$1)</f>
        <v>0</v>
      </c>
      <c r="F2" s="1015">
        <f>SUMIFS(Supplier!I3662:I3690,Supplier!G3662:G3690,s!E2,Supplier!F3662:F3690,s!$B$1)</f>
        <v>0</v>
      </c>
      <c r="G2" s="1015">
        <f>SUMIFS(Supplier!J3662:J3690,Supplier!H3662:H3690,s!F2,Supplier!G3662:G3690,s!$B$1)</f>
        <v>0</v>
      </c>
      <c r="H2" s="1015">
        <f ca="1">SUMIFS(Supplier!K3662:K3690,Supplier!I3662:I3690,s!G2,Supplier!H3662:H3690,s!$B$1)</f>
        <v>0</v>
      </c>
      <c r="I2" s="1015">
        <f ca="1">SUMIFS(Supplier!L3662:L3690,Supplier!J3662:J3690,s!H2,Supplier!I3662:I3690,s!$B$1)</f>
        <v>0</v>
      </c>
      <c r="J2" s="1015">
        <f ca="1">SUMIFS(Supplier!M3662:M3690,Supplier!K3662:K3690,s!I2,Supplier!J3662:J3690,s!$B$1)</f>
        <v>0</v>
      </c>
      <c r="K2" s="1015">
        <f ca="1">SUMIFS(Supplier!N3662:N3690,Supplier!L3662:L3690,s!J2,Supplier!K3662:K3690,s!$B$1)</f>
        <v>0</v>
      </c>
      <c r="L2" s="1015">
        <f ca="1">SUMIF(Supplier!$A$3662:$E$3690,s!K2,Supplier!$E$3662:$E$3690)</f>
        <v>0</v>
      </c>
      <c r="M2" s="1015">
        <f ca="1">SUMIF(Supplier!$A$3662:$E$3690,s!L2,Supplier!$E$3662:$E$3690)</f>
        <v>0</v>
      </c>
      <c r="N2" s="1015">
        <f ca="1">SUMIF(Supplier!$A$3662:$E$3690,s!M2,Supplier!$E$3662:$E$3690)</f>
        <v>0</v>
      </c>
      <c r="O2" s="1015">
        <f ca="1">SUMIF(Supplier!$A$3662:$E$3690,s!N2,Supplier!$E$3662:$E$3690)</f>
        <v>0</v>
      </c>
      <c r="P2" s="1015">
        <f ca="1">SUMIF(Supplier!$A$3662:$E$3690,s!O2,Supplier!$E$3662:$E$3690)</f>
        <v>0</v>
      </c>
      <c r="Q2" s="1015">
        <f ca="1">SUMIF(Supplier!$A$3662:$E$3690,s!P2,Supplier!$E$3662:$E$3690)</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10077</v>
      </c>
      <c r="B3" s="1015">
        <f>SUMIFS(Supplier!E3663:E3696,Supplier!C3663:C3696,s!A3,Supplier!B3663:B3696,s!$B$1)</f>
        <v>0</v>
      </c>
      <c r="C3" s="1015">
        <f>SUMIFS(Supplier!F3663:F3696,Supplier!D3663:D3696,s!B3,Supplier!C3663:C3696,s!$B$1)</f>
        <v>0</v>
      </c>
      <c r="D3" s="1015">
        <f>SUMIFS(Supplier!G3663:G3696,Supplier!E3663:E3696,s!C3,Supplier!D3663:D3696,s!$B$1)</f>
        <v>0</v>
      </c>
      <c r="E3" s="1015">
        <f>SUMIFS(Supplier!H3663:H3696,Supplier!F3663:F3696,s!D3,Supplier!E3663:E3696,s!$B$1)</f>
        <v>0</v>
      </c>
      <c r="F3" s="1015">
        <f>SUMIFS(Supplier!I3663:I3696,Supplier!G3663:G3696,s!E3,Supplier!F3663:F3696,s!$B$1)</f>
        <v>0</v>
      </c>
      <c r="G3" s="1015">
        <f>SUMIFS(Supplier!J3663:J3696,Supplier!H3663:H3696,s!F3,Supplier!G3663:G3696,s!$B$1)</f>
        <v>0</v>
      </c>
      <c r="H3" s="1015">
        <f ca="1">SUMIFS(Supplier!K3663:K3696,Supplier!I3663:I3696,s!G3,Supplier!H3663:H3696,s!$B$1)</f>
        <v>0</v>
      </c>
      <c r="I3" s="1015">
        <f ca="1">SUMIFS(Supplier!L3663:L3696,Supplier!J3663:J3696,s!H3,Supplier!I3663:I3696,s!$B$1)</f>
        <v>0</v>
      </c>
      <c r="J3" s="1015">
        <f ca="1">SUMIFS(Supplier!M3663:M3696,Supplier!K3663:K3696,s!I3,Supplier!J3663:J3696,s!$B$1)</f>
        <v>0</v>
      </c>
      <c r="K3" s="1015">
        <f ca="1">SUMIFS(Supplier!N3663:N3696,Supplier!L3663:L3696,s!J3,Supplier!K3663:K3696,s!$B$1)</f>
        <v>0</v>
      </c>
      <c r="L3" s="1015">
        <f ca="1">SUMIF(Supplier!$A$3662:$E$3690,s!K3,Supplier!$E$3662:$E$3690)</f>
        <v>0</v>
      </c>
      <c r="M3" s="1015">
        <f ca="1">SUMIF(Supplier!$A$3662:$E$3690,s!L3,Supplier!$E$3662:$E$3690)</f>
        <v>0</v>
      </c>
      <c r="N3" s="1015">
        <f ca="1">SUMIF(Supplier!$A$3662:$E$3690,s!M3,Supplier!$E$3662:$E$3690)</f>
        <v>0</v>
      </c>
      <c r="O3" s="1015">
        <f ca="1">SUMIF(Supplier!$A$3662:$E$3690,s!N3,Supplier!$E$3662:$E$3690)</f>
        <v>0</v>
      </c>
      <c r="P3" s="1015">
        <f ca="1">SUMIF(Supplier!$A$3662:$E$3690,s!O3,Supplier!$E$3662:$E$3690)</f>
        <v>0</v>
      </c>
      <c r="Q3" s="1015">
        <f ca="1">SUMIF(Supplier!$A$3662:$E$3690,s!P3,Supplier!$E$3662:$E$3690)</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10261</v>
      </c>
      <c r="B4" s="1015">
        <f>SUMIFS(Supplier!E3664:E3699,Supplier!C3664:C3699,s!A4,Supplier!B3664:B3699,s!$B$1)</f>
        <v>0</v>
      </c>
      <c r="C4" s="1015">
        <f>SUMIFS(Supplier!F3664:F3699,Supplier!D3664:D3699,s!B4,Supplier!C3664:C3699,s!$B$1)</f>
        <v>0</v>
      </c>
      <c r="D4" s="1015">
        <f>SUMIFS(Supplier!G3664:G3699,Supplier!E3664:E3699,s!C4,Supplier!D3664:D3699,s!$B$1)</f>
        <v>0</v>
      </c>
      <c r="E4" s="1015">
        <f>SUMIFS(Supplier!H3664:H3699,Supplier!F3664:F3699,s!D4,Supplier!E3664:E3699,s!$B$1)</f>
        <v>0</v>
      </c>
      <c r="F4" s="1015">
        <f>SUMIFS(Supplier!I3664:I3699,Supplier!G3664:G3699,s!E4,Supplier!F3664:F3699,s!$B$1)</f>
        <v>0</v>
      </c>
      <c r="G4" s="1015">
        <f>SUMIFS(Supplier!J3664:J3699,Supplier!H3664:H3699,s!F4,Supplier!G3664:G3699,s!$B$1)</f>
        <v>0</v>
      </c>
      <c r="H4" s="1015">
        <f ca="1">SUMIFS(Supplier!K3664:K3699,Supplier!I3664:I3699,s!G4,Supplier!H3664:H3699,s!$B$1)</f>
        <v>0</v>
      </c>
      <c r="I4" s="1015">
        <f ca="1">SUMIFS(Supplier!L3664:L3699,Supplier!J3664:J3699,s!H4,Supplier!I3664:I3699,s!$B$1)</f>
        <v>0</v>
      </c>
      <c r="J4" s="1015">
        <f ca="1">SUMIFS(Supplier!M3664:M3699,Supplier!K3664:K3699,s!I4,Supplier!J3664:J3699,s!$B$1)</f>
        <v>0</v>
      </c>
      <c r="K4" s="1015">
        <f ca="1">SUMIFS(Supplier!N3664:N3699,Supplier!L3664:L3699,s!J4,Supplier!K3664:K3699,s!$B$1)</f>
        <v>0</v>
      </c>
      <c r="L4" s="1015">
        <f ca="1">SUMIF(Supplier!$A$3662:$E$3690,s!K4,Supplier!$E$3662:$E$3690)</f>
        <v>0</v>
      </c>
      <c r="M4" s="1015">
        <f ca="1">SUMIF(Supplier!$A$3662:$E$3690,s!L4,Supplier!$E$3662:$E$3690)</f>
        <v>0</v>
      </c>
      <c r="N4" s="1015">
        <f ca="1">SUMIF(Supplier!$A$3662:$E$3690,s!M4,Supplier!$E$3662:$E$3690)</f>
        <v>0</v>
      </c>
      <c r="O4" s="1015">
        <f ca="1">SUMIF(Supplier!$A$3662:$E$3690,s!N4,Supplier!$E$3662:$E$3690)</f>
        <v>0</v>
      </c>
      <c r="P4" s="1015">
        <f ca="1">SUMIF(Supplier!$A$3662:$E$3690,s!O4,Supplier!$E$3662:$E$3690)</f>
        <v>0</v>
      </c>
      <c r="Q4" s="1015">
        <f ca="1">SUMIF(Supplier!$A$3662:$E$3690,s!P4,Supplier!$E$3662:$E$3690)</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10606</v>
      </c>
      <c r="B5" s="1015">
        <f>SUMIFS(Supplier!E3665:E3700,Supplier!C3665:C3700,s!A5,Supplier!B3665:B3700,s!$B$1)</f>
        <v>0</v>
      </c>
      <c r="C5" s="1015">
        <f>SUMIFS(Supplier!F3665:F3700,Supplier!D3665:D3700,s!B5,Supplier!C3665:C3700,s!$B$1)</f>
        <v>0</v>
      </c>
      <c r="D5" s="1015">
        <f>SUMIFS(Supplier!G3665:G3700,Supplier!E3665:E3700,s!C5,Supplier!D3665:D3700,s!$B$1)</f>
        <v>0</v>
      </c>
      <c r="E5" s="1015">
        <f>SUMIFS(Supplier!H3665:H3700,Supplier!F3665:F3700,s!D5,Supplier!E3665:E3700,s!$B$1)</f>
        <v>0</v>
      </c>
      <c r="F5" s="1015">
        <f>SUMIFS(Supplier!I3665:I3700,Supplier!G3665:G3700,s!E5,Supplier!F3665:F3700,s!$B$1)</f>
        <v>0</v>
      </c>
      <c r="G5" s="1015">
        <f>SUMIFS(Supplier!J3665:J3700,Supplier!H3665:H3700,s!F5,Supplier!G3665:G3700,s!$B$1)</f>
        <v>0</v>
      </c>
      <c r="H5" s="1015">
        <f ca="1">SUMIFS(Supplier!K3665:K3700,Supplier!I3665:I3700,s!G5,Supplier!H3665:H3700,s!$B$1)</f>
        <v>0</v>
      </c>
      <c r="I5" s="1015">
        <f ca="1">SUMIFS(Supplier!L3665:L3700,Supplier!J3665:J3700,s!H5,Supplier!I3665:I3700,s!$B$1)</f>
        <v>0</v>
      </c>
      <c r="J5" s="1015">
        <f ca="1">SUMIFS(Supplier!M3665:M3700,Supplier!K3665:K3700,s!I5,Supplier!J3665:J3700,s!$B$1)</f>
        <v>0</v>
      </c>
      <c r="K5" s="1015">
        <f ca="1">SUMIFS(Supplier!N3665:N3700,Supplier!L3665:L3700,s!J5,Supplier!K3665:K3700,s!$B$1)</f>
        <v>0</v>
      </c>
      <c r="L5" s="1015">
        <f ca="1">SUMIF(Supplier!$A$3662:$E$3690,s!K5,Supplier!$E$3662:$E$3690)</f>
        <v>0</v>
      </c>
      <c r="M5" s="1015">
        <f ca="1">SUMIF(Supplier!$A$3662:$E$3690,s!L5,Supplier!$E$3662:$E$3690)</f>
        <v>0</v>
      </c>
      <c r="N5" s="1015">
        <f ca="1">SUMIF(Supplier!$A$3662:$E$3690,s!M5,Supplier!$E$3662:$E$3690)</f>
        <v>0</v>
      </c>
      <c r="O5" s="1015">
        <f ca="1">SUMIF(Supplier!$A$3662:$E$3690,s!N5,Supplier!$E$3662:$E$3690)</f>
        <v>0</v>
      </c>
      <c r="P5" s="1015">
        <f ca="1">SUMIF(Supplier!$A$3662:$E$3690,s!O5,Supplier!$E$3662:$E$3690)</f>
        <v>0</v>
      </c>
      <c r="Q5" s="1015">
        <f ca="1">SUMIF(Supplier!$A$3662:$E$3690,s!P5,Supplier!$E$3662:$E$3690)</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SUMIFS(Supplier!E3666:E3701,Supplier!C3666:C3701,s!A6,Supplier!B3666:B3701,s!$B$1)</f>
        <v>0</v>
      </c>
      <c r="C6" s="1015">
        <f>SUMIFS(Supplier!F3666:F3701,Supplier!D3666:D3701,s!B6,Supplier!C3666:C3701,s!$B$1)</f>
        <v>0</v>
      </c>
      <c r="D6" s="1015">
        <f>SUMIFS(Supplier!G3666:G3701,Supplier!E3666:E3701,s!C6,Supplier!D3666:D3701,s!$B$1)</f>
        <v>0</v>
      </c>
      <c r="E6" s="1015">
        <f>SUMIFS(Supplier!H3666:H3701,Supplier!F3666:F3701,s!D6,Supplier!E3666:E3701,s!$B$1)</f>
        <v>0</v>
      </c>
      <c r="F6" s="1015">
        <f>SUMIFS(Supplier!I3666:I3701,Supplier!G3666:G3701,s!E6,Supplier!F3666:F3701,s!$B$1)</f>
        <v>0</v>
      </c>
      <c r="G6" s="1015">
        <f>SUMIFS(Supplier!J3666:J3701,Supplier!H3666:H3701,s!F6,Supplier!G3666:G3701,s!$B$1)</f>
        <v>0</v>
      </c>
      <c r="H6" s="1015">
        <f ca="1">SUMIFS(Supplier!K3666:K3701,Supplier!I3666:I3701,s!G6,Supplier!H3666:H3701,s!$B$1)</f>
        <v>0</v>
      </c>
      <c r="I6" s="1015">
        <f ca="1">SUMIFS(Supplier!L3666:L3701,Supplier!J3666:J3701,s!H6,Supplier!I3666:I3701,s!$B$1)</f>
        <v>0</v>
      </c>
      <c r="J6" s="1015">
        <f ca="1">SUMIFS(Supplier!M3666:M3701,Supplier!K3666:K3701,s!I6,Supplier!J3666:J3701,s!$B$1)</f>
        <v>0</v>
      </c>
      <c r="K6" s="1015">
        <f ca="1">SUMIFS(Supplier!N3666:N3701,Supplier!L3666:L3701,s!J6,Supplier!K3666:K3701,s!$B$1)</f>
        <v>0</v>
      </c>
      <c r="L6" s="1015">
        <f ca="1">SUMIF(Supplier!$A$3662:$E$3690,s!K6,Supplier!$E$3662:$E$3690)</f>
        <v>0</v>
      </c>
      <c r="M6" s="1015">
        <f ca="1">SUMIF(Supplier!$A$3662:$E$3690,s!L6,Supplier!$E$3662:$E$3690)</f>
        <v>0</v>
      </c>
      <c r="N6" s="1015">
        <f ca="1">SUMIF(Supplier!$A$3662:$E$3690,s!M6,Supplier!$E$3662:$E$3690)</f>
        <v>0</v>
      </c>
      <c r="O6" s="1015">
        <f ca="1">SUMIF(Supplier!$A$3662:$E$3690,s!N6,Supplier!$E$3662:$E$3690)</f>
        <v>0</v>
      </c>
      <c r="P6" s="1015">
        <f ca="1">SUMIF(Supplier!$A$3662:$E$3690,s!O6,Supplier!$E$3662:$E$3690)</f>
        <v>0</v>
      </c>
      <c r="Q6" s="1015">
        <f ca="1">SUMIF(Supplier!$A$3662:$E$3690,s!P6,Supplier!$E$3662:$E$3690)</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SUMIFS(Supplier!E3667:E3702,Supplier!C3667:C3702,s!A7,Supplier!B3667:B3702,s!$B$1)</f>
        <v>0</v>
      </c>
      <c r="C7" s="1015">
        <f>SUMIFS(Supplier!F3667:F3702,Supplier!D3667:D3702,s!B7,Supplier!C3667:C3702,s!$B$1)</f>
        <v>0</v>
      </c>
      <c r="D7" s="1015">
        <f>SUMIFS(Supplier!G3667:G3702,Supplier!E3667:E3702,s!C7,Supplier!D3667:D3702,s!$B$1)</f>
        <v>0</v>
      </c>
      <c r="E7" s="1015">
        <f>SUMIFS(Supplier!H3667:H3702,Supplier!F3667:F3702,s!D7,Supplier!E3667:E3702,s!$B$1)</f>
        <v>0</v>
      </c>
      <c r="F7" s="1015">
        <f>SUMIFS(Supplier!I3667:I3702,Supplier!G3667:G3702,s!E7,Supplier!F3667:F3702,s!$B$1)</f>
        <v>0</v>
      </c>
      <c r="G7" s="1015">
        <f>SUMIFS(Supplier!J3667:J3702,Supplier!H3667:H3702,s!F7,Supplier!G3667:G3702,s!$B$1)</f>
        <v>0</v>
      </c>
      <c r="H7" s="1015">
        <f ca="1">SUMIFS(Supplier!K3667:K3702,Supplier!I3667:I3702,s!G7,Supplier!H3667:H3702,s!$B$1)</f>
        <v>0</v>
      </c>
      <c r="I7" s="1015">
        <f ca="1">SUMIFS(Supplier!L3667:L3702,Supplier!J3667:J3702,s!H7,Supplier!I3667:I3702,s!$B$1)</f>
        <v>0</v>
      </c>
      <c r="J7" s="1015">
        <f ca="1">SUMIFS(Supplier!M3667:M3702,Supplier!K3667:K3702,s!I7,Supplier!J3667:J3702,s!$B$1)</f>
        <v>0</v>
      </c>
      <c r="K7" s="1015">
        <f ca="1">SUMIFS(Supplier!N3667:N3702,Supplier!L3667:L3702,s!J7,Supplier!K3667:K3702,s!$B$1)</f>
        <v>0</v>
      </c>
      <c r="L7" s="1015">
        <f ca="1">SUMIF(Supplier!$A$3662:$E$3690,s!K7,Supplier!$E$3662:$E$3690)</f>
        <v>0</v>
      </c>
      <c r="M7" s="1015">
        <f ca="1">SUMIF(Supplier!$A$3662:$E$3690,s!L7,Supplier!$E$3662:$E$3690)</f>
        <v>0</v>
      </c>
      <c r="N7" s="1015">
        <f ca="1">SUMIF(Supplier!$A$3662:$E$3690,s!M7,Supplier!$E$3662:$E$3690)</f>
        <v>0</v>
      </c>
      <c r="O7" s="1015">
        <f ca="1">SUMIF(Supplier!$A$3662:$E$3690,s!N7,Supplier!$E$3662:$E$3690)</f>
        <v>0</v>
      </c>
      <c r="P7" s="1015">
        <f ca="1">SUMIF(Supplier!$A$3662:$E$3690,s!O7,Supplier!$E$3662:$E$3690)</f>
        <v>0</v>
      </c>
      <c r="Q7" s="1015">
        <f ca="1">SUMIF(Supplier!$A$3662:$E$3690,s!P7,Supplier!$E$3662:$E$3690)</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10261</v>
      </c>
      <c r="B8" s="1015">
        <f>SUMIFS(Supplier!E3668:E3703,Supplier!C3668:C3703,s!A8,Supplier!B3668:B3703,s!$B$1)</f>
        <v>0</v>
      </c>
      <c r="C8" s="1015">
        <f>SUMIFS(Supplier!F3668:F3703,Supplier!D3668:D3703,s!B8,Supplier!C3668:C3703,s!$B$1)</f>
        <v>0</v>
      </c>
      <c r="D8" s="1015">
        <f>SUMIFS(Supplier!G3668:G3703,Supplier!E3668:E3703,s!C8,Supplier!D3668:D3703,s!$B$1)</f>
        <v>0</v>
      </c>
      <c r="E8" s="1015">
        <f>SUMIFS(Supplier!H3668:H3703,Supplier!F3668:F3703,s!D8,Supplier!E3668:E3703,s!$B$1)</f>
        <v>0</v>
      </c>
      <c r="F8" s="1015">
        <f>SUMIFS(Supplier!I3668:I3703,Supplier!G3668:G3703,s!E8,Supplier!F3668:F3703,s!$B$1)</f>
        <v>0</v>
      </c>
      <c r="G8" s="1015">
        <f>SUMIFS(Supplier!J3668:J3703,Supplier!H3668:H3703,s!F8,Supplier!G3668:G3703,s!$B$1)</f>
        <v>0</v>
      </c>
      <c r="H8" s="1015">
        <f ca="1">SUMIFS(Supplier!K3668:K3703,Supplier!I3668:I3703,s!G8,Supplier!H3668:H3703,s!$B$1)</f>
        <v>0</v>
      </c>
      <c r="I8" s="1015">
        <f ca="1">SUMIFS(Supplier!L3668:L3703,Supplier!J3668:J3703,s!H8,Supplier!I3668:I3703,s!$B$1)</f>
        <v>0</v>
      </c>
      <c r="J8" s="1015">
        <f ca="1">SUMIFS(Supplier!M3668:M3703,Supplier!K3668:K3703,s!I8,Supplier!J3668:J3703,s!$B$1)</f>
        <v>0</v>
      </c>
      <c r="K8" s="1015">
        <f ca="1">SUMIFS(Supplier!N3668:N3703,Supplier!L3668:L3703,s!J8,Supplier!K3668:K3703,s!$B$1)</f>
        <v>0</v>
      </c>
      <c r="L8" s="1015">
        <f ca="1">SUMIF(Supplier!$A$3662:$E$3690,s!K8,Supplier!$E$3662:$E$3690)</f>
        <v>0</v>
      </c>
      <c r="M8" s="1015">
        <f ca="1">SUMIF(Supplier!$A$3662:$E$3690,s!L8,Supplier!$E$3662:$E$3690)</f>
        <v>0</v>
      </c>
      <c r="N8" s="1015">
        <f ca="1">SUMIF(Supplier!$A$3662:$E$3690,s!M8,Supplier!$E$3662:$E$3690)</f>
        <v>0</v>
      </c>
      <c r="O8" s="1015">
        <f ca="1">SUMIF(Supplier!$A$3662:$E$3690,s!N8,Supplier!$E$3662:$E$3690)</f>
        <v>0</v>
      </c>
      <c r="P8" s="1015">
        <f ca="1">SUMIF(Supplier!$A$3662:$E$3690,s!O8,Supplier!$E$3662:$E$3690)</f>
        <v>0</v>
      </c>
      <c r="Q8" s="1015">
        <f ca="1">SUMIF(Supplier!$A$3662:$E$3690,s!P8,Supplier!$E$3662:$E$3690)</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10582</v>
      </c>
      <c r="B9" s="1015">
        <f>SUMIFS(Supplier!E3669:E3704,Supplier!C3669:C3704,s!A9,Supplier!B3669:B3704,s!$B$1)</f>
        <v>0</v>
      </c>
      <c r="C9" s="1015">
        <f>SUMIFS(Supplier!F3669:F3704,Supplier!D3669:D3704,s!B9,Supplier!C3669:C3704,s!$B$1)</f>
        <v>0</v>
      </c>
      <c r="D9" s="1015">
        <f>SUMIFS(Supplier!G3669:G3704,Supplier!E3669:E3704,s!C9,Supplier!D3669:D3704,s!$B$1)</f>
        <v>0</v>
      </c>
      <c r="E9" s="1015">
        <f>SUMIFS(Supplier!H3669:H3704,Supplier!F3669:F3704,s!D9,Supplier!E3669:E3704,s!$B$1)</f>
        <v>0</v>
      </c>
      <c r="F9" s="1015">
        <f>SUMIFS(Supplier!I3669:I3704,Supplier!G3669:G3704,s!E9,Supplier!F3669:F3704,s!$B$1)</f>
        <v>0</v>
      </c>
      <c r="G9" s="1015">
        <f>SUMIFS(Supplier!J3669:J3704,Supplier!H3669:H3704,s!F9,Supplier!G3669:G3704,s!$B$1)</f>
        <v>0</v>
      </c>
      <c r="H9" s="1015">
        <f ca="1">SUMIFS(Supplier!K3669:K3704,Supplier!I3669:I3704,s!G9,Supplier!H3669:H3704,s!$B$1)</f>
        <v>0</v>
      </c>
      <c r="I9" s="1015">
        <f ca="1">SUMIFS(Supplier!L3669:L3704,Supplier!J3669:J3704,s!H9,Supplier!I3669:I3704,s!$B$1)</f>
        <v>0</v>
      </c>
      <c r="J9" s="1015">
        <f ca="1">SUMIFS(Supplier!M3669:M3704,Supplier!K3669:K3704,s!I9,Supplier!J3669:J3704,s!$B$1)</f>
        <v>0</v>
      </c>
      <c r="K9" s="1015">
        <f ca="1">SUMIFS(Supplier!N3669:N3704,Supplier!L3669:L3704,s!J9,Supplier!K3669:K3704,s!$B$1)</f>
        <v>0</v>
      </c>
      <c r="L9" s="1015">
        <f ca="1">SUMIF(Supplier!$A$3662:$E$3690,s!K9,Supplier!$E$3662:$E$3690)</f>
        <v>0</v>
      </c>
      <c r="M9" s="1015">
        <f ca="1">SUMIF(Supplier!$A$3662:$E$3690,s!L9,Supplier!$E$3662:$E$3690)</f>
        <v>0</v>
      </c>
      <c r="N9" s="1015">
        <f ca="1">SUMIF(Supplier!$A$3662:$E$3690,s!M9,Supplier!$E$3662:$E$3690)</f>
        <v>0</v>
      </c>
      <c r="O9" s="1015">
        <f ca="1">SUMIF(Supplier!$A$3662:$E$3690,s!N9,Supplier!$E$3662:$E$3690)</f>
        <v>0</v>
      </c>
      <c r="P9" s="1015">
        <f ca="1">SUMIF(Supplier!$A$3662:$E$3690,s!O9,Supplier!$E$3662:$E$3690)</f>
        <v>0</v>
      </c>
      <c r="Q9" s="1015">
        <f ca="1">SUMIF(Supplier!$A$3662:$E$3690,s!P9,Supplier!$E$3662:$E$3690)</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10606</v>
      </c>
      <c r="B10" s="1015">
        <f>SUMIFS(Supplier!E3670:E3705,Supplier!C3670:C3705,s!A10,Supplier!B3670:B3705,s!$B$1)</f>
        <v>0</v>
      </c>
      <c r="C10" s="1015">
        <f>SUMIFS(Supplier!F3670:F3705,Supplier!D3670:D3705,s!B10,Supplier!C3670:C3705,s!$B$1)</f>
        <v>0</v>
      </c>
      <c r="D10" s="1015">
        <f>SUMIFS(Supplier!G3670:G3705,Supplier!E3670:E3705,s!C10,Supplier!D3670:D3705,s!$B$1)</f>
        <v>0</v>
      </c>
      <c r="E10" s="1015">
        <f>SUMIFS(Supplier!H3670:H3705,Supplier!F3670:F3705,s!D10,Supplier!E3670:E3705,s!$B$1)</f>
        <v>0</v>
      </c>
      <c r="F10" s="1015">
        <f>SUMIFS(Supplier!I3670:I3705,Supplier!G3670:G3705,s!E10,Supplier!F3670:F3705,s!$B$1)</f>
        <v>0</v>
      </c>
      <c r="G10" s="1015">
        <f>SUMIFS(Supplier!J3670:J3705,Supplier!H3670:H3705,s!F10,Supplier!G3670:G3705,s!$B$1)</f>
        <v>0</v>
      </c>
      <c r="H10" s="1015">
        <f ca="1">SUMIFS(Supplier!K3670:K3705,Supplier!I3670:I3705,s!G10,Supplier!H3670:H3705,s!$B$1)</f>
        <v>0</v>
      </c>
      <c r="I10" s="1015">
        <f ca="1">SUMIFS(Supplier!L3670:L3705,Supplier!J3670:J3705,s!H10,Supplier!I3670:I3705,s!$B$1)</f>
        <v>0</v>
      </c>
      <c r="J10" s="1015">
        <f ca="1">SUMIFS(Supplier!M3670:M3705,Supplier!K3670:K3705,s!I10,Supplier!J3670:J3705,s!$B$1)</f>
        <v>0</v>
      </c>
      <c r="K10" s="1015">
        <f ca="1">SUMIFS(Supplier!N3670:N3705,Supplier!L3670:L3705,s!J10,Supplier!K3670:K3705,s!$B$1)</f>
        <v>0</v>
      </c>
      <c r="L10" s="1015">
        <f ca="1">SUMIF(Supplier!$A$3662:$E$3690,s!K10,Supplier!$E$3662:$E$3690)</f>
        <v>0</v>
      </c>
      <c r="M10" s="1015">
        <f ca="1">SUMIF(Supplier!$A$3662:$E$3690,s!L10,Supplier!$E$3662:$E$3690)</f>
        <v>0</v>
      </c>
      <c r="N10" s="1015">
        <f ca="1">SUMIF(Supplier!$A$3662:$E$3690,s!M10,Supplier!$E$3662:$E$3690)</f>
        <v>0</v>
      </c>
      <c r="O10" s="1015">
        <f ca="1">SUMIF(Supplier!$A$3662:$E$3690,s!N10,Supplier!$E$3662:$E$3690)</f>
        <v>0</v>
      </c>
      <c r="P10" s="1015">
        <f ca="1">SUMIF(Supplier!$A$3662:$E$3690,s!O10,Supplier!$E$3662:$E$3690)</f>
        <v>0</v>
      </c>
      <c r="Q10" s="1015">
        <f ca="1">SUMIF(Supplier!$A$3662:$E$3690,s!P10,Supplier!$E$3662:$E$3690)</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10077</v>
      </c>
      <c r="B11" s="1015">
        <f>SUMIFS(Supplier!E3671:E3706,Supplier!C3671:C3706,s!A11,Supplier!B3671:B3706,s!$B$1)</f>
        <v>0</v>
      </c>
      <c r="C11" s="1015">
        <f>SUMIFS(Supplier!F3671:F3706,Supplier!D3671:D3706,s!B11,Supplier!C3671:C3706,s!$B$1)</f>
        <v>0</v>
      </c>
      <c r="D11" s="1015">
        <f>SUMIFS(Supplier!G3671:G3706,Supplier!E3671:E3706,s!C11,Supplier!D3671:D3706,s!$B$1)</f>
        <v>0</v>
      </c>
      <c r="E11" s="1015">
        <f>SUMIFS(Supplier!H3671:H3706,Supplier!F3671:F3706,s!D11,Supplier!E3671:E3706,s!$B$1)</f>
        <v>0</v>
      </c>
      <c r="F11" s="1015">
        <f>SUMIFS(Supplier!I3671:I3706,Supplier!G3671:G3706,s!E11,Supplier!F3671:F3706,s!$B$1)</f>
        <v>0</v>
      </c>
      <c r="G11" s="1015">
        <f>SUMIFS(Supplier!J3671:J3706,Supplier!H3671:H3706,s!F11,Supplier!G3671:G3706,s!$B$1)</f>
        <v>0</v>
      </c>
      <c r="H11" s="1015">
        <f ca="1">SUMIFS(Supplier!K3671:K3706,Supplier!I3671:I3706,s!G11,Supplier!H3671:H3706,s!$B$1)</f>
        <v>0</v>
      </c>
      <c r="I11" s="1015">
        <f ca="1">SUMIFS(Supplier!L3671:L3706,Supplier!J3671:J3706,s!H11,Supplier!I3671:I3706,s!$B$1)</f>
        <v>0</v>
      </c>
      <c r="J11" s="1015">
        <f ca="1">SUMIFS(Supplier!M3671:M3706,Supplier!K3671:K3706,s!I11,Supplier!J3671:J3706,s!$B$1)</f>
        <v>0</v>
      </c>
      <c r="K11" s="1015">
        <f ca="1">SUMIFS(Supplier!N3671:N3706,Supplier!L3671:L3706,s!J11,Supplier!K3671:K3706,s!$B$1)</f>
        <v>0</v>
      </c>
      <c r="L11" s="1015">
        <f ca="1">SUMIF(Supplier!$A$3662:$E$3690,s!K11,Supplier!$E$3662:$E$3690)</f>
        <v>0</v>
      </c>
      <c r="M11" s="1015">
        <f ca="1">SUMIF(Supplier!$A$3662:$E$3690,s!L11,Supplier!$E$3662:$E$3690)</f>
        <v>0</v>
      </c>
      <c r="N11" s="1015">
        <f ca="1">SUMIF(Supplier!$A$3662:$E$3690,s!M11,Supplier!$E$3662:$E$3690)</f>
        <v>0</v>
      </c>
      <c r="O11" s="1015">
        <f ca="1">SUMIF(Supplier!$A$3662:$E$3690,s!N11,Supplier!$E$3662:$E$3690)</f>
        <v>0</v>
      </c>
      <c r="P11" s="1015">
        <f ca="1">SUMIF(Supplier!$A$3662:$E$3690,s!O11,Supplier!$E$3662:$E$3690)</f>
        <v>0</v>
      </c>
      <c r="Q11" s="1015">
        <f ca="1">SUMIF(Supplier!$A$3662:$E$3690,s!P11,Supplier!$E$3662:$E$3690)</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SUMIFS(Supplier!E3672:E3707,Supplier!C3672:C3707,s!A12,Supplier!B3672:B3707,s!$B$1)</f>
        <v>0</v>
      </c>
      <c r="C12" s="1015">
        <f>SUMIFS(Supplier!F3672:F3707,Supplier!D3672:D3707,s!B12,Supplier!C3672:C3707,s!$B$1)</f>
        <v>0</v>
      </c>
      <c r="D12" s="1015">
        <f>SUMIFS(Supplier!G3672:G3707,Supplier!E3672:E3707,s!C12,Supplier!D3672:D3707,s!$B$1)</f>
        <v>0</v>
      </c>
      <c r="E12" s="1015">
        <f>SUMIFS(Supplier!H3672:H3707,Supplier!F3672:F3707,s!D12,Supplier!E3672:E3707,s!$B$1)</f>
        <v>0</v>
      </c>
      <c r="F12" s="1015">
        <f>SUMIFS(Supplier!I3672:I3707,Supplier!G3672:G3707,s!E12,Supplier!F3672:F3707,s!$B$1)</f>
        <v>0</v>
      </c>
      <c r="G12" s="1015">
        <f>SUMIFS(Supplier!J3672:J3707,Supplier!H3672:H3707,s!F12,Supplier!G3672:G3707,s!$B$1)</f>
        <v>0</v>
      </c>
      <c r="H12" s="1015">
        <f ca="1">SUMIFS(Supplier!K3672:K3707,Supplier!I3672:I3707,s!G12,Supplier!H3672:H3707,s!$B$1)</f>
        <v>0</v>
      </c>
      <c r="I12" s="1015">
        <f ca="1">SUMIFS(Supplier!L3672:L3707,Supplier!J3672:J3707,s!H12,Supplier!I3672:I3707,s!$B$1)</f>
        <v>0</v>
      </c>
      <c r="J12" s="1015">
        <f ca="1">SUMIFS(Supplier!M3672:M3707,Supplier!K3672:K3707,s!I12,Supplier!J3672:J3707,s!$B$1)</f>
        <v>0</v>
      </c>
      <c r="K12" s="1015">
        <f ca="1">SUMIFS(Supplier!N3672:N3707,Supplier!L3672:L3707,s!J12,Supplier!K3672:K3707,s!$B$1)</f>
        <v>0</v>
      </c>
      <c r="L12" s="1015">
        <f ca="1">SUMIF(Supplier!$A$3662:$E$3690,s!K12,Supplier!$E$3662:$E$3690)</f>
        <v>0</v>
      </c>
      <c r="M12" s="1015">
        <f ca="1">SUMIF(Supplier!$A$3662:$E$3690,s!L12,Supplier!$E$3662:$E$3690)</f>
        <v>0</v>
      </c>
      <c r="N12" s="1015">
        <f ca="1">SUMIF(Supplier!$A$3662:$E$3690,s!M12,Supplier!$E$3662:$E$3690)</f>
        <v>0</v>
      </c>
      <c r="O12" s="1015">
        <f ca="1">SUMIF(Supplier!$A$3662:$E$3690,s!N12,Supplier!$E$3662:$E$3690)</f>
        <v>0</v>
      </c>
      <c r="P12" s="1015">
        <f ca="1">SUMIF(Supplier!$A$3662:$E$3690,s!O12,Supplier!$E$3662:$E$3690)</f>
        <v>0</v>
      </c>
      <c r="Q12" s="1015">
        <f ca="1">SUMIF(Supplier!$A$3662:$E$3690,s!P12,Supplier!$E$3662:$E$3690)</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SUMIFS(Supplier!E3673:E3720,Supplier!C3673:C3720,s!A13,Supplier!B3673:B3720,s!$B$1)</f>
        <v>0</v>
      </c>
      <c r="C13" s="1015">
        <f>SUMIFS(Supplier!F3673:F3720,Supplier!D3673:D3720,s!B13,Supplier!C3673:C3720,s!$B$1)</f>
        <v>0</v>
      </c>
      <c r="D13" s="1015">
        <f>SUMIFS(Supplier!G3673:G3720,Supplier!E3673:E3720,s!C13,Supplier!D3673:D3720,s!$B$1)</f>
        <v>0</v>
      </c>
      <c r="E13" s="1015">
        <f>SUMIFS(Supplier!H3673:H3720,Supplier!F3673:F3720,s!D13,Supplier!E3673:E3720,s!$B$1)</f>
        <v>0</v>
      </c>
      <c r="F13" s="1015">
        <f>SUMIFS(Supplier!I3673:I3720,Supplier!G3673:G3720,s!E13,Supplier!F3673:F3720,s!$B$1)</f>
        <v>0</v>
      </c>
      <c r="G13" s="1015">
        <f>SUMIFS(Supplier!J3673:J3720,Supplier!H3673:H3720,s!F13,Supplier!G3673:G3720,s!$B$1)</f>
        <v>0</v>
      </c>
      <c r="H13" s="1015">
        <f ca="1">SUMIFS(Supplier!K3673:K3720,Supplier!I3673:I3720,s!G13,Supplier!H3673:H3720,s!$B$1)</f>
        <v>0</v>
      </c>
      <c r="I13" s="1015">
        <f ca="1">SUMIFS(Supplier!L3673:L3720,Supplier!J3673:J3720,s!H13,Supplier!I3673:I3720,s!$B$1)</f>
        <v>0</v>
      </c>
      <c r="J13" s="1015">
        <f ca="1">SUMIFS(Supplier!M3673:M3720,Supplier!K3673:K3720,s!I13,Supplier!J3673:J3720,s!$B$1)</f>
        <v>0</v>
      </c>
      <c r="K13" s="1015">
        <f ca="1">SUMIFS(Supplier!N3673:N3720,Supplier!L3673:L3720,s!J13,Supplier!K3673:K3720,s!$B$1)</f>
        <v>0</v>
      </c>
      <c r="L13" s="1015">
        <f ca="1">SUMIF(Supplier!$A$3662:$E$3690,s!K13,Supplier!$E$3662:$E$3690)</f>
        <v>0</v>
      </c>
      <c r="M13" s="1015">
        <f ca="1">SUMIF(Supplier!$A$3662:$E$3690,s!L13,Supplier!$E$3662:$E$3690)</f>
        <v>0</v>
      </c>
      <c r="N13" s="1015">
        <f ca="1">SUMIF(Supplier!$A$3662:$E$3690,s!M13,Supplier!$E$3662:$E$3690)</f>
        <v>0</v>
      </c>
      <c r="O13" s="1015">
        <f ca="1">SUMIF(Supplier!$A$3662:$E$3690,s!N13,Supplier!$E$3662:$E$3690)</f>
        <v>0</v>
      </c>
      <c r="P13" s="1015">
        <f ca="1">SUMIF(Supplier!$A$3662:$E$3690,s!O13,Supplier!$E$3662:$E$3690)</f>
        <v>0</v>
      </c>
      <c r="Q13" s="1015">
        <f ca="1">SUMIF(Supplier!$A$3662:$E$3690,s!P13,Supplier!$E$3662:$E$3690)</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10261</v>
      </c>
      <c r="B14" s="1015">
        <f>SUMIFS(Supplier!E3674:E3721,Supplier!C3674:C3721,s!A14,Supplier!B3674:B3721,s!$B$1)</f>
        <v>0</v>
      </c>
      <c r="C14" s="1015">
        <f>SUMIFS(Supplier!F3674:F3721,Supplier!D3674:D3721,s!B14,Supplier!C3674:C3721,s!$B$1)</f>
        <v>0</v>
      </c>
      <c r="D14" s="1015">
        <f>SUMIFS(Supplier!G3674:G3721,Supplier!E3674:E3721,s!C14,Supplier!D3674:D3721,s!$B$1)</f>
        <v>0</v>
      </c>
      <c r="E14" s="1015">
        <f>SUMIFS(Supplier!H3674:H3721,Supplier!F3674:F3721,s!D14,Supplier!E3674:E3721,s!$B$1)</f>
        <v>0</v>
      </c>
      <c r="F14" s="1015">
        <f>SUMIFS(Supplier!I3674:I3721,Supplier!G3674:G3721,s!E14,Supplier!F3674:F3721,s!$B$1)</f>
        <v>0</v>
      </c>
      <c r="G14" s="1015">
        <f>SUMIFS(Supplier!J3674:J3721,Supplier!H3674:H3721,s!F14,Supplier!G3674:G3721,s!$B$1)</f>
        <v>0</v>
      </c>
      <c r="H14" s="1015">
        <f ca="1">SUMIFS(Supplier!K3674:K3721,Supplier!I3674:I3721,s!G14,Supplier!H3674:H3721,s!$B$1)</f>
        <v>0</v>
      </c>
      <c r="I14" s="1015">
        <f ca="1">SUMIFS(Supplier!L3674:L3721,Supplier!J3674:J3721,s!H14,Supplier!I3674:I3721,s!$B$1)</f>
        <v>0</v>
      </c>
      <c r="J14" s="1015">
        <f ca="1">SUMIFS(Supplier!M3674:M3721,Supplier!K3674:K3721,s!I14,Supplier!J3674:J3721,s!$B$1)</f>
        <v>0</v>
      </c>
      <c r="K14" s="1015">
        <f ca="1">SUMIFS(Supplier!N3674:N3721,Supplier!L3674:L3721,s!J14,Supplier!K3674:K3721,s!$B$1)</f>
        <v>0</v>
      </c>
      <c r="L14" s="1015">
        <f ca="1">SUMIF(Supplier!$A$3662:$E$3690,s!K14,Supplier!$E$3662:$E$3690)</f>
        <v>0</v>
      </c>
      <c r="M14" s="1015">
        <f ca="1">SUMIF(Supplier!$A$3662:$E$3690,s!L14,Supplier!$E$3662:$E$3690)</f>
        <v>0</v>
      </c>
      <c r="N14" s="1015">
        <f ca="1">SUMIF(Supplier!$A$3662:$E$3690,s!M14,Supplier!$E$3662:$E$3690)</f>
        <v>0</v>
      </c>
      <c r="O14" s="1015">
        <f ca="1">SUMIF(Supplier!$A$3662:$E$3690,s!N14,Supplier!$E$3662:$E$3690)</f>
        <v>0</v>
      </c>
      <c r="P14" s="1015">
        <f ca="1">SUMIF(Supplier!$A$3662:$E$3690,s!O14,Supplier!$E$3662:$E$3690)</f>
        <v>0</v>
      </c>
      <c r="Q14" s="1015">
        <f ca="1">SUMIF(Supplier!$A$3662:$E$3690,s!P14,Supplier!$E$3662:$E$3690)</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10606</v>
      </c>
      <c r="B15" s="1015">
        <f>SUMIFS(Supplier!E3675:E3722,Supplier!C3675:C3722,s!A15,Supplier!B3675:B3722,s!$B$1)</f>
        <v>0</v>
      </c>
      <c r="C15" s="1015">
        <f>SUMIFS(Supplier!F3675:F3722,Supplier!D3675:D3722,s!B15,Supplier!C3675:C3722,s!$B$1)</f>
        <v>0</v>
      </c>
      <c r="D15" s="1015">
        <f>SUMIFS(Supplier!G3675:G3722,Supplier!E3675:E3722,s!C15,Supplier!D3675:D3722,s!$B$1)</f>
        <v>0</v>
      </c>
      <c r="E15" s="1015">
        <f>SUMIFS(Supplier!H3675:H3722,Supplier!F3675:F3722,s!D15,Supplier!E3675:E3722,s!$B$1)</f>
        <v>0</v>
      </c>
      <c r="F15" s="1015">
        <f>SUMIFS(Supplier!I3675:I3722,Supplier!G3675:G3722,s!E15,Supplier!F3675:F3722,s!$B$1)</f>
        <v>0</v>
      </c>
      <c r="G15" s="1015">
        <f>SUMIFS(Supplier!J3675:J3722,Supplier!H3675:H3722,s!F15,Supplier!G3675:G3722,s!$B$1)</f>
        <v>0</v>
      </c>
      <c r="H15" s="1015">
        <f ca="1">SUMIFS(Supplier!K3675:K3722,Supplier!I3675:I3722,s!G15,Supplier!H3675:H3722,s!$B$1)</f>
        <v>0</v>
      </c>
      <c r="I15" s="1015">
        <f ca="1">SUMIFS(Supplier!L3675:L3722,Supplier!J3675:J3722,s!H15,Supplier!I3675:I3722,s!$B$1)</f>
        <v>0</v>
      </c>
      <c r="J15" s="1015">
        <f ca="1">SUMIFS(Supplier!M3675:M3722,Supplier!K3675:K3722,s!I15,Supplier!J3675:J3722,s!$B$1)</f>
        <v>0</v>
      </c>
      <c r="K15" s="1015">
        <f ca="1">SUMIFS(Supplier!N3675:N3722,Supplier!L3675:L3722,s!J15,Supplier!K3675:K3722,s!$B$1)</f>
        <v>0</v>
      </c>
      <c r="L15" s="1015">
        <f ca="1">SUMIF(Supplier!$A$3662:$E$3690,s!K15,Supplier!$E$3662:$E$3690)</f>
        <v>0</v>
      </c>
      <c r="M15" s="1015">
        <f ca="1">SUMIF(Supplier!$A$3662:$E$3690,s!L15,Supplier!$E$3662:$E$3690)</f>
        <v>0</v>
      </c>
      <c r="N15" s="1015">
        <f ca="1">SUMIF(Supplier!$A$3662:$E$3690,s!M15,Supplier!$E$3662:$E$3690)</f>
        <v>0</v>
      </c>
      <c r="O15" s="1015">
        <f ca="1">SUMIF(Supplier!$A$3662:$E$3690,s!N15,Supplier!$E$3662:$E$3690)</f>
        <v>0</v>
      </c>
      <c r="P15" s="1015">
        <f ca="1">SUMIF(Supplier!$A$3662:$E$3690,s!O15,Supplier!$E$3662:$E$3690)</f>
        <v>0</v>
      </c>
      <c r="Q15" s="1015">
        <f ca="1">SUMIF(Supplier!$A$3662:$E$3690,s!P15,Supplier!$E$3662:$E$3690)</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10406</v>
      </c>
      <c r="B16" s="1015">
        <f>SUMIFS(Supplier!E3676:E3723,Supplier!C3676:C3723,s!A16,Supplier!B3676:B3723,s!$B$1)</f>
        <v>0</v>
      </c>
      <c r="C16" s="1015">
        <f>SUMIFS(Supplier!F3676:F3723,Supplier!D3676:D3723,s!B16,Supplier!C3676:C3723,s!$B$1)</f>
        <v>0</v>
      </c>
      <c r="D16" s="1015">
        <f>SUMIFS(Supplier!G3676:G3723,Supplier!E3676:E3723,s!C16,Supplier!D3676:D3723,s!$B$1)</f>
        <v>0</v>
      </c>
      <c r="E16" s="1015">
        <f>SUMIFS(Supplier!H3676:H3723,Supplier!F3676:F3723,s!D16,Supplier!E3676:E3723,s!$B$1)</f>
        <v>0</v>
      </c>
      <c r="F16" s="1015">
        <f>SUMIFS(Supplier!I3676:I3723,Supplier!G3676:G3723,s!E16,Supplier!F3676:F3723,s!$B$1)</f>
        <v>0</v>
      </c>
      <c r="G16" s="1015">
        <f>SUMIFS(Supplier!J3676:J3723,Supplier!H3676:H3723,s!F16,Supplier!G3676:G3723,s!$B$1)</f>
        <v>0</v>
      </c>
      <c r="H16" s="1015">
        <f ca="1">SUMIFS(Supplier!K3676:K3723,Supplier!I3676:I3723,s!G16,Supplier!H3676:H3723,s!$B$1)</f>
        <v>0</v>
      </c>
      <c r="I16" s="1015">
        <f ca="1">SUMIFS(Supplier!L3676:L3723,Supplier!J3676:J3723,s!H16,Supplier!I3676:I3723,s!$B$1)</f>
        <v>0</v>
      </c>
      <c r="J16" s="1015">
        <f ca="1">SUMIFS(Supplier!M3676:M3723,Supplier!K3676:K3723,s!I16,Supplier!J3676:J3723,s!$B$1)</f>
        <v>0</v>
      </c>
      <c r="K16" s="1015">
        <f ca="1">SUMIFS(Supplier!N3676:N3723,Supplier!L3676:L3723,s!J16,Supplier!K3676:K3723,s!$B$1)</f>
        <v>0</v>
      </c>
      <c r="L16" s="1015">
        <f ca="1">SUMIF(Supplier!$A$3662:$E$3690,s!K16,Supplier!$E$3662:$E$3690)</f>
        <v>0</v>
      </c>
      <c r="M16" s="1015">
        <f ca="1">SUMIF(Supplier!$A$3662:$E$3690,s!L16,Supplier!$E$3662:$E$3690)</f>
        <v>0</v>
      </c>
      <c r="N16" s="1015">
        <f ca="1">SUMIF(Supplier!$A$3662:$E$3690,s!M16,Supplier!$E$3662:$E$3690)</f>
        <v>0</v>
      </c>
      <c r="O16" s="1015">
        <f ca="1">SUMIF(Supplier!$A$3662:$E$3690,s!N16,Supplier!$E$3662:$E$3690)</f>
        <v>0</v>
      </c>
      <c r="P16" s="1015">
        <f ca="1">SUMIF(Supplier!$A$3662:$E$3690,s!O16,Supplier!$E$3662:$E$3690)</f>
        <v>0</v>
      </c>
      <c r="Q16" s="1015">
        <f ca="1">SUMIF(Supplier!$A$3662:$E$3690,s!P16,Supplier!$E$3662:$E$3690)</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10342</v>
      </c>
      <c r="B17" s="1015">
        <f>SUMIFS(Supplier!E3677:E3726,Supplier!C3677:C3726,s!A17,Supplier!B3677:B3726,s!$B$1)</f>
        <v>0</v>
      </c>
      <c r="C17" s="1015">
        <f>SUMIFS(Supplier!F3677:F3726,Supplier!D3677:D3726,s!B17,Supplier!C3677:C3726,s!$B$1)</f>
        <v>0</v>
      </c>
      <c r="D17" s="1015">
        <f>SUMIFS(Supplier!G3677:G3726,Supplier!E3677:E3726,s!C17,Supplier!D3677:D3726,s!$B$1)</f>
        <v>0</v>
      </c>
      <c r="E17" s="1015">
        <f>SUMIFS(Supplier!H3677:H3726,Supplier!F3677:F3726,s!D17,Supplier!E3677:E3726,s!$B$1)</f>
        <v>0</v>
      </c>
      <c r="F17" s="1015">
        <f>SUMIFS(Supplier!I3677:I3726,Supplier!G3677:G3726,s!E17,Supplier!F3677:F3726,s!$B$1)</f>
        <v>0</v>
      </c>
      <c r="G17" s="1015">
        <f>SUMIFS(Supplier!J3677:J3726,Supplier!H3677:H3726,s!F17,Supplier!G3677:G3726,s!$B$1)</f>
        <v>0</v>
      </c>
      <c r="H17" s="1015">
        <f ca="1">SUMIFS(Supplier!K3677:K3726,Supplier!I3677:I3726,s!G17,Supplier!H3677:H3726,s!$B$1)</f>
        <v>0</v>
      </c>
      <c r="I17" s="1015">
        <f ca="1">SUMIFS(Supplier!L3677:L3726,Supplier!J3677:J3726,s!H17,Supplier!I3677:I3726,s!$B$1)</f>
        <v>0</v>
      </c>
      <c r="J17" s="1015">
        <f ca="1">SUMIFS(Supplier!M3677:M3726,Supplier!K3677:K3726,s!I17,Supplier!J3677:J3726,s!$B$1)</f>
        <v>0</v>
      </c>
      <c r="K17" s="1015">
        <f ca="1">SUMIFS(Supplier!N3677:N3726,Supplier!L3677:L3726,s!J17,Supplier!K3677:K3726,s!$B$1)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SUMIFS(Supplier!E3685:E3727,Supplier!B3685:B3727,s!A18,Supplier!C3685:C3727,s!$B$1)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10406</v>
      </c>
      <c r="B19" s="1015">
        <f>SUMIFS(Supplier!E3686:E3728,Supplier!B3686:B3728,s!A19,Supplier!C3686:C3728,s!$B$1)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SUMIFS(Supplier!E3687:E3731,Supplier!C3687:C3731,s!A20,Supplier!B3687:B3731,s!$B$1)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10261</v>
      </c>
      <c r="B21" s="1015">
        <f>SUMIFS(Supplier!E3688:E3732,Supplier!C3688:C3732,s!A21,Supplier!B3688:B3732,s!$B$1)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10606</v>
      </c>
      <c r="B22" s="1015">
        <f>SUMIFS(Supplier!E3689:E3733,Supplier!C3689:C3733,s!A22,Supplier!B3689:B3733,s!$B$1)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10342</v>
      </c>
      <c r="B23" s="1015">
        <f>SUMIFS(Supplier!E3690:E3741,Supplier!C3690:C3741,s!A23,Supplier!B3690:B3741,s!$B$1)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SUMIFS(Supplier!E3696:E3746,Supplier!C3696:C3746,s!A24,Supplier!B3696:B3746,s!$B$1)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SUMIFS(Supplier!E3699:E3746,Supplier!C3699:C3746,s!A25,Supplier!B3699:B3746,s!$B$1)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SUMIFS(Supplier!E3700:E3747,Supplier!C3700:C3747,s!A26,Supplier!B3700:B3747,s!$B$1)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SUMIFS(Supplier!E3701:E3753,Supplier!C3701:C3753,s!A27,Supplier!B3701:B3753,s!$B$1)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SUMIFS(Supplier!E3702:E3756,Supplier!C3702:C3756,s!A28,Supplier!B3702:B3756,s!$B$1)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SUMIFS(Supplier!E3703:E3757,Supplier!C3703:C3757,s!A29,Supplier!B3703:B3757,s!$B$1)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SUMIFS(Supplier!E3704:E3774,Supplier!C3704:C3774,s!A30,Supplier!B3704:B3774,s!$B$1)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SUMIFS(Supplier!E3705:E3775,Supplier!C3705:C3775,s!A31,Supplier!B3705:B3775,s!$B$1)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404" t="s">
        <v>1707</v>
      </c>
      <c r="C5" s="1024" t="s">
        <v>1815</v>
      </c>
      <c r="D5" s="1025" t="s">
        <v>46</v>
      </c>
      <c r="E5" s="1033" t="s">
        <v>10974</v>
      </c>
    </row>
    <row r="6" spans="1:6" x14ac:dyDescent="0.35">
      <c r="A6" s="1016" t="s">
        <v>10688</v>
      </c>
      <c r="B6" s="1405">
        <v>20806486</v>
      </c>
      <c r="C6" s="1405">
        <v>16240667</v>
      </c>
      <c r="D6" s="1026">
        <v>4565819</v>
      </c>
    </row>
    <row r="7" spans="1:6" x14ac:dyDescent="0.35">
      <c r="A7" s="1016" t="s">
        <v>10342</v>
      </c>
      <c r="B7" s="1405">
        <v>12735358</v>
      </c>
      <c r="C7" s="1405">
        <v>8930940</v>
      </c>
      <c r="D7" s="1026">
        <v>3804418</v>
      </c>
    </row>
    <row r="8" spans="1:6" x14ac:dyDescent="0.35">
      <c r="A8" s="1016" t="s">
        <v>11023</v>
      </c>
      <c r="B8" s="1405">
        <v>6702775</v>
      </c>
      <c r="C8" s="1405">
        <v>4036813</v>
      </c>
      <c r="D8" s="1026">
        <v>2665962</v>
      </c>
      <c r="F8" s="101"/>
    </row>
    <row r="9" spans="1:6" x14ac:dyDescent="0.35">
      <c r="A9" s="1016" t="s">
        <v>10096</v>
      </c>
      <c r="B9" s="1405">
        <v>1278570</v>
      </c>
      <c r="C9" s="1405">
        <v>430977</v>
      </c>
      <c r="D9" s="1026">
        <v>847593</v>
      </c>
    </row>
    <row r="10" spans="1:6" x14ac:dyDescent="0.35">
      <c r="A10" s="1016" t="s">
        <v>9463</v>
      </c>
      <c r="B10" s="1405">
        <v>4428561</v>
      </c>
      <c r="C10" s="1405">
        <v>3761002</v>
      </c>
      <c r="D10" s="1026">
        <v>667559</v>
      </c>
    </row>
    <row r="11" spans="1:6" x14ac:dyDescent="0.35">
      <c r="A11" s="1016" t="s">
        <v>11568</v>
      </c>
      <c r="B11" s="1405">
        <v>869173</v>
      </c>
      <c r="C11" s="1405">
        <v>302104</v>
      </c>
      <c r="D11" s="1026">
        <v>567069</v>
      </c>
    </row>
    <row r="12" spans="1:6" x14ac:dyDescent="0.35">
      <c r="A12" s="1016" t="s">
        <v>11740</v>
      </c>
      <c r="B12" s="1405">
        <v>545786</v>
      </c>
      <c r="C12" s="1405">
        <v>12502</v>
      </c>
      <c r="D12" s="1026">
        <v>533284</v>
      </c>
    </row>
    <row r="13" spans="1:6" x14ac:dyDescent="0.35">
      <c r="A13" s="1077" t="s">
        <v>180</v>
      </c>
      <c r="B13" s="1405">
        <v>267520</v>
      </c>
      <c r="C13" s="1405"/>
      <c r="D13" s="1026">
        <v>267520</v>
      </c>
    </row>
    <row r="14" spans="1:6" x14ac:dyDescent="0.35">
      <c r="A14" s="1077" t="s">
        <v>8483</v>
      </c>
      <c r="B14" s="1405">
        <v>231040</v>
      </c>
      <c r="C14" s="1405"/>
      <c r="D14" s="1026">
        <v>231040</v>
      </c>
    </row>
    <row r="15" spans="1:6" x14ac:dyDescent="0.35">
      <c r="A15" s="1077" t="s">
        <v>166</v>
      </c>
      <c r="B15" s="1405">
        <v>25430</v>
      </c>
      <c r="C15" s="1405"/>
      <c r="D15" s="1083">
        <v>25430</v>
      </c>
    </row>
    <row r="16" spans="1:6" x14ac:dyDescent="0.35">
      <c r="A16" s="1077" t="s">
        <v>164</v>
      </c>
      <c r="B16" s="1405">
        <v>21796</v>
      </c>
      <c r="C16" s="1405">
        <v>12502</v>
      </c>
      <c r="D16" s="1026">
        <v>9294</v>
      </c>
    </row>
    <row r="17" spans="1:4" x14ac:dyDescent="0.35">
      <c r="A17" s="1016" t="s">
        <v>10490</v>
      </c>
      <c r="B17" s="1405">
        <v>1399144</v>
      </c>
      <c r="C17" s="1405">
        <v>874609</v>
      </c>
      <c r="D17" s="1026">
        <v>524535</v>
      </c>
    </row>
    <row r="18" spans="1:4" x14ac:dyDescent="0.35">
      <c r="A18" s="1016" t="s">
        <v>10582</v>
      </c>
      <c r="B18" s="1405">
        <v>1725755</v>
      </c>
      <c r="C18" s="1405">
        <v>1311982</v>
      </c>
      <c r="D18" s="1026">
        <v>413773</v>
      </c>
    </row>
    <row r="19" spans="1:4" x14ac:dyDescent="0.35">
      <c r="A19" s="1016" t="s">
        <v>1407</v>
      </c>
      <c r="B19" s="1405">
        <v>36968514</v>
      </c>
      <c r="C19" s="1405">
        <v>36707169</v>
      </c>
      <c r="D19" s="1026">
        <v>261345</v>
      </c>
    </row>
    <row r="20" spans="1:4" x14ac:dyDescent="0.35">
      <c r="A20" s="1016" t="s">
        <v>8752</v>
      </c>
      <c r="B20" s="1405">
        <v>11286323</v>
      </c>
      <c r="C20" s="1405">
        <v>11034775</v>
      </c>
      <c r="D20" s="1026">
        <v>251548</v>
      </c>
    </row>
    <row r="21" spans="1:4" x14ac:dyDescent="0.35">
      <c r="A21" s="1016" t="s">
        <v>8974</v>
      </c>
      <c r="B21" s="1405">
        <v>1899307</v>
      </c>
      <c r="C21" s="1405">
        <v>1669531</v>
      </c>
      <c r="D21" s="1026">
        <v>229776</v>
      </c>
    </row>
    <row r="22" spans="1:4" x14ac:dyDescent="0.35">
      <c r="A22" s="1016" t="s">
        <v>9769</v>
      </c>
      <c r="B22" s="1405">
        <v>2984053</v>
      </c>
      <c r="C22" s="1405">
        <v>2803173</v>
      </c>
      <c r="D22" s="1026">
        <v>180880</v>
      </c>
    </row>
    <row r="23" spans="1:4" x14ac:dyDescent="0.35">
      <c r="A23" s="1016" t="s">
        <v>11625</v>
      </c>
      <c r="B23" s="1405">
        <v>173680</v>
      </c>
      <c r="C23" s="1405"/>
      <c r="D23" s="1026">
        <v>173680</v>
      </c>
    </row>
    <row r="24" spans="1:4" x14ac:dyDescent="0.35">
      <c r="A24" s="1077" t="s">
        <v>7309</v>
      </c>
      <c r="B24" s="1405">
        <v>173680</v>
      </c>
      <c r="C24" s="1405"/>
      <c r="D24" s="1026">
        <v>173680</v>
      </c>
    </row>
    <row r="25" spans="1:4" x14ac:dyDescent="0.35">
      <c r="A25" s="1016" t="s">
        <v>8122</v>
      </c>
      <c r="B25" s="1405">
        <v>13711297</v>
      </c>
      <c r="C25" s="1405">
        <v>13597562</v>
      </c>
      <c r="D25" s="1026">
        <v>113735</v>
      </c>
    </row>
    <row r="26" spans="1:4" x14ac:dyDescent="0.35">
      <c r="A26" s="1016" t="s">
        <v>10406</v>
      </c>
      <c r="B26" s="1405">
        <v>1216578</v>
      </c>
      <c r="C26" s="1405">
        <v>1104298</v>
      </c>
      <c r="D26" s="1026">
        <v>112280</v>
      </c>
    </row>
    <row r="27" spans="1:4" x14ac:dyDescent="0.35">
      <c r="A27" s="1016" t="s">
        <v>4760</v>
      </c>
      <c r="B27" s="1405">
        <v>481480</v>
      </c>
      <c r="C27" s="1405">
        <v>382146</v>
      </c>
      <c r="D27" s="1026">
        <v>99334</v>
      </c>
    </row>
    <row r="28" spans="1:4" x14ac:dyDescent="0.35">
      <c r="A28" s="1016" t="s">
        <v>6463</v>
      </c>
      <c r="B28" s="1405">
        <v>1736321</v>
      </c>
      <c r="C28" s="1405">
        <v>1655478</v>
      </c>
      <c r="D28" s="1026">
        <v>80843</v>
      </c>
    </row>
    <row r="29" spans="1:4" x14ac:dyDescent="0.35">
      <c r="A29" s="1016" t="s">
        <v>2957</v>
      </c>
      <c r="B29" s="1405">
        <v>21934220</v>
      </c>
      <c r="C29" s="1405">
        <v>21858810</v>
      </c>
      <c r="D29" s="1026">
        <v>75410</v>
      </c>
    </row>
    <row r="30" spans="1:4" x14ac:dyDescent="0.35">
      <c r="A30" s="1016" t="s">
        <v>11193</v>
      </c>
      <c r="B30" s="1405">
        <v>900642</v>
      </c>
      <c r="C30" s="1405">
        <v>825520</v>
      </c>
      <c r="D30" s="1026">
        <v>75122</v>
      </c>
    </row>
    <row r="31" spans="1:4" x14ac:dyDescent="0.35">
      <c r="A31" s="1016" t="s">
        <v>11633</v>
      </c>
      <c r="B31" s="1405">
        <v>73043</v>
      </c>
      <c r="C31" s="1405"/>
      <c r="D31" s="1026">
        <v>73043</v>
      </c>
    </row>
    <row r="32" spans="1:4" x14ac:dyDescent="0.35">
      <c r="A32" s="1077" t="s">
        <v>8483</v>
      </c>
      <c r="B32" s="1405">
        <v>73043</v>
      </c>
      <c r="C32" s="1405"/>
      <c r="D32" s="1026">
        <v>73043</v>
      </c>
    </row>
    <row r="33" spans="1:4" x14ac:dyDescent="0.35">
      <c r="A33" s="1016" t="s">
        <v>11122</v>
      </c>
      <c r="B33" s="1405">
        <v>69890</v>
      </c>
      <c r="C33" s="1405"/>
      <c r="D33" s="1026">
        <v>69890</v>
      </c>
    </row>
    <row r="34" spans="1:4" hidden="1" x14ac:dyDescent="0.35">
      <c r="A34" s="1016" t="s">
        <v>11841</v>
      </c>
      <c r="B34" s="1405">
        <v>56173</v>
      </c>
      <c r="C34" s="1405"/>
      <c r="D34" s="1026">
        <v>56173</v>
      </c>
    </row>
    <row r="35" spans="1:4" hidden="1" x14ac:dyDescent="0.35">
      <c r="A35" s="1077" t="s">
        <v>8483</v>
      </c>
      <c r="B35" s="1405">
        <v>56173</v>
      </c>
      <c r="C35" s="1405"/>
      <c r="D35" s="1026">
        <v>56173</v>
      </c>
    </row>
    <row r="36" spans="1:4" hidden="1" x14ac:dyDescent="0.35">
      <c r="A36" s="1016" t="s">
        <v>11391</v>
      </c>
      <c r="B36" s="1405">
        <v>34476</v>
      </c>
      <c r="C36" s="1405">
        <v>1420</v>
      </c>
      <c r="D36" s="1026">
        <v>33056</v>
      </c>
    </row>
    <row r="37" spans="1:4" hidden="1" x14ac:dyDescent="0.35">
      <c r="A37" s="1077" t="s">
        <v>168</v>
      </c>
      <c r="B37" s="1405">
        <v>19640</v>
      </c>
      <c r="C37" s="1405"/>
      <c r="D37" s="1083">
        <v>19640</v>
      </c>
    </row>
    <row r="38" spans="1:4" hidden="1" x14ac:dyDescent="0.35">
      <c r="A38" s="1077" t="s">
        <v>8483</v>
      </c>
      <c r="B38" s="1405">
        <v>13416</v>
      </c>
      <c r="C38" s="1405"/>
      <c r="D38" s="1026">
        <v>13416</v>
      </c>
    </row>
    <row r="39" spans="1:4" hidden="1" x14ac:dyDescent="0.35">
      <c r="A39" s="1077" t="s">
        <v>164</v>
      </c>
      <c r="B39" s="1405">
        <v>1420</v>
      </c>
      <c r="C39" s="1405">
        <v>1420</v>
      </c>
      <c r="D39" s="1026">
        <v>0</v>
      </c>
    </row>
    <row r="40" spans="1:4" hidden="1" x14ac:dyDescent="0.35">
      <c r="A40" s="1016" t="s">
        <v>8982</v>
      </c>
      <c r="B40" s="1405">
        <v>2828140</v>
      </c>
      <c r="C40" s="1405">
        <v>2799926</v>
      </c>
      <c r="D40" s="1026">
        <v>28214</v>
      </c>
    </row>
    <row r="41" spans="1:4" hidden="1" x14ac:dyDescent="0.35">
      <c r="A41" s="1016" t="s">
        <v>10261</v>
      </c>
      <c r="B41" s="1405">
        <v>2384019</v>
      </c>
      <c r="C41" s="1405">
        <v>2362679</v>
      </c>
      <c r="D41" s="1026">
        <v>21340</v>
      </c>
    </row>
    <row r="42" spans="1:4" hidden="1" x14ac:dyDescent="0.35">
      <c r="A42" s="1016" t="s">
        <v>10077</v>
      </c>
      <c r="B42" s="1405">
        <v>385571</v>
      </c>
      <c r="C42" s="1405">
        <v>367739</v>
      </c>
      <c r="D42" s="1026">
        <v>17832</v>
      </c>
    </row>
    <row r="43" spans="1:4" hidden="1" x14ac:dyDescent="0.35">
      <c r="A43" s="1016" t="s">
        <v>8426</v>
      </c>
      <c r="B43" s="1405">
        <v>7820020</v>
      </c>
      <c r="C43" s="1405">
        <v>7803980</v>
      </c>
      <c r="D43" s="1026">
        <v>16040</v>
      </c>
    </row>
    <row r="44" spans="1:4" hidden="1" x14ac:dyDescent="0.35">
      <c r="A44" s="1016" t="s">
        <v>11025</v>
      </c>
      <c r="B44" s="1405">
        <v>79935</v>
      </c>
      <c r="C44" s="1405">
        <v>64935</v>
      </c>
      <c r="D44" s="1026">
        <v>15000</v>
      </c>
    </row>
    <row r="45" spans="1:4" hidden="1" x14ac:dyDescent="0.35">
      <c r="A45" s="1016" t="s">
        <v>7886</v>
      </c>
      <c r="B45" s="1405">
        <v>1072490</v>
      </c>
      <c r="C45" s="1405">
        <v>1061510</v>
      </c>
      <c r="D45" s="1026">
        <v>10980</v>
      </c>
    </row>
    <row r="46" spans="1:4" hidden="1" x14ac:dyDescent="0.35">
      <c r="A46" s="1016" t="s">
        <v>6565</v>
      </c>
      <c r="B46" s="1405">
        <v>1334369</v>
      </c>
      <c r="C46" s="1405">
        <v>1330124</v>
      </c>
      <c r="D46" s="1026">
        <v>4245</v>
      </c>
    </row>
    <row r="47" spans="1:4" hidden="1" x14ac:dyDescent="0.35">
      <c r="A47" s="1016" t="s">
        <v>3979</v>
      </c>
      <c r="B47" s="1405">
        <v>1108945</v>
      </c>
      <c r="C47" s="1405">
        <v>1104945</v>
      </c>
      <c r="D47" s="1026">
        <v>4000</v>
      </c>
    </row>
    <row r="48" spans="1:4" hidden="1" x14ac:dyDescent="0.35">
      <c r="A48" s="1016" t="s">
        <v>7132</v>
      </c>
      <c r="B48" s="1405">
        <v>7806281</v>
      </c>
      <c r="C48" s="1405">
        <v>7805341</v>
      </c>
      <c r="D48" s="1026">
        <v>940</v>
      </c>
    </row>
    <row r="49" spans="1:4" hidden="1" x14ac:dyDescent="0.35">
      <c r="A49" s="1016" t="s">
        <v>2243</v>
      </c>
      <c r="B49" s="1405">
        <v>450880</v>
      </c>
      <c r="C49" s="1405">
        <v>450880</v>
      </c>
      <c r="D49" s="1026">
        <v>0</v>
      </c>
    </row>
    <row r="50" spans="1:4" hidden="1" x14ac:dyDescent="0.35">
      <c r="A50" s="1016" t="s">
        <v>7177</v>
      </c>
      <c r="B50" s="1405">
        <v>650882</v>
      </c>
      <c r="C50" s="1405">
        <v>650882</v>
      </c>
      <c r="D50" s="1026">
        <v>0</v>
      </c>
    </row>
    <row r="51" spans="1:4" hidden="1" x14ac:dyDescent="0.35">
      <c r="A51" s="1016" t="s">
        <v>1406</v>
      </c>
      <c r="B51" s="1405">
        <v>168305</v>
      </c>
      <c r="C51" s="1405">
        <v>168305</v>
      </c>
      <c r="D51" s="1026">
        <v>0</v>
      </c>
    </row>
    <row r="52" spans="1:4" hidden="1" x14ac:dyDescent="0.35">
      <c r="A52" s="1016" t="s">
        <v>1094</v>
      </c>
      <c r="B52" s="1405">
        <v>88730</v>
      </c>
      <c r="C52" s="1405">
        <v>88730</v>
      </c>
      <c r="D52" s="1026">
        <v>0</v>
      </c>
    </row>
    <row r="53" spans="1:4" hidden="1" x14ac:dyDescent="0.35">
      <c r="A53" s="1016" t="s">
        <v>8000</v>
      </c>
      <c r="B53" s="1405">
        <v>8214710</v>
      </c>
      <c r="C53" s="1405">
        <v>8214710</v>
      </c>
      <c r="D53" s="1026">
        <v>0</v>
      </c>
    </row>
    <row r="54" spans="1:4" hidden="1" x14ac:dyDescent="0.35">
      <c r="A54" s="1016" t="s">
        <v>1213</v>
      </c>
      <c r="B54" s="1405">
        <v>263340</v>
      </c>
      <c r="C54" s="1405">
        <v>263340</v>
      </c>
      <c r="D54" s="1026">
        <v>0</v>
      </c>
    </row>
    <row r="55" spans="1:4" hidden="1" x14ac:dyDescent="0.35">
      <c r="A55" s="1016" t="s">
        <v>1818</v>
      </c>
      <c r="B55" s="1405">
        <v>236720</v>
      </c>
      <c r="C55" s="1405">
        <v>236720</v>
      </c>
      <c r="D55" s="1026">
        <v>0</v>
      </c>
    </row>
    <row r="56" spans="1:4" hidden="1" x14ac:dyDescent="0.35">
      <c r="A56" s="1016" t="s">
        <v>1502</v>
      </c>
      <c r="B56" s="1405">
        <v>188750</v>
      </c>
      <c r="C56" s="1405">
        <v>188750</v>
      </c>
      <c r="D56" s="1026">
        <v>0</v>
      </c>
    </row>
    <row r="57" spans="1:4" hidden="1" x14ac:dyDescent="0.35">
      <c r="A57" s="1016" t="s">
        <v>82</v>
      </c>
      <c r="B57" s="1405">
        <v>773994</v>
      </c>
      <c r="C57" s="1405">
        <v>773994</v>
      </c>
      <c r="D57" s="1026">
        <v>0</v>
      </c>
    </row>
    <row r="58" spans="1:4" hidden="1" x14ac:dyDescent="0.35">
      <c r="A58" s="1016" t="s">
        <v>33</v>
      </c>
      <c r="B58" s="1405">
        <v>569111</v>
      </c>
      <c r="C58" s="1405">
        <v>569111</v>
      </c>
      <c r="D58" s="1026">
        <v>0</v>
      </c>
    </row>
    <row r="59" spans="1:4" hidden="1" x14ac:dyDescent="0.35">
      <c r="A59" s="1016" t="s">
        <v>6706</v>
      </c>
      <c r="B59" s="1405"/>
      <c r="C59" s="1405"/>
      <c r="D59" s="1026">
        <v>0</v>
      </c>
    </row>
    <row r="60" spans="1:4" hidden="1" x14ac:dyDescent="0.35">
      <c r="A60" s="1016" t="s">
        <v>1820</v>
      </c>
      <c r="B60" s="1405">
        <v>4800</v>
      </c>
      <c r="C60" s="1405">
        <v>4800</v>
      </c>
      <c r="D60" s="1026">
        <v>0</v>
      </c>
    </row>
    <row r="61" spans="1:4" hidden="1" x14ac:dyDescent="0.35">
      <c r="A61" s="1016" t="s">
        <v>8156</v>
      </c>
      <c r="B61" s="1405">
        <v>714288</v>
      </c>
      <c r="C61" s="1405">
        <v>714288</v>
      </c>
      <c r="D61" s="1026">
        <v>0</v>
      </c>
    </row>
    <row r="62" spans="1:4" hidden="1" x14ac:dyDescent="0.35">
      <c r="A62" s="1016" t="s">
        <v>1703</v>
      </c>
      <c r="B62" s="1405">
        <v>13508</v>
      </c>
      <c r="C62" s="1405">
        <v>13508</v>
      </c>
      <c r="D62" s="1026">
        <v>0</v>
      </c>
    </row>
    <row r="63" spans="1:4" hidden="1" x14ac:dyDescent="0.35">
      <c r="A63" s="1016" t="s">
        <v>9615</v>
      </c>
      <c r="B63" s="1405">
        <v>69638</v>
      </c>
      <c r="C63" s="1405">
        <v>69638</v>
      </c>
      <c r="D63" s="1026">
        <v>0</v>
      </c>
    </row>
    <row r="64" spans="1:4" hidden="1" x14ac:dyDescent="0.35">
      <c r="A64" s="1016" t="s">
        <v>2038</v>
      </c>
      <c r="B64" s="1405">
        <v>488314</v>
      </c>
      <c r="C64" s="1405">
        <v>488314</v>
      </c>
      <c r="D64" s="1026">
        <v>0</v>
      </c>
    </row>
    <row r="65" spans="1:4" hidden="1" x14ac:dyDescent="0.35">
      <c r="A65" s="1016" t="s">
        <v>1072</v>
      </c>
      <c r="B65" s="1405">
        <v>85300</v>
      </c>
      <c r="C65" s="1405">
        <v>85300</v>
      </c>
      <c r="D65" s="1026">
        <v>0</v>
      </c>
    </row>
    <row r="66" spans="1:4" hidden="1" x14ac:dyDescent="0.35">
      <c r="A66" s="1016" t="s">
        <v>32</v>
      </c>
      <c r="B66" s="1405">
        <v>327433</v>
      </c>
      <c r="C66" s="1405">
        <v>327433</v>
      </c>
      <c r="D66" s="1026">
        <v>0</v>
      </c>
    </row>
    <row r="67" spans="1:4" hidden="1" x14ac:dyDescent="0.35">
      <c r="A67" s="1016" t="s">
        <v>44</v>
      </c>
      <c r="B67" s="1405">
        <v>10000</v>
      </c>
      <c r="C67" s="1405">
        <v>10000</v>
      </c>
      <c r="D67" s="1026">
        <v>0</v>
      </c>
    </row>
    <row r="68" spans="1:4" hidden="1" x14ac:dyDescent="0.35">
      <c r="A68" s="1016" t="s">
        <v>2058</v>
      </c>
      <c r="B68" s="1405">
        <v>392680</v>
      </c>
      <c r="C68" s="1405">
        <v>392680</v>
      </c>
      <c r="D68" s="1026">
        <v>0</v>
      </c>
    </row>
    <row r="69" spans="1:4" hidden="1" x14ac:dyDescent="0.35">
      <c r="A69" s="1016" t="s">
        <v>7733</v>
      </c>
      <c r="B69" s="1405">
        <v>1459010</v>
      </c>
      <c r="C69" s="1405">
        <v>1459010</v>
      </c>
      <c r="D69" s="1026">
        <v>0</v>
      </c>
    </row>
    <row r="70" spans="1:4" hidden="1" x14ac:dyDescent="0.35">
      <c r="A70" s="1016" t="s">
        <v>2280</v>
      </c>
      <c r="B70" s="1405">
        <v>81323</v>
      </c>
      <c r="C70" s="1405">
        <v>81323</v>
      </c>
      <c r="D70" s="1026">
        <v>0</v>
      </c>
    </row>
    <row r="71" spans="1:4" hidden="1" x14ac:dyDescent="0.35">
      <c r="A71" s="1016" t="s">
        <v>6575</v>
      </c>
      <c r="B71" s="1405">
        <v>2033111</v>
      </c>
      <c r="C71" s="1405">
        <v>2033111</v>
      </c>
      <c r="D71" s="1026">
        <v>0</v>
      </c>
    </row>
    <row r="72" spans="1:4" hidden="1" x14ac:dyDescent="0.35">
      <c r="A72" s="1016" t="s">
        <v>2422</v>
      </c>
      <c r="B72" s="1405">
        <v>907</v>
      </c>
      <c r="C72" s="1405">
        <v>907</v>
      </c>
      <c r="D72" s="1026">
        <v>0</v>
      </c>
    </row>
    <row r="73" spans="1:4" hidden="1" x14ac:dyDescent="0.35">
      <c r="A73" s="1016" t="s">
        <v>7825</v>
      </c>
      <c r="B73" s="1405">
        <v>319499</v>
      </c>
      <c r="C73" s="1405">
        <v>319499</v>
      </c>
      <c r="D73" s="1026">
        <v>0</v>
      </c>
    </row>
    <row r="74" spans="1:4" s="1027" customFormat="1" hidden="1" x14ac:dyDescent="0.35">
      <c r="A74" s="1016" t="s">
        <v>2571</v>
      </c>
      <c r="B74" s="1405">
        <v>68818</v>
      </c>
      <c r="C74" s="1405">
        <v>68818</v>
      </c>
      <c r="D74" s="1026">
        <v>0</v>
      </c>
    </row>
    <row r="75" spans="1:4" hidden="1" x14ac:dyDescent="0.35">
      <c r="A75" s="1016" t="s">
        <v>8032</v>
      </c>
      <c r="B75" s="1405">
        <v>3636139</v>
      </c>
      <c r="C75" s="1405">
        <v>3636139</v>
      </c>
      <c r="D75" s="1026">
        <v>0</v>
      </c>
    </row>
    <row r="76" spans="1:4" hidden="1" x14ac:dyDescent="0.35">
      <c r="A76" s="1016" t="s">
        <v>2675</v>
      </c>
      <c r="B76" s="1405">
        <v>11034195</v>
      </c>
      <c r="C76" s="1405">
        <v>11034195</v>
      </c>
      <c r="D76" s="1026">
        <v>0</v>
      </c>
    </row>
    <row r="77" spans="1:4" hidden="1" x14ac:dyDescent="0.35">
      <c r="A77" s="1016" t="s">
        <v>8653</v>
      </c>
      <c r="B77" s="1405">
        <v>2338299</v>
      </c>
      <c r="C77" s="1405">
        <v>2338299</v>
      </c>
      <c r="D77" s="1026">
        <v>0</v>
      </c>
    </row>
    <row r="78" spans="1:4" hidden="1" x14ac:dyDescent="0.35">
      <c r="A78" s="1016" t="s">
        <v>2336</v>
      </c>
      <c r="B78" s="1405">
        <v>39773</v>
      </c>
      <c r="C78" s="1405">
        <v>39773</v>
      </c>
      <c r="D78" s="1026">
        <v>0</v>
      </c>
    </row>
    <row r="79" spans="1:4" hidden="1" x14ac:dyDescent="0.35">
      <c r="A79" s="1016" t="s">
        <v>36</v>
      </c>
      <c r="B79" s="1405">
        <v>98941</v>
      </c>
      <c r="C79" s="1405">
        <v>98941</v>
      </c>
      <c r="D79" s="1026">
        <v>0</v>
      </c>
    </row>
    <row r="80" spans="1:4" hidden="1" x14ac:dyDescent="0.35">
      <c r="A80" s="1016" t="s">
        <v>2396</v>
      </c>
      <c r="B80" s="1405">
        <v>27120</v>
      </c>
      <c r="C80" s="1405">
        <v>27120</v>
      </c>
      <c r="D80" s="1026">
        <v>0</v>
      </c>
    </row>
    <row r="81" spans="1:4" hidden="1" x14ac:dyDescent="0.35">
      <c r="A81" s="1016" t="s">
        <v>9877</v>
      </c>
      <c r="B81" s="1405">
        <v>5784400</v>
      </c>
      <c r="C81" s="1405">
        <v>5784400</v>
      </c>
      <c r="D81" s="1026">
        <v>0</v>
      </c>
    </row>
    <row r="82" spans="1:4" hidden="1" x14ac:dyDescent="0.35">
      <c r="A82" s="1077" t="s">
        <v>8483</v>
      </c>
      <c r="B82" s="1405">
        <v>3512320</v>
      </c>
      <c r="C82" s="1405">
        <v>3512320</v>
      </c>
      <c r="D82" s="1026">
        <v>0</v>
      </c>
    </row>
    <row r="83" spans="1:4" hidden="1" x14ac:dyDescent="0.35">
      <c r="A83" s="1077" t="s">
        <v>166</v>
      </c>
      <c r="B83" s="1405">
        <v>66000</v>
      </c>
      <c r="C83" s="1405">
        <v>66000</v>
      </c>
      <c r="D83" s="1083">
        <v>0</v>
      </c>
    </row>
    <row r="84" spans="1:4" hidden="1" x14ac:dyDescent="0.35">
      <c r="A84" s="1077" t="s">
        <v>9006</v>
      </c>
      <c r="B84" s="1405">
        <v>300000</v>
      </c>
      <c r="C84" s="1405">
        <v>300000</v>
      </c>
      <c r="D84" s="1026">
        <v>0</v>
      </c>
    </row>
    <row r="85" spans="1:4" hidden="1" x14ac:dyDescent="0.35">
      <c r="A85" s="1077" t="s">
        <v>180</v>
      </c>
      <c r="B85" s="1405">
        <v>1849080</v>
      </c>
      <c r="C85" s="1405">
        <v>1849080</v>
      </c>
      <c r="D85" s="1026">
        <v>0</v>
      </c>
    </row>
    <row r="86" spans="1:4" hidden="1" x14ac:dyDescent="0.35">
      <c r="A86" s="1077" t="s">
        <v>5731</v>
      </c>
      <c r="B86" s="1405">
        <v>57000</v>
      </c>
      <c r="C86" s="1405">
        <v>57000</v>
      </c>
      <c r="D86" s="1026">
        <v>0</v>
      </c>
    </row>
    <row r="87" spans="1:4" hidden="1" x14ac:dyDescent="0.35">
      <c r="A87" s="1016" t="s">
        <v>3413</v>
      </c>
      <c r="B87" s="1405">
        <v>4145</v>
      </c>
      <c r="C87" s="1405">
        <v>4145</v>
      </c>
      <c r="D87" s="1026">
        <v>0</v>
      </c>
    </row>
    <row r="88" spans="1:4" hidden="1" x14ac:dyDescent="0.35">
      <c r="A88" s="1016" t="s">
        <v>2104</v>
      </c>
      <c r="B88" s="1405">
        <v>64441</v>
      </c>
      <c r="C88" s="1405">
        <v>64441</v>
      </c>
      <c r="D88" s="1026">
        <v>0</v>
      </c>
    </row>
    <row r="89" spans="1:4" hidden="1" x14ac:dyDescent="0.35">
      <c r="A89" s="1016" t="s">
        <v>3431</v>
      </c>
      <c r="B89" s="1405">
        <v>25920</v>
      </c>
      <c r="C89" s="1405">
        <v>25920</v>
      </c>
      <c r="D89" s="1026">
        <v>0</v>
      </c>
    </row>
    <row r="90" spans="1:4" hidden="1" x14ac:dyDescent="0.35">
      <c r="A90" s="1016" t="s">
        <v>1210</v>
      </c>
      <c r="B90" s="1405">
        <v>114450</v>
      </c>
      <c r="C90" s="1405">
        <v>114450</v>
      </c>
      <c r="D90" s="1026">
        <v>0</v>
      </c>
    </row>
    <row r="91" spans="1:4" hidden="1" x14ac:dyDescent="0.35">
      <c r="A91" s="1016" t="s">
        <v>3652</v>
      </c>
      <c r="B91" s="1405">
        <v>1223860</v>
      </c>
      <c r="C91" s="1405">
        <v>1223860</v>
      </c>
      <c r="D91" s="1026">
        <v>0</v>
      </c>
    </row>
    <row r="92" spans="1:4" hidden="1" x14ac:dyDescent="0.35">
      <c r="A92" s="1016" t="s">
        <v>130</v>
      </c>
      <c r="B92" s="1405">
        <v>1701541</v>
      </c>
      <c r="C92" s="1405">
        <v>1701541</v>
      </c>
      <c r="D92" s="1026">
        <v>0</v>
      </c>
    </row>
    <row r="93" spans="1:4" hidden="1" x14ac:dyDescent="0.35">
      <c r="A93" s="1016" t="s">
        <v>3414</v>
      </c>
      <c r="B93" s="1405">
        <v>382000</v>
      </c>
      <c r="C93" s="1405">
        <v>382000</v>
      </c>
      <c r="D93" s="1026">
        <v>0</v>
      </c>
    </row>
    <row r="94" spans="1:4" hidden="1" x14ac:dyDescent="0.35">
      <c r="A94" s="1016" t="s">
        <v>397</v>
      </c>
      <c r="B94" s="1405">
        <v>225515</v>
      </c>
      <c r="C94" s="1405">
        <v>225515</v>
      </c>
      <c r="D94" s="1026">
        <v>0</v>
      </c>
    </row>
    <row r="95" spans="1:4" hidden="1" x14ac:dyDescent="0.35">
      <c r="A95" s="1016" t="s">
        <v>1688</v>
      </c>
      <c r="B95" s="1405">
        <v>174105</v>
      </c>
      <c r="C95" s="1405">
        <v>174105</v>
      </c>
      <c r="D95" s="1026">
        <v>0</v>
      </c>
    </row>
    <row r="96" spans="1:4" hidden="1" x14ac:dyDescent="0.35">
      <c r="A96" s="1016" t="s">
        <v>6562</v>
      </c>
      <c r="B96" s="1405">
        <v>266073</v>
      </c>
      <c r="C96" s="1405">
        <v>266073</v>
      </c>
      <c r="D96" s="1026">
        <v>0</v>
      </c>
    </row>
    <row r="97" spans="1:4" hidden="1" x14ac:dyDescent="0.35">
      <c r="A97" s="1016" t="s">
        <v>18</v>
      </c>
      <c r="B97" s="1405">
        <v>150590</v>
      </c>
      <c r="C97" s="1405">
        <v>150590</v>
      </c>
      <c r="D97" s="1026">
        <v>0</v>
      </c>
    </row>
    <row r="98" spans="1:4" hidden="1" x14ac:dyDescent="0.35">
      <c r="A98" s="1016" t="s">
        <v>37</v>
      </c>
      <c r="B98" s="1405">
        <v>88360</v>
      </c>
      <c r="C98" s="1405">
        <v>88360</v>
      </c>
      <c r="D98" s="1026">
        <v>0</v>
      </c>
    </row>
    <row r="99" spans="1:4" hidden="1" x14ac:dyDescent="0.35">
      <c r="A99" s="1016" t="s">
        <v>2288</v>
      </c>
      <c r="B99" s="1405">
        <v>379598</v>
      </c>
      <c r="C99" s="1405">
        <v>379598</v>
      </c>
      <c r="D99" s="1026">
        <v>0</v>
      </c>
    </row>
    <row r="100" spans="1:4" hidden="1" x14ac:dyDescent="0.35">
      <c r="A100" s="1016" t="s">
        <v>7627</v>
      </c>
      <c r="B100" s="1405">
        <v>1012779</v>
      </c>
      <c r="C100" s="1405">
        <v>1012779</v>
      </c>
      <c r="D100" s="1026">
        <v>0</v>
      </c>
    </row>
    <row r="101" spans="1:4" hidden="1" x14ac:dyDescent="0.35">
      <c r="A101" s="1016" t="s">
        <v>4924</v>
      </c>
      <c r="B101" s="1405">
        <v>262657</v>
      </c>
      <c r="C101" s="1405">
        <v>262657</v>
      </c>
      <c r="D101" s="1026">
        <v>0</v>
      </c>
    </row>
    <row r="102" spans="1:4" hidden="1" x14ac:dyDescent="0.35">
      <c r="A102" s="1016" t="s">
        <v>7191</v>
      </c>
      <c r="B102" s="1405"/>
      <c r="C102" s="1405"/>
      <c r="D102" s="1026">
        <v>0</v>
      </c>
    </row>
    <row r="103" spans="1:4" hidden="1" x14ac:dyDescent="0.35">
      <c r="A103" s="1016" t="s">
        <v>5095</v>
      </c>
      <c r="B103" s="1405">
        <v>246404</v>
      </c>
      <c r="C103" s="1405">
        <v>246404</v>
      </c>
      <c r="D103" s="1026">
        <v>0</v>
      </c>
    </row>
    <row r="104" spans="1:4" hidden="1" x14ac:dyDescent="0.35">
      <c r="A104" s="1016" t="s">
        <v>7811</v>
      </c>
      <c r="B104" s="1405">
        <v>281981</v>
      </c>
      <c r="C104" s="1405">
        <v>281981</v>
      </c>
      <c r="D104" s="1026">
        <v>0</v>
      </c>
    </row>
    <row r="105" spans="1:4" hidden="1" x14ac:dyDescent="0.35">
      <c r="A105" s="1016" t="s">
        <v>4854</v>
      </c>
      <c r="B105" s="1405">
        <v>15712</v>
      </c>
      <c r="C105" s="1405">
        <v>15712</v>
      </c>
      <c r="D105" s="1026">
        <v>0</v>
      </c>
    </row>
    <row r="106" spans="1:4" hidden="1" x14ac:dyDescent="0.35">
      <c r="A106" s="1016" t="s">
        <v>7896</v>
      </c>
      <c r="B106" s="1405">
        <v>378277</v>
      </c>
      <c r="C106" s="1405">
        <v>378277</v>
      </c>
      <c r="D106" s="1026">
        <v>0</v>
      </c>
    </row>
    <row r="107" spans="1:4" hidden="1" x14ac:dyDescent="0.35">
      <c r="A107" s="1016" t="s">
        <v>5274</v>
      </c>
      <c r="B107" s="1405">
        <v>862774</v>
      </c>
      <c r="C107" s="1405">
        <v>862774</v>
      </c>
      <c r="D107" s="1026">
        <v>0</v>
      </c>
    </row>
    <row r="108" spans="1:4" hidden="1" x14ac:dyDescent="0.35">
      <c r="A108" s="1016" t="s">
        <v>3978</v>
      </c>
      <c r="B108" s="1405">
        <v>5200</v>
      </c>
      <c r="C108" s="1405">
        <v>5200</v>
      </c>
      <c r="D108" s="1026">
        <v>0</v>
      </c>
    </row>
    <row r="109" spans="1:4" hidden="1" x14ac:dyDescent="0.35">
      <c r="A109" s="1016" t="s">
        <v>2810</v>
      </c>
      <c r="B109" s="1405">
        <v>7711931</v>
      </c>
      <c r="C109" s="1405">
        <v>7711931</v>
      </c>
      <c r="D109" s="1026">
        <v>0</v>
      </c>
    </row>
    <row r="110" spans="1:4" hidden="1" x14ac:dyDescent="0.35">
      <c r="A110" s="1016" t="s">
        <v>2672</v>
      </c>
      <c r="B110" s="1405">
        <v>202856</v>
      </c>
      <c r="C110" s="1405">
        <v>202856</v>
      </c>
      <c r="D110" s="1026">
        <v>0</v>
      </c>
    </row>
    <row r="111" spans="1:4" hidden="1" x14ac:dyDescent="0.35">
      <c r="A111" s="1016" t="s">
        <v>5598</v>
      </c>
      <c r="B111" s="1405">
        <v>202398</v>
      </c>
      <c r="C111" s="1405">
        <v>202398</v>
      </c>
      <c r="D111" s="1026">
        <v>0</v>
      </c>
    </row>
    <row r="112" spans="1:4" hidden="1" x14ac:dyDescent="0.35">
      <c r="A112" s="1016" t="s">
        <v>11</v>
      </c>
      <c r="B112" s="1405">
        <v>164487</v>
      </c>
      <c r="C112" s="1405">
        <v>164487</v>
      </c>
      <c r="D112" s="1026">
        <v>0</v>
      </c>
    </row>
    <row r="113" spans="1:4" hidden="1" x14ac:dyDescent="0.35">
      <c r="A113" s="1016" t="s">
        <v>3765</v>
      </c>
      <c r="B113" s="1405">
        <v>769824</v>
      </c>
      <c r="C113" s="1405">
        <v>769824</v>
      </c>
      <c r="D113" s="1026">
        <v>0</v>
      </c>
    </row>
    <row r="114" spans="1:4" hidden="1" x14ac:dyDescent="0.35">
      <c r="A114" s="1016" t="s">
        <v>8625</v>
      </c>
      <c r="B114" s="1405">
        <v>235522</v>
      </c>
      <c r="C114" s="1405">
        <v>235522</v>
      </c>
      <c r="D114" s="1026">
        <v>0</v>
      </c>
    </row>
    <row r="115" spans="1:4" hidden="1" x14ac:dyDescent="0.35">
      <c r="A115" s="1016" t="s">
        <v>5770</v>
      </c>
      <c r="B115" s="1405">
        <v>283131</v>
      </c>
      <c r="C115" s="1405">
        <v>283131</v>
      </c>
      <c r="D115" s="1026">
        <v>0</v>
      </c>
    </row>
    <row r="116" spans="1:4" hidden="1" x14ac:dyDescent="0.35">
      <c r="A116" s="1016" t="s">
        <v>2109</v>
      </c>
      <c r="B116" s="1405">
        <v>2197189</v>
      </c>
      <c r="C116" s="1405">
        <v>2197189</v>
      </c>
      <c r="D116" s="1026">
        <v>0</v>
      </c>
    </row>
    <row r="117" spans="1:4" hidden="1" x14ac:dyDescent="0.35">
      <c r="A117" s="1016" t="s">
        <v>5779</v>
      </c>
      <c r="B117" s="1405">
        <v>20800</v>
      </c>
      <c r="C117" s="1405">
        <v>20800</v>
      </c>
      <c r="D117" s="1026">
        <v>0</v>
      </c>
    </row>
    <row r="118" spans="1:4" hidden="1" x14ac:dyDescent="0.35">
      <c r="A118" s="1016" t="s">
        <v>9516</v>
      </c>
      <c r="B118" s="1405">
        <v>1102526</v>
      </c>
      <c r="C118" s="1405">
        <v>1102526</v>
      </c>
      <c r="D118" s="1026">
        <v>0</v>
      </c>
    </row>
    <row r="119" spans="1:4" hidden="1" x14ac:dyDescent="0.35">
      <c r="A119" s="1016" t="s">
        <v>5862</v>
      </c>
      <c r="B119" s="1405">
        <v>317719</v>
      </c>
      <c r="C119" s="1405">
        <v>317719</v>
      </c>
      <c r="D119" s="1026">
        <v>0</v>
      </c>
    </row>
    <row r="120" spans="1:4" x14ac:dyDescent="0.35">
      <c r="A120" s="1016" t="s">
        <v>1404</v>
      </c>
      <c r="B120" s="1405">
        <v>5128605</v>
      </c>
      <c r="C120" s="1405">
        <v>5128605</v>
      </c>
      <c r="D120" s="1026">
        <v>0</v>
      </c>
    </row>
    <row r="121" spans="1:4" x14ac:dyDescent="0.35">
      <c r="A121" s="1016" t="s">
        <v>6157</v>
      </c>
      <c r="B121" s="1405">
        <v>126398</v>
      </c>
      <c r="C121" s="1405">
        <v>126398</v>
      </c>
      <c r="D121" s="1026">
        <v>0</v>
      </c>
    </row>
    <row r="122" spans="1:4" x14ac:dyDescent="0.35">
      <c r="A122" s="1016" t="s">
        <v>171</v>
      </c>
      <c r="B122" s="1405">
        <v>46541</v>
      </c>
      <c r="C122" s="1405">
        <v>46541</v>
      </c>
      <c r="D122" s="1026">
        <v>0</v>
      </c>
    </row>
    <row r="123" spans="1:4" x14ac:dyDescent="0.35">
      <c r="A123" s="1016" t="s">
        <v>6303</v>
      </c>
      <c r="B123" s="1405">
        <v>64600</v>
      </c>
      <c r="C123" s="1405">
        <v>64600</v>
      </c>
      <c r="D123" s="1026">
        <v>0</v>
      </c>
    </row>
    <row r="124" spans="1:4" x14ac:dyDescent="0.35">
      <c r="A124" s="1016" t="s">
        <v>129</v>
      </c>
      <c r="B124" s="1405">
        <v>462767</v>
      </c>
      <c r="C124" s="1405">
        <v>462767</v>
      </c>
      <c r="D124" s="1026">
        <v>0</v>
      </c>
    </row>
    <row r="125" spans="1:4" x14ac:dyDescent="0.35">
      <c r="A125" s="1016" t="s">
        <v>40</v>
      </c>
      <c r="B125" s="1405">
        <v>9536720</v>
      </c>
      <c r="C125" s="1405">
        <v>9536720</v>
      </c>
      <c r="D125" s="1026">
        <v>0</v>
      </c>
    </row>
    <row r="126" spans="1:4" x14ac:dyDescent="0.35">
      <c r="A126" s="1016" t="s">
        <v>969</v>
      </c>
      <c r="B126" s="1405">
        <v>878807</v>
      </c>
      <c r="C126" s="1405">
        <v>878807</v>
      </c>
      <c r="D126" s="1026">
        <v>0</v>
      </c>
    </row>
    <row r="127" spans="1:4" x14ac:dyDescent="0.35">
      <c r="A127" s="1016" t="s">
        <v>6564</v>
      </c>
      <c r="B127" s="1405">
        <v>194736</v>
      </c>
      <c r="C127" s="1405">
        <v>194736</v>
      </c>
      <c r="D127" s="1026">
        <v>0</v>
      </c>
    </row>
    <row r="128" spans="1:4" x14ac:dyDescent="0.35">
      <c r="A128" s="1016" t="s">
        <v>14</v>
      </c>
      <c r="B128" s="1405">
        <v>53258</v>
      </c>
      <c r="C128" s="1405">
        <v>53258</v>
      </c>
      <c r="D128" s="1026">
        <v>0</v>
      </c>
    </row>
    <row r="129" spans="1:4" x14ac:dyDescent="0.35">
      <c r="A129" s="1016" t="s">
        <v>160</v>
      </c>
      <c r="B129" s="1405">
        <v>51355</v>
      </c>
      <c r="C129" s="1405">
        <v>51355</v>
      </c>
      <c r="D129" s="1026">
        <v>0</v>
      </c>
    </row>
    <row r="130" spans="1:4" x14ac:dyDescent="0.35">
      <c r="A130" s="1016" t="s">
        <v>75</v>
      </c>
      <c r="B130" s="1405">
        <v>13918</v>
      </c>
      <c r="C130" s="1405">
        <v>13918</v>
      </c>
      <c r="D130" s="1026">
        <v>0</v>
      </c>
    </row>
    <row r="131" spans="1:4" x14ac:dyDescent="0.35">
      <c r="A131" s="1016" t="s">
        <v>6568</v>
      </c>
      <c r="B131" s="1405">
        <v>2116010</v>
      </c>
      <c r="C131" s="1405">
        <v>2116010</v>
      </c>
      <c r="D131" s="1026">
        <v>0</v>
      </c>
    </row>
    <row r="132" spans="1:4" x14ac:dyDescent="0.35">
      <c r="A132" s="1016" t="s">
        <v>1222</v>
      </c>
      <c r="B132" s="1405">
        <v>1763405</v>
      </c>
      <c r="C132" s="1405">
        <v>1763405</v>
      </c>
      <c r="D132" s="1026">
        <v>0</v>
      </c>
    </row>
    <row r="133" spans="1:4" x14ac:dyDescent="0.35">
      <c r="A133" s="1016" t="s">
        <v>6779</v>
      </c>
      <c r="B133" s="1405">
        <v>324270</v>
      </c>
      <c r="C133" s="1405">
        <v>324270</v>
      </c>
      <c r="D133" s="1026">
        <v>0</v>
      </c>
    </row>
    <row r="134" spans="1:4" x14ac:dyDescent="0.35">
      <c r="A134" s="1016" t="s">
        <v>154</v>
      </c>
      <c r="B134" s="1405">
        <v>613890</v>
      </c>
      <c r="C134" s="1405">
        <v>613890</v>
      </c>
      <c r="D134" s="1026">
        <v>0</v>
      </c>
    </row>
    <row r="135" spans="1:4" x14ac:dyDescent="0.35">
      <c r="A135" s="1016" t="s">
        <v>6849</v>
      </c>
      <c r="B135" s="1405">
        <v>300000</v>
      </c>
      <c r="C135" s="1405">
        <v>300000</v>
      </c>
      <c r="D135" s="1026">
        <v>0</v>
      </c>
    </row>
    <row r="136" spans="1:4" x14ac:dyDescent="0.35">
      <c r="A136" s="1016" t="s">
        <v>39</v>
      </c>
      <c r="B136" s="1405">
        <v>65000</v>
      </c>
      <c r="C136" s="1405">
        <v>65000</v>
      </c>
      <c r="D136" s="1026">
        <v>0</v>
      </c>
    </row>
    <row r="137" spans="1:4" x14ac:dyDescent="0.35">
      <c r="A137" s="1016" t="s">
        <v>7017</v>
      </c>
      <c r="B137" s="1405">
        <v>1069050</v>
      </c>
      <c r="C137" s="1405">
        <v>1069050</v>
      </c>
      <c r="D137" s="1026">
        <v>0</v>
      </c>
    </row>
    <row r="138" spans="1:4" x14ac:dyDescent="0.35">
      <c r="A138" s="1016" t="s">
        <v>38</v>
      </c>
      <c r="B138" s="1405">
        <v>291424</v>
      </c>
      <c r="C138" s="1405">
        <v>291424</v>
      </c>
      <c r="D138" s="1026">
        <v>0</v>
      </c>
    </row>
    <row r="139" spans="1:4" x14ac:dyDescent="0.35">
      <c r="A139" s="1016" t="s">
        <v>677</v>
      </c>
      <c r="B139" s="1405">
        <v>652434</v>
      </c>
      <c r="C139" s="1405">
        <v>652434</v>
      </c>
      <c r="D139" s="1026">
        <v>0</v>
      </c>
    </row>
    <row r="140" spans="1:4" x14ac:dyDescent="0.35">
      <c r="A140" s="1016" t="s">
        <v>774</v>
      </c>
      <c r="B140" s="1405">
        <v>454645</v>
      </c>
      <c r="C140" s="1405">
        <v>454645</v>
      </c>
      <c r="D140" s="1026">
        <v>0</v>
      </c>
    </row>
    <row r="141" spans="1:4" x14ac:dyDescent="0.35">
      <c r="A141" s="1016" t="s">
        <v>467</v>
      </c>
      <c r="B141" s="1405">
        <v>3218295</v>
      </c>
      <c r="C141" s="1405">
        <v>3218295</v>
      </c>
      <c r="D141" s="1026">
        <v>0</v>
      </c>
    </row>
    <row r="142" spans="1:4" x14ac:dyDescent="0.35">
      <c r="A142" s="1016" t="s">
        <v>5367</v>
      </c>
      <c r="B142" s="1405">
        <v>52679</v>
      </c>
      <c r="C142" s="1405">
        <v>52679</v>
      </c>
      <c r="D142" s="1026">
        <v>0</v>
      </c>
    </row>
    <row r="143" spans="1:4" x14ac:dyDescent="0.35">
      <c r="A143" s="1016" t="s">
        <v>5759</v>
      </c>
      <c r="B143" s="1405">
        <v>203382</v>
      </c>
      <c r="C143" s="1405">
        <v>203382</v>
      </c>
      <c r="D143" s="1026">
        <v>0</v>
      </c>
    </row>
    <row r="144" spans="1:4" x14ac:dyDescent="0.35">
      <c r="A144" s="1016" t="s">
        <v>10683</v>
      </c>
      <c r="B144" s="1405">
        <v>2472552</v>
      </c>
      <c r="C144" s="1405">
        <v>2519082</v>
      </c>
      <c r="D144" s="1026">
        <v>-46530</v>
      </c>
    </row>
    <row r="145" spans="1:4" x14ac:dyDescent="0.35">
      <c r="A145" s="1016" t="s">
        <v>12025</v>
      </c>
      <c r="B145" s="1405">
        <v>1343560</v>
      </c>
      <c r="C145" s="1405">
        <v>1500000</v>
      </c>
      <c r="D145" s="1026">
        <v>-156440</v>
      </c>
    </row>
    <row r="146" spans="1:4" x14ac:dyDescent="0.35">
      <c r="A146" s="1077" t="s">
        <v>180</v>
      </c>
      <c r="B146" s="1405">
        <v>1343560</v>
      </c>
      <c r="C146" s="1405">
        <v>1500000</v>
      </c>
      <c r="D146" s="1026">
        <v>-156440</v>
      </c>
    </row>
    <row r="147" spans="1:4" ht="24" thickBot="1" x14ac:dyDescent="0.4">
      <c r="A147" s="1016" t="s">
        <v>11207</v>
      </c>
      <c r="B147" s="1405">
        <v>6563280</v>
      </c>
      <c r="C147" s="1405">
        <v>10500000</v>
      </c>
      <c r="D147" s="1026">
        <v>-3936720</v>
      </c>
    </row>
    <row r="148" spans="1:4" ht="24" thickBot="1" x14ac:dyDescent="0.4">
      <c r="A148" s="1028" t="s">
        <v>45</v>
      </c>
      <c r="B148" s="1029">
        <v>268606639</v>
      </c>
      <c r="C148" s="1030">
        <v>256151611</v>
      </c>
      <c r="D148" s="1031">
        <v>12455028</v>
      </c>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51" t="s">
        <v>10425</v>
      </c>
      <c r="B4" s="1252"/>
      <c r="C4" s="1253"/>
      <c r="E4" s="1251" t="s">
        <v>8101</v>
      </c>
      <c r="F4" s="1252"/>
      <c r="G4" s="1253"/>
      <c r="I4" s="1251" t="s">
        <v>7153</v>
      </c>
      <c r="J4" s="1252"/>
      <c r="K4" s="1253"/>
      <c r="M4" s="1251" t="s">
        <v>6070</v>
      </c>
      <c r="N4" s="1252"/>
      <c r="O4" s="1253"/>
      <c r="Q4" s="1251" t="s">
        <v>5112</v>
      </c>
      <c r="R4" s="1252"/>
      <c r="S4" s="1253"/>
      <c r="U4" s="1251" t="s">
        <v>3693</v>
      </c>
      <c r="V4" s="1252"/>
      <c r="W4" s="1253"/>
      <c r="Y4" s="1251" t="s">
        <v>2663</v>
      </c>
      <c r="Z4" s="1252"/>
      <c r="AA4" s="1253"/>
      <c r="AC4" s="1257" t="s">
        <v>6072</v>
      </c>
      <c r="AD4" s="1258"/>
      <c r="AE4" s="1259"/>
      <c r="AG4" s="1274" t="s">
        <v>1092</v>
      </c>
      <c r="AH4" s="1275"/>
      <c r="AI4" s="1276"/>
    </row>
    <row r="5" spans="1:42" ht="21" customHeight="1" x14ac:dyDescent="0.25">
      <c r="A5" s="1254"/>
      <c r="B5" s="1255"/>
      <c r="C5" s="1256"/>
      <c r="E5" s="1254"/>
      <c r="F5" s="1255"/>
      <c r="G5" s="1256"/>
      <c r="I5" s="1254"/>
      <c r="J5" s="1255"/>
      <c r="K5" s="1256"/>
      <c r="M5" s="1254"/>
      <c r="N5" s="1255"/>
      <c r="O5" s="1256"/>
      <c r="Q5" s="1254"/>
      <c r="R5" s="1255"/>
      <c r="S5" s="1256"/>
      <c r="U5" s="1254"/>
      <c r="V5" s="1255"/>
      <c r="W5" s="1256"/>
      <c r="Y5" s="1254"/>
      <c r="Z5" s="1255"/>
      <c r="AA5" s="1256"/>
      <c r="AB5" s="3"/>
      <c r="AC5" s="1260"/>
      <c r="AD5" s="1261"/>
      <c r="AE5" s="1262"/>
      <c r="AG5" s="1274"/>
      <c r="AH5" s="1275"/>
      <c r="AI5" s="1276"/>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SUM(Posting!E17698:E22761)</f>
        <v>16157512.583333334</v>
      </c>
      <c r="C12" s="282">
        <f>SUM(Posting!F17698:F22761)</f>
        <v>30710858</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SUM(Posting!B15267:B21779)</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138978926.9623656</v>
      </c>
      <c r="C19" s="285">
        <f>SUM(C7:C18)</f>
        <v>163937785</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24958858.037634403</v>
      </c>
      <c r="G21" s="712">
        <f>G19-F19</f>
        <v>46800541.815737337</v>
      </c>
      <c r="K21" s="712">
        <f>K19-J19</f>
        <v>15703108.030833334</v>
      </c>
      <c r="O21" s="3">
        <f>O19-N19</f>
        <v>12408423.384024575</v>
      </c>
      <c r="Z21" s="3"/>
    </row>
    <row r="22" spans="1:37" ht="15.75" x14ac:dyDescent="0.25">
      <c r="A22" s="1277"/>
      <c r="B22" s="1277"/>
      <c r="C22" s="1"/>
      <c r="G22" s="712"/>
      <c r="I22" s="1277" t="s">
        <v>7786</v>
      </c>
      <c r="J22" s="1277"/>
      <c r="K22" s="1">
        <v>2831635</v>
      </c>
      <c r="Q22" s="3">
        <f>O19-N19</f>
        <v>12408423.384024575</v>
      </c>
      <c r="U22" s="3"/>
      <c r="V22" s="3"/>
      <c r="Y22" s="3"/>
      <c r="AC22" s="3"/>
      <c r="AG22" s="3"/>
    </row>
    <row r="23" spans="1:37" ht="15.75" customHeight="1" x14ac:dyDescent="0.3">
      <c r="A23" s="1277"/>
      <c r="B23" s="1277"/>
      <c r="C23" s="1"/>
      <c r="E23" s="1278" t="s">
        <v>11529</v>
      </c>
      <c r="F23" s="1278"/>
      <c r="G23" s="1278"/>
      <c r="I23" s="1277" t="s">
        <v>7787</v>
      </c>
      <c r="J23" s="1277"/>
      <c r="K23" s="1">
        <v>476160</v>
      </c>
      <c r="Q23" s="1">
        <v>12408423</v>
      </c>
      <c r="S23" s="3"/>
      <c r="U23" s="1"/>
      <c r="Y23" s="1"/>
      <c r="AC23" s="1"/>
      <c r="AG23" s="1"/>
    </row>
    <row r="24" spans="1:37" ht="21" x14ac:dyDescent="0.25">
      <c r="A24" s="1277"/>
      <c r="B24" s="1277"/>
      <c r="C24" s="1"/>
      <c r="E24" s="1076" t="s">
        <v>897</v>
      </c>
      <c r="F24" s="1076" t="s">
        <v>3</v>
      </c>
      <c r="G24" s="1076" t="s">
        <v>4</v>
      </c>
      <c r="I24" s="1277" t="s">
        <v>8262</v>
      </c>
      <c r="J24" s="1277"/>
      <c r="K24" s="1">
        <v>2434251</v>
      </c>
    </row>
    <row r="25" spans="1:37" ht="18.75" x14ac:dyDescent="0.25">
      <c r="C25" s="3"/>
      <c r="E25" s="2" t="s">
        <v>11531</v>
      </c>
      <c r="F25" s="1041">
        <f ca="1">SUMIF(Posting!$B:$E,"Meezan Bank Head Office",Posting!$E:$E)</f>
        <v>18966255</v>
      </c>
      <c r="G25" s="1041">
        <f ca="1">SUMIF(Posting!$B:$F,"Meezan Bank Head Office",Posting!$F:$F)</f>
        <v>19830000</v>
      </c>
      <c r="K25" s="3">
        <f>K21-K22-K23-K24</f>
        <v>9961062.0308333337</v>
      </c>
    </row>
    <row r="26" spans="1:37" ht="18.75" x14ac:dyDescent="0.25">
      <c r="E26" s="2" t="s">
        <v>11530</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131328370.60426268</v>
      </c>
      <c r="G28" s="285">
        <f ca="1">G19-G25-G26</f>
        <v>176831246.42000002</v>
      </c>
      <c r="K28" s="3"/>
    </row>
    <row r="29" spans="1:37" x14ac:dyDescent="0.25">
      <c r="F29" s="1"/>
      <c r="G29" s="3"/>
    </row>
    <row r="30" spans="1:37" ht="15.75" x14ac:dyDescent="0.25">
      <c r="B30" s="3"/>
      <c r="G30" s="712">
        <f ca="1">G28-F28</f>
        <v>45502875.815737337</v>
      </c>
    </row>
    <row r="32" spans="1:37" x14ac:dyDescent="0.25">
      <c r="F32" s="3"/>
    </row>
    <row r="37" spans="32:42" ht="15.75" thickBot="1" x14ac:dyDescent="0.3"/>
    <row r="38" spans="32:42" ht="15" customHeight="1" x14ac:dyDescent="0.25">
      <c r="AF38" s="1265" t="s">
        <v>2664</v>
      </c>
      <c r="AG38" s="1266"/>
      <c r="AH38" s="1266"/>
      <c r="AI38" s="1266"/>
      <c r="AJ38" s="1266"/>
      <c r="AK38" s="1266"/>
      <c r="AL38" s="1266"/>
      <c r="AM38" s="1266"/>
      <c r="AN38" s="1266"/>
      <c r="AO38" s="1266"/>
      <c r="AP38" s="1267"/>
    </row>
    <row r="39" spans="32:42" ht="15" customHeight="1" x14ac:dyDescent="0.25">
      <c r="AF39" s="1268"/>
      <c r="AG39" s="1269"/>
      <c r="AH39" s="1269"/>
      <c r="AI39" s="1269"/>
      <c r="AJ39" s="1269"/>
      <c r="AK39" s="1269"/>
      <c r="AL39" s="1269"/>
      <c r="AM39" s="1269"/>
      <c r="AN39" s="1269"/>
      <c r="AO39" s="1269"/>
      <c r="AP39" s="1270"/>
    </row>
    <row r="40" spans="32:42" ht="15.75" thickBot="1" x14ac:dyDescent="0.3">
      <c r="AF40" s="1271"/>
      <c r="AG40" s="1272"/>
      <c r="AH40" s="1272"/>
      <c r="AI40" s="1272"/>
      <c r="AJ40" s="1272"/>
      <c r="AK40" s="1272"/>
      <c r="AL40" s="1272"/>
      <c r="AM40" s="1272"/>
      <c r="AN40" s="1272"/>
      <c r="AO40" s="1272"/>
      <c r="AP40" s="1273"/>
    </row>
    <row r="41" spans="32:42" ht="14.45" customHeight="1" x14ac:dyDescent="0.25">
      <c r="AN41" s="1263" t="s">
        <v>2663</v>
      </c>
      <c r="AO41" s="1263"/>
      <c r="AP41" s="1263"/>
    </row>
    <row r="42" spans="32:42" ht="26.25" customHeight="1" x14ac:dyDescent="0.25">
      <c r="AN42" s="1264"/>
      <c r="AO42" s="1264"/>
      <c r="AP42" s="1264"/>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45" t="s">
        <v>1208</v>
      </c>
      <c r="AG58" s="1246"/>
      <c r="AH58" s="1247"/>
    </row>
    <row r="59" spans="32:42" ht="15" hidden="1" customHeight="1" x14ac:dyDescent="0.25">
      <c r="AF59" s="1248"/>
      <c r="AG59" s="1249"/>
      <c r="AH59" s="1250"/>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5" t="s">
        <v>5522</v>
      </c>
      <c r="B1" s="1285"/>
      <c r="C1" s="1285"/>
      <c r="D1" s="1285"/>
      <c r="E1" s="1285"/>
      <c r="F1" s="1285"/>
      <c r="G1" s="1285"/>
      <c r="H1" s="1285"/>
      <c r="I1" s="1285"/>
      <c r="J1" s="1285"/>
    </row>
    <row r="2" spans="1:11" x14ac:dyDescent="0.25">
      <c r="A2" s="1285"/>
      <c r="B2" s="1285"/>
      <c r="C2" s="1285"/>
      <c r="D2" s="1285"/>
      <c r="E2" s="1285"/>
      <c r="F2" s="1285"/>
      <c r="G2" s="1285"/>
      <c r="H2" s="1285"/>
      <c r="I2" s="1285"/>
      <c r="J2" s="1285"/>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84" t="s">
        <v>5531</v>
      </c>
      <c r="B11" s="1284"/>
      <c r="C11" s="1284"/>
      <c r="D11" s="1284"/>
    </row>
    <row r="12" spans="1:11" x14ac:dyDescent="0.25">
      <c r="A12" s="369" t="s">
        <v>5205</v>
      </c>
      <c r="B12" s="369" t="s">
        <v>944</v>
      </c>
      <c r="C12" s="369" t="s">
        <v>1209</v>
      </c>
      <c r="D12" s="369" t="s">
        <v>1907</v>
      </c>
      <c r="E12" s="3"/>
      <c r="G12" s="1286" t="s">
        <v>5532</v>
      </c>
      <c r="H12" s="1287"/>
      <c r="I12" s="1288"/>
      <c r="J12" s="379">
        <f>H9+I9+J9</f>
        <v>9658438.778794989</v>
      </c>
    </row>
    <row r="13" spans="1:11" x14ac:dyDescent="0.25">
      <c r="A13" s="2" t="s">
        <v>5206</v>
      </c>
      <c r="B13" s="15">
        <v>9323439</v>
      </c>
      <c r="C13" s="15">
        <v>9323439</v>
      </c>
      <c r="D13" s="15">
        <v>9605968</v>
      </c>
      <c r="G13" s="1286" t="s">
        <v>5533</v>
      </c>
      <c r="H13" s="1287"/>
      <c r="I13" s="1288"/>
      <c r="J13" s="379">
        <f>J31</f>
        <v>5549996</v>
      </c>
    </row>
    <row r="14" spans="1:11" x14ac:dyDescent="0.25">
      <c r="A14" s="2" t="s">
        <v>5207</v>
      </c>
      <c r="B14" s="15">
        <v>7575873</v>
      </c>
      <c r="C14" s="15">
        <v>7575873</v>
      </c>
      <c r="D14" s="15">
        <v>7805445</v>
      </c>
      <c r="G14" s="1286" t="s">
        <v>5534</v>
      </c>
      <c r="H14" s="1287"/>
      <c r="I14" s="1288"/>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289" t="s">
        <v>5535</v>
      </c>
      <c r="G18" s="1289"/>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84" t="s">
        <v>5539</v>
      </c>
      <c r="J22" s="1284"/>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65" t="s">
        <v>7956</v>
      </c>
      <c r="B40" s="1266"/>
      <c r="C40" s="1266"/>
      <c r="D40" s="1266"/>
      <c r="E40" s="1266"/>
      <c r="F40" s="1266"/>
      <c r="G40" s="1266"/>
      <c r="H40" s="1266"/>
      <c r="I40" s="1266"/>
      <c r="J40" s="1266"/>
      <c r="K40" s="1267"/>
    </row>
    <row r="41" spans="1:12" ht="15.75" thickBot="1" x14ac:dyDescent="0.3">
      <c r="A41" s="1271"/>
      <c r="B41" s="1272"/>
      <c r="C41" s="1272"/>
      <c r="D41" s="1272"/>
      <c r="E41" s="1272"/>
      <c r="F41" s="1272"/>
      <c r="G41" s="1272"/>
      <c r="H41" s="1272"/>
      <c r="I41" s="1272"/>
      <c r="J41" s="1272"/>
      <c r="K41" s="1273"/>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65" t="s">
        <v>7234</v>
      </c>
      <c r="B51" s="1266"/>
      <c r="C51" s="1266"/>
      <c r="D51" s="1266"/>
      <c r="E51" s="1266"/>
      <c r="F51" s="1266"/>
      <c r="G51" s="1266"/>
      <c r="H51" s="1266"/>
      <c r="I51" s="1266"/>
      <c r="J51" s="1266"/>
      <c r="K51" s="1267"/>
    </row>
    <row r="52" spans="1:14" ht="15.75" thickBot="1" x14ac:dyDescent="0.3">
      <c r="A52" s="1271"/>
      <c r="B52" s="1272"/>
      <c r="C52" s="1272"/>
      <c r="D52" s="1272"/>
      <c r="E52" s="1272"/>
      <c r="F52" s="1272"/>
      <c r="G52" s="1272"/>
      <c r="H52" s="1272"/>
      <c r="I52" s="1272"/>
      <c r="J52" s="1272"/>
      <c r="K52" s="1273"/>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68" t="s">
        <v>7235</v>
      </c>
      <c r="B59" s="1269"/>
      <c r="C59" s="1269"/>
      <c r="D59" s="1269"/>
      <c r="E59" s="1269"/>
      <c r="F59" s="1269"/>
      <c r="G59" s="1269"/>
      <c r="H59" s="1269"/>
      <c r="I59" s="1269"/>
      <c r="J59" s="1269"/>
      <c r="K59" s="1269"/>
      <c r="L59" s="982"/>
      <c r="M59" s="982"/>
    </row>
    <row r="60" spans="1:14" ht="15.75" customHeight="1" x14ac:dyDescent="0.25">
      <c r="A60" s="1282"/>
      <c r="B60" s="1283"/>
      <c r="C60" s="1283"/>
      <c r="D60" s="1283"/>
      <c r="E60" s="1283"/>
      <c r="F60" s="1283"/>
      <c r="G60" s="1283"/>
      <c r="H60" s="1283"/>
      <c r="I60" s="1283"/>
      <c r="J60" s="1283"/>
      <c r="K60" s="1283"/>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279" t="s">
        <v>10510</v>
      </c>
      <c r="F66" s="1280"/>
      <c r="G66" s="1281"/>
      <c r="H66" s="377"/>
      <c r="I66" s="291">
        <v>811417</v>
      </c>
      <c r="J66" s="291">
        <v>811417</v>
      </c>
      <c r="K66" s="291">
        <v>811417</v>
      </c>
      <c r="L66" s="3"/>
      <c r="M66" s="3"/>
    </row>
    <row r="67" spans="1:20" x14ac:dyDescent="0.25">
      <c r="L67" s="3"/>
    </row>
    <row r="68" spans="1:20" s="946" customFormat="1" ht="21.75" customHeight="1" x14ac:dyDescent="0.25">
      <c r="G68" s="964"/>
      <c r="H68" s="979" t="s">
        <v>10511</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5" t="s">
        <v>8244</v>
      </c>
      <c r="B74" s="1266"/>
      <c r="C74" s="1266"/>
      <c r="D74" s="1266"/>
      <c r="E74" s="1266"/>
      <c r="F74" s="1266"/>
      <c r="G74" s="1266"/>
      <c r="H74" s="1266"/>
      <c r="I74" s="1266"/>
      <c r="J74" s="1266"/>
      <c r="K74" s="1266"/>
      <c r="L74" s="1267"/>
    </row>
    <row r="75" spans="1:20" ht="15.75" customHeight="1" thickBot="1" x14ac:dyDescent="0.3">
      <c r="A75" s="1271"/>
      <c r="B75" s="1272"/>
      <c r="C75" s="1272"/>
      <c r="D75" s="1272"/>
      <c r="E75" s="1272"/>
      <c r="F75" s="1272"/>
      <c r="G75" s="1272"/>
      <c r="H75" s="1272"/>
      <c r="I75" s="1272"/>
      <c r="J75" s="1272"/>
      <c r="K75" s="1272"/>
      <c r="L75" s="1273"/>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3770000</v>
      </c>
    </row>
    <row r="79" spans="1:20" s="946" customFormat="1" ht="30" x14ac:dyDescent="0.25">
      <c r="I79" s="980" t="s">
        <v>5530</v>
      </c>
      <c r="J79" s="521">
        <f>J77-J78</f>
        <v>1689607.3391933218</v>
      </c>
      <c r="K79" s="521">
        <f>K77-K78</f>
        <v>3799290.3391933218</v>
      </c>
      <c r="L79" s="521">
        <f>L77-L78</f>
        <v>9932299.1373506952</v>
      </c>
      <c r="O79" s="964"/>
      <c r="P79" s="964"/>
      <c r="Q79" s="964"/>
      <c r="T79" s="965"/>
    </row>
    <row r="80" spans="1:20" x14ac:dyDescent="0.25">
      <c r="N80" s="1"/>
      <c r="O80" s="1"/>
      <c r="P80" s="1"/>
    </row>
    <row r="81" spans="1:17" x14ac:dyDescent="0.25">
      <c r="N81" s="1"/>
      <c r="O81" s="1"/>
      <c r="P81" s="1"/>
    </row>
    <row r="82" spans="1:17" s="946" customFormat="1" ht="26.25" customHeight="1" x14ac:dyDescent="0.25">
      <c r="C82" s="1290" t="s">
        <v>10609</v>
      </c>
      <c r="D82" s="1291"/>
      <c r="E82" s="1291"/>
      <c r="F82" s="1291"/>
      <c r="G82" s="1291"/>
      <c r="H82" s="1292"/>
      <c r="I82" s="993"/>
      <c r="J82" s="993">
        <f>19830000/3</f>
        <v>6610000</v>
      </c>
      <c r="K82" s="993">
        <f>19830000/3</f>
        <v>6610000</v>
      </c>
      <c r="L82" s="993">
        <f>19830000/3</f>
        <v>6610000</v>
      </c>
      <c r="M82" s="965"/>
    </row>
    <row r="83" spans="1:17" x14ac:dyDescent="0.25">
      <c r="M83" s="3"/>
    </row>
    <row r="84" spans="1:17" s="946" customFormat="1" ht="26.25" customHeight="1" x14ac:dyDescent="0.25">
      <c r="C84" s="1290" t="s">
        <v>10648</v>
      </c>
      <c r="D84" s="1291"/>
      <c r="E84" s="1291"/>
      <c r="F84" s="1291"/>
      <c r="G84" s="1291"/>
      <c r="H84" s="1292"/>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10511</v>
      </c>
      <c r="J86" s="981">
        <f>J79-J82-J84</f>
        <v>-5994225.9941400113</v>
      </c>
      <c r="K86" s="981">
        <f>K79-K82-K84</f>
        <v>-3884542.9941400113</v>
      </c>
      <c r="L86" s="981">
        <f>L79-L82-L84</f>
        <v>2248465.8040173622</v>
      </c>
      <c r="N86" s="990">
        <f>L86+K86+J86</f>
        <v>-7630303.1842626603</v>
      </c>
      <c r="O86" s="964"/>
      <c r="P86" s="964"/>
      <c r="Q86" s="964"/>
    </row>
    <row r="87" spans="1:17" x14ac:dyDescent="0.25">
      <c r="N87" s="1"/>
      <c r="O87" s="1"/>
      <c r="P87" s="1"/>
    </row>
    <row r="88" spans="1:17" ht="15.75" thickBot="1" x14ac:dyDescent="0.3">
      <c r="N88" s="1"/>
      <c r="O88" s="1"/>
      <c r="P88" s="1"/>
    </row>
    <row r="89" spans="1:17" x14ac:dyDescent="0.25">
      <c r="A89" s="1265" t="s">
        <v>10512</v>
      </c>
      <c r="B89" s="1266"/>
      <c r="C89" s="1266"/>
      <c r="D89" s="1266"/>
      <c r="E89" s="1266"/>
      <c r="F89" s="1266"/>
      <c r="G89" s="1266"/>
      <c r="H89" s="1266"/>
      <c r="I89" s="1266"/>
      <c r="J89" s="1266"/>
      <c r="K89" s="1267"/>
      <c r="L89" s="3"/>
      <c r="M89" s="3"/>
    </row>
    <row r="90" spans="1:17" ht="15.75" thickBot="1" x14ac:dyDescent="0.3">
      <c r="A90" s="1271"/>
      <c r="B90" s="1272"/>
      <c r="C90" s="1272"/>
      <c r="D90" s="1272"/>
      <c r="E90" s="1272"/>
      <c r="F90" s="1272"/>
      <c r="G90" s="1272"/>
      <c r="H90" s="1272"/>
      <c r="I90" s="1272"/>
      <c r="J90" s="1272"/>
      <c r="K90" s="1273"/>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138978926.9623656</v>
      </c>
      <c r="C92" s="375">
        <f>'Main Summary'!C19</f>
        <v>163937785</v>
      </c>
      <c r="D92" s="375">
        <f>C92-B92</f>
        <v>24958858.037634403</v>
      </c>
      <c r="E92" s="375"/>
      <c r="F92" s="375"/>
      <c r="G92" s="520"/>
      <c r="H92" s="521">
        <f>D92-E92+F92-G92</f>
        <v>24958858.037634403</v>
      </c>
      <c r="I92" s="375">
        <f>H92*33%</f>
        <v>8236423.1524193529</v>
      </c>
      <c r="J92" s="375">
        <f>H92*33%</f>
        <v>8236423.1524193529</v>
      </c>
      <c r="K92" s="375">
        <f>H92*34%</f>
        <v>8486011.7327956967</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6236423.1524193529</v>
      </c>
      <c r="J94" s="291">
        <f t="shared" ref="J94:K94" si="5">J92-J93</f>
        <v>8236423.1524193529</v>
      </c>
      <c r="K94" s="291">
        <f t="shared" si="5"/>
        <v>8236011.7327956967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9" t="s">
        <v>9610</v>
      </c>
      <c r="C1" s="1320"/>
      <c r="D1" s="1320"/>
      <c r="E1" s="1321"/>
      <c r="G1" s="1297" t="s">
        <v>11525</v>
      </c>
      <c r="H1" s="1298"/>
      <c r="I1" s="1298"/>
      <c r="J1" s="1299"/>
      <c r="L1" s="1313" t="s">
        <v>9610</v>
      </c>
      <c r="M1" s="1314"/>
      <c r="N1" s="1314"/>
      <c r="O1" s="1315"/>
      <c r="S1" s="1319" t="s">
        <v>9610</v>
      </c>
      <c r="T1" s="1320"/>
      <c r="U1" s="1320"/>
      <c r="V1" s="1321"/>
    </row>
    <row r="2" spans="2:22" ht="21" x14ac:dyDescent="0.35">
      <c r="B2" s="1316" t="s">
        <v>10512</v>
      </c>
      <c r="C2" s="1317"/>
      <c r="D2" s="1317"/>
      <c r="E2" s="1318"/>
      <c r="G2" s="1297" t="s">
        <v>11524</v>
      </c>
      <c r="H2" s="1298"/>
      <c r="I2" s="1298"/>
      <c r="J2" s="1299"/>
      <c r="L2" s="1316" t="s">
        <v>8244</v>
      </c>
      <c r="M2" s="1317"/>
      <c r="N2" s="1317"/>
      <c r="O2" s="1318"/>
      <c r="S2" s="1316" t="s">
        <v>7235</v>
      </c>
      <c r="T2" s="1317"/>
      <c r="U2" s="1317"/>
      <c r="V2" s="1318"/>
    </row>
    <row r="3" spans="2:22" ht="19.5" thickBot="1" x14ac:dyDescent="0.35">
      <c r="B3" s="947"/>
      <c r="C3" s="4"/>
      <c r="D3" s="4"/>
      <c r="E3" s="948"/>
      <c r="G3" s="947"/>
      <c r="H3" s="4"/>
      <c r="I3" s="4"/>
      <c r="J3" s="948"/>
      <c r="L3" s="947"/>
      <c r="M3" s="4"/>
      <c r="N3" s="4"/>
      <c r="O3" s="948"/>
      <c r="S3" s="947"/>
      <c r="T3" s="4"/>
      <c r="U3" s="4"/>
      <c r="V3" s="948"/>
    </row>
    <row r="4" spans="2:22" ht="21.75" thickBot="1" x14ac:dyDescent="0.4">
      <c r="B4" s="1293" t="s">
        <v>9603</v>
      </c>
      <c r="C4" s="1294"/>
      <c r="D4" s="1294"/>
      <c r="E4" s="949">
        <f>'Main Summary'!B19</f>
        <v>138978926.9623656</v>
      </c>
      <c r="G4" s="1297" t="s">
        <v>11526</v>
      </c>
      <c r="H4" s="1298"/>
      <c r="I4" s="1298"/>
      <c r="J4" s="1299"/>
      <c r="L4" s="1293" t="s">
        <v>9603</v>
      </c>
      <c r="M4" s="1294"/>
      <c r="N4" s="1294"/>
      <c r="O4" s="949">
        <f ca="1">'Main Summary'!F19-J5-J10</f>
        <v>137668700.60426268</v>
      </c>
      <c r="S4" s="1293" t="s">
        <v>9603</v>
      </c>
      <c r="T4" s="1294"/>
      <c r="U4" s="1294"/>
      <c r="V4" s="949">
        <f>'Main Summary'!J19</f>
        <v>66512286.479166672</v>
      </c>
    </row>
    <row r="5" spans="2:22" ht="19.5" thickBot="1" x14ac:dyDescent="0.35">
      <c r="B5" s="1293" t="s">
        <v>9604</v>
      </c>
      <c r="C5" s="1294"/>
      <c r="D5" s="1294"/>
      <c r="E5" s="949">
        <f>'Main Summary'!C19</f>
        <v>163937785</v>
      </c>
      <c r="G5" s="1293" t="s">
        <v>9603</v>
      </c>
      <c r="H5" s="1294"/>
      <c r="I5" s="1294"/>
      <c r="J5" s="1054">
        <f ca="1">SUMIF(Posting!$B1:$E17316,"Meezan Bank Head Office",Posting!$E1:$E17316)</f>
        <v>13034925</v>
      </c>
      <c r="L5" s="1293" t="s">
        <v>9604</v>
      </c>
      <c r="M5" s="1294"/>
      <c r="N5" s="1294"/>
      <c r="O5" s="949">
        <f ca="1">'Main Summary'!G19-J6-J11</f>
        <v>176831246.42000002</v>
      </c>
      <c r="S5" s="1293" t="s">
        <v>9604</v>
      </c>
      <c r="T5" s="1294"/>
      <c r="U5" s="1294"/>
      <c r="V5" s="949">
        <f>'Main Summary'!K19</f>
        <v>82215394.510000005</v>
      </c>
    </row>
    <row r="6" spans="2:22" ht="18.75" x14ac:dyDescent="0.3">
      <c r="B6" s="1293" t="s">
        <v>2636</v>
      </c>
      <c r="C6" s="1294"/>
      <c r="D6" s="1294"/>
      <c r="E6" s="949">
        <f>E5-E4</f>
        <v>24958858.037634403</v>
      </c>
      <c r="G6" s="1293" t="s">
        <v>9604</v>
      </c>
      <c r="H6" s="1294"/>
      <c r="I6" s="1294"/>
      <c r="J6" s="1039">
        <f ca="1">SUMIF(Posting!$B1:$F17316,"Meezan Bank Head Office",Posting!$F1:$F17316)</f>
        <v>19830000</v>
      </c>
      <c r="L6" s="1293" t="s">
        <v>2636</v>
      </c>
      <c r="M6" s="1294"/>
      <c r="N6" s="1294"/>
      <c r="O6" s="949">
        <f ca="1">O5-O4</f>
        <v>39162545.815737337</v>
      </c>
      <c r="S6" s="1293" t="s">
        <v>2636</v>
      </c>
      <c r="T6" s="1294"/>
      <c r="U6" s="1294"/>
      <c r="V6" s="949">
        <f>V5-V4</f>
        <v>15703108.030833334</v>
      </c>
    </row>
    <row r="7" spans="2:22" ht="18.75" x14ac:dyDescent="0.3">
      <c r="B7" s="1293"/>
      <c r="C7" s="1294"/>
      <c r="D7" s="1294"/>
      <c r="E7" s="949"/>
      <c r="G7" s="1293" t="s">
        <v>2636</v>
      </c>
      <c r="H7" s="1294"/>
      <c r="I7" s="1294"/>
      <c r="J7" s="949">
        <f ca="1">J6-J5</f>
        <v>6795075</v>
      </c>
      <c r="L7" s="1293"/>
      <c r="M7" s="1294"/>
      <c r="N7" s="1294"/>
      <c r="O7" s="949"/>
      <c r="S7" s="1293"/>
      <c r="T7" s="1294"/>
      <c r="U7" s="1294"/>
      <c r="V7" s="949"/>
    </row>
    <row r="8" spans="2:22" ht="19.5" thickBot="1" x14ac:dyDescent="0.35">
      <c r="B8" s="1295" t="s">
        <v>11168</v>
      </c>
      <c r="C8" s="1296"/>
      <c r="D8" s="1296"/>
      <c r="E8" s="949"/>
      <c r="G8" s="1293"/>
      <c r="H8" s="1294"/>
      <c r="I8" s="1294"/>
      <c r="J8" s="949"/>
      <c r="L8" s="1295" t="s">
        <v>11168</v>
      </c>
      <c r="M8" s="1296"/>
      <c r="N8" s="1296"/>
      <c r="O8" s="949"/>
      <c r="S8" s="1293" t="s">
        <v>9605</v>
      </c>
      <c r="T8" s="1294"/>
      <c r="U8" s="1294"/>
      <c r="V8" s="949">
        <v>300000</v>
      </c>
    </row>
    <row r="9" spans="2:22" ht="21.75" thickBot="1" x14ac:dyDescent="0.4">
      <c r="B9" s="1293" t="s">
        <v>9607</v>
      </c>
      <c r="C9" s="1294"/>
      <c r="D9" s="1294"/>
      <c r="E9" s="950"/>
      <c r="G9" s="1297" t="s">
        <v>11527</v>
      </c>
      <c r="H9" s="1298"/>
      <c r="I9" s="1298"/>
      <c r="J9" s="1299"/>
      <c r="L9" s="1293" t="s">
        <v>9607</v>
      </c>
      <c r="M9" s="1294"/>
      <c r="N9" s="1294"/>
      <c r="O9" s="950">
        <v>526260</v>
      </c>
      <c r="S9" s="1293" t="s">
        <v>9606</v>
      </c>
      <c r="T9" s="1294"/>
      <c r="U9" s="1294"/>
      <c r="V9" s="949">
        <v>526260</v>
      </c>
    </row>
    <row r="10" spans="2:22" s="946" customFormat="1" ht="19.5" thickBot="1" x14ac:dyDescent="0.35">
      <c r="B10" s="1293"/>
      <c r="C10" s="1294"/>
      <c r="D10" s="1294"/>
      <c r="E10" s="950"/>
      <c r="G10" s="1293" t="s">
        <v>9603</v>
      </c>
      <c r="H10" s="1294"/>
      <c r="I10" s="1294"/>
      <c r="J10" s="1054">
        <f ca="1">SUMIF(Posting!$B1:$E17316,"Saifee Hospital",Posting!$E1:$E17316)</f>
        <v>1591330</v>
      </c>
      <c r="L10" s="1293"/>
      <c r="M10" s="1294"/>
      <c r="N10" s="1294"/>
      <c r="O10" s="950"/>
      <c r="S10" s="1293" t="s">
        <v>9607</v>
      </c>
      <c r="T10" s="1294"/>
      <c r="U10" s="1294"/>
      <c r="V10" s="950">
        <v>1314656</v>
      </c>
    </row>
    <row r="11" spans="2:22" ht="18.75" x14ac:dyDescent="0.3">
      <c r="B11" s="1295" t="s">
        <v>2636</v>
      </c>
      <c r="C11" s="1296"/>
      <c r="D11" s="1296"/>
      <c r="E11" s="949">
        <f>E9+E6</f>
        <v>24958858.037634403</v>
      </c>
      <c r="G11" s="1293" t="s">
        <v>9604</v>
      </c>
      <c r="H11" s="1294"/>
      <c r="I11" s="1294"/>
      <c r="J11" s="1039">
        <f ca="1">SUMIF(Posting!$B1:$F17316,"Saifee Hospital",Posting!$F1:$F17316)</f>
        <v>2434251</v>
      </c>
      <c r="L11" s="1295" t="s">
        <v>2636</v>
      </c>
      <c r="M11" s="1296"/>
      <c r="N11" s="1296"/>
      <c r="O11" s="949">
        <f ca="1">O9+O6</f>
        <v>39688805.815737337</v>
      </c>
      <c r="S11" s="1293" t="s">
        <v>2638</v>
      </c>
      <c r="T11" s="1294"/>
      <c r="U11" s="1294"/>
      <c r="V11" s="949">
        <f>V6-V8-V9+V10</f>
        <v>16191504.030833334</v>
      </c>
    </row>
    <row r="12" spans="2:22" ht="21" x14ac:dyDescent="0.35">
      <c r="B12" s="1305"/>
      <c r="C12" s="1306"/>
      <c r="D12" s="1307"/>
      <c r="E12" s="949"/>
      <c r="G12" s="1293" t="s">
        <v>2636</v>
      </c>
      <c r="H12" s="1294"/>
      <c r="I12" s="1294"/>
      <c r="J12" s="949">
        <f ca="1">J11-J10</f>
        <v>842921</v>
      </c>
      <c r="L12" s="1305"/>
      <c r="M12" s="1306"/>
      <c r="N12" s="1307"/>
      <c r="O12" s="949"/>
      <c r="S12" s="1322" t="s">
        <v>9608</v>
      </c>
      <c r="T12" s="1323"/>
      <c r="U12" s="1323"/>
      <c r="V12" s="953">
        <v>2434251</v>
      </c>
    </row>
    <row r="13" spans="2:22" s="986" customFormat="1" ht="21.75" thickBot="1" x14ac:dyDescent="0.4">
      <c r="B13" s="1310" t="s">
        <v>11167</v>
      </c>
      <c r="C13" s="1311"/>
      <c r="D13" s="1312"/>
      <c r="E13" s="949"/>
      <c r="G13" s="1295"/>
      <c r="H13" s="1296"/>
      <c r="I13" s="1296"/>
      <c r="J13" s="949"/>
      <c r="L13" s="1310" t="s">
        <v>11167</v>
      </c>
      <c r="M13" s="1311"/>
      <c r="N13" s="1312"/>
      <c r="O13" s="949"/>
      <c r="S13" s="1300" t="s">
        <v>2638</v>
      </c>
      <c r="T13" s="1301"/>
      <c r="U13" s="1301"/>
      <c r="V13" s="985">
        <f>V11-V12</f>
        <v>13757253.030833334</v>
      </c>
    </row>
    <row r="14" spans="2:22" ht="18.75" x14ac:dyDescent="0.3">
      <c r="B14" s="1305" t="s">
        <v>9605</v>
      </c>
      <c r="C14" s="1306"/>
      <c r="D14" s="1307"/>
      <c r="E14" s="949">
        <v>300000</v>
      </c>
      <c r="G14" s="1305"/>
      <c r="H14" s="1306"/>
      <c r="I14" s="1307"/>
      <c r="J14" s="949"/>
      <c r="L14" s="1305" t="s">
        <v>9605</v>
      </c>
      <c r="M14" s="1306"/>
      <c r="N14" s="1307"/>
      <c r="O14" s="949">
        <v>300000</v>
      </c>
      <c r="S14" s="951"/>
      <c r="T14" s="951"/>
      <c r="U14" s="951"/>
      <c r="V14" s="952"/>
    </row>
    <row r="15" spans="2:22" ht="18.75" x14ac:dyDescent="0.3">
      <c r="B15" s="1305" t="s">
        <v>9606</v>
      </c>
      <c r="C15" s="1306"/>
      <c r="D15" s="1307"/>
      <c r="E15" s="949"/>
      <c r="F15" s="310"/>
      <c r="K15" s="310"/>
      <c r="L15" s="1305" t="s">
        <v>9606</v>
      </c>
      <c r="M15" s="1306"/>
      <c r="N15" s="1307"/>
      <c r="O15" s="949">
        <v>500000</v>
      </c>
      <c r="P15" s="310"/>
      <c r="Q15" s="310"/>
      <c r="R15" s="310"/>
      <c r="S15" s="951"/>
      <c r="T15" s="951"/>
      <c r="U15" s="951"/>
      <c r="V15" s="952"/>
    </row>
    <row r="16" spans="2:22" ht="18.75" x14ac:dyDescent="0.3">
      <c r="B16" s="1305" t="s">
        <v>11170</v>
      </c>
      <c r="C16" s="1306"/>
      <c r="D16" s="1307"/>
      <c r="E16" s="949"/>
      <c r="F16" s="310"/>
      <c r="K16" s="310"/>
      <c r="L16" s="1305" t="s">
        <v>11170</v>
      </c>
      <c r="M16" s="1306"/>
      <c r="N16" s="1307"/>
      <c r="O16" s="1119">
        <v>0</v>
      </c>
      <c r="P16" s="310"/>
      <c r="Q16" s="310"/>
      <c r="R16" s="310"/>
      <c r="S16" s="951"/>
      <c r="T16" s="951"/>
      <c r="U16" s="951"/>
      <c r="V16" s="952"/>
    </row>
    <row r="17" spans="2:22" ht="21" x14ac:dyDescent="0.35">
      <c r="B17" s="1308" t="s">
        <v>11166</v>
      </c>
      <c r="C17" s="1309"/>
      <c r="D17" s="1309"/>
      <c r="E17" s="1066"/>
      <c r="F17" s="310"/>
      <c r="J17" s="3">
        <f ca="1">J12+J7</f>
        <v>7637996</v>
      </c>
      <c r="K17" s="310"/>
      <c r="L17" s="1308" t="s">
        <v>11528</v>
      </c>
      <c r="M17" s="1309"/>
      <c r="N17" s="1309"/>
      <c r="O17" s="1066">
        <v>3707947</v>
      </c>
      <c r="P17" s="310"/>
      <c r="Q17" s="310"/>
      <c r="R17" s="310"/>
      <c r="S17" s="951"/>
      <c r="T17" s="951"/>
      <c r="U17" s="951"/>
      <c r="V17" s="952"/>
    </row>
    <row r="18" spans="2:22" ht="21" x14ac:dyDescent="0.35">
      <c r="B18" s="1308" t="s">
        <v>10610</v>
      </c>
      <c r="C18" s="1309"/>
      <c r="D18" s="1309"/>
      <c r="E18" s="1066"/>
      <c r="F18" s="310"/>
      <c r="K18" s="310"/>
      <c r="L18" s="1308"/>
      <c r="M18" s="1309"/>
      <c r="N18" s="1309"/>
      <c r="O18" s="1066"/>
      <c r="P18" s="310"/>
      <c r="Q18" s="310"/>
      <c r="R18" s="310"/>
      <c r="S18" s="951"/>
      <c r="T18" s="951"/>
      <c r="U18" s="951"/>
      <c r="V18" s="952"/>
    </row>
    <row r="19" spans="2:22" ht="19.5" thickBot="1" x14ac:dyDescent="0.35">
      <c r="B19" s="1295"/>
      <c r="C19" s="1296"/>
      <c r="D19" s="1296"/>
      <c r="E19" s="1067"/>
      <c r="F19" s="310"/>
      <c r="K19" s="310"/>
      <c r="L19" s="1295"/>
      <c r="M19" s="1296"/>
      <c r="N19" s="1296"/>
      <c r="O19" s="1067"/>
      <c r="P19" s="310"/>
      <c r="Q19" s="310"/>
      <c r="R19" s="310"/>
      <c r="S19" s="951"/>
      <c r="T19" s="951"/>
      <c r="U19" s="951"/>
      <c r="V19" s="952"/>
    </row>
    <row r="20" spans="2:22" ht="21" x14ac:dyDescent="0.35">
      <c r="B20" s="1295" t="s">
        <v>11169</v>
      </c>
      <c r="C20" s="1296"/>
      <c r="D20" s="1296"/>
      <c r="E20" s="1066">
        <f>SUM(E14:E19)</f>
        <v>300000</v>
      </c>
      <c r="L20" s="1295" t="s">
        <v>11169</v>
      </c>
      <c r="M20" s="1296"/>
      <c r="N20" s="1296"/>
      <c r="O20" s="1066">
        <f>SUM(O14:O19)</f>
        <v>4507947</v>
      </c>
      <c r="S20" s="1302" t="s">
        <v>9609</v>
      </c>
      <c r="T20" s="1303"/>
      <c r="U20" s="1303"/>
      <c r="V20" s="1304"/>
    </row>
    <row r="21" spans="2:22" s="946" customFormat="1" ht="21" x14ac:dyDescent="0.35">
      <c r="B21" s="1308"/>
      <c r="C21" s="1309"/>
      <c r="D21" s="1309"/>
      <c r="E21" s="1066"/>
      <c r="G21"/>
      <c r="H21"/>
      <c r="I21"/>
      <c r="J21"/>
      <c r="L21" s="1308"/>
      <c r="M21" s="1309"/>
      <c r="N21" s="1309"/>
      <c r="O21" s="1066"/>
      <c r="S21" s="987" t="s">
        <v>9611</v>
      </c>
      <c r="T21" s="983" t="s">
        <v>4790</v>
      </c>
      <c r="U21" s="983" t="s">
        <v>1209</v>
      </c>
      <c r="V21" s="989" t="s">
        <v>1907</v>
      </c>
    </row>
    <row r="22" spans="2:22" s="946" customFormat="1" ht="21.75" thickBot="1" x14ac:dyDescent="0.4">
      <c r="B22" s="1300" t="s">
        <v>2638</v>
      </c>
      <c r="C22" s="1301"/>
      <c r="D22" s="1301"/>
      <c r="E22" s="985">
        <f>E11-E20</f>
        <v>24658858.037634403</v>
      </c>
      <c r="G22"/>
      <c r="H22"/>
      <c r="I22"/>
      <c r="J22"/>
      <c r="L22" s="1300" t="s">
        <v>2638</v>
      </c>
      <c r="M22" s="1301"/>
      <c r="N22" s="1301"/>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02" t="s">
        <v>9609</v>
      </c>
      <c r="C24" s="1303"/>
      <c r="D24" s="1303"/>
      <c r="E24" s="1304"/>
      <c r="G24"/>
      <c r="H24"/>
      <c r="I24"/>
      <c r="J24"/>
      <c r="L24" s="1302" t="s">
        <v>9609</v>
      </c>
      <c r="M24" s="1303"/>
      <c r="N24" s="1303"/>
      <c r="O24" s="1304"/>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8137423.1524193529</v>
      </c>
      <c r="D27" s="957">
        <f>D26*E22</f>
        <v>8137423.1524193529</v>
      </c>
      <c r="E27" s="950">
        <f>E26*E22</f>
        <v>8384011.7327956976</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3770000</v>
      </c>
    </row>
    <row r="29" spans="2:22" ht="38.25" thickBot="1" x14ac:dyDescent="0.3">
      <c r="B29" s="955" t="s">
        <v>9614</v>
      </c>
      <c r="C29" s="960">
        <f>C27-C28</f>
        <v>8137423.1524193529</v>
      </c>
      <c r="D29" s="960">
        <f t="shared" ref="D29:E29" si="1">D27-D28</f>
        <v>8137423.1524193529</v>
      </c>
      <c r="E29" s="961">
        <f t="shared" si="1"/>
        <v>8384011.7327956976</v>
      </c>
      <c r="L29" s="955" t="s">
        <v>9614</v>
      </c>
      <c r="M29" s="960">
        <f ca="1">M27-M28</f>
        <v>0.40919332206249237</v>
      </c>
      <c r="N29" s="960">
        <f t="shared" ref="N29" ca="1" si="2">N27-N28</f>
        <v>2109683.4091933221</v>
      </c>
      <c r="O29" s="961">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06"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5" t="s">
        <v>1779</v>
      </c>
      <c r="B1" s="1345"/>
      <c r="C1" s="1345"/>
      <c r="D1" s="1345"/>
      <c r="E1" s="1345"/>
      <c r="F1" s="1345"/>
      <c r="G1" s="1345"/>
      <c r="H1" s="1345"/>
      <c r="I1" s="1345"/>
      <c r="J1" s="1345"/>
      <c r="K1" s="1345"/>
      <c r="L1" s="1345"/>
      <c r="M1" s="1345"/>
      <c r="N1" s="1345"/>
    </row>
    <row r="2" spans="1:14" ht="14.45" customHeight="1" x14ac:dyDescent="0.25">
      <c r="A2" s="1345"/>
      <c r="B2" s="1345"/>
      <c r="C2" s="1345"/>
      <c r="D2" s="1345"/>
      <c r="E2" s="1345"/>
      <c r="F2" s="1345"/>
      <c r="G2" s="1345"/>
      <c r="H2" s="1345"/>
      <c r="I2" s="1345"/>
      <c r="J2" s="1345"/>
      <c r="K2" s="1345"/>
      <c r="L2" s="1345"/>
      <c r="M2" s="1345"/>
      <c r="N2" s="1345"/>
    </row>
    <row r="3" spans="1:14" ht="14.45" customHeight="1" x14ac:dyDescent="0.25">
      <c r="A3" s="1346" t="s">
        <v>4752</v>
      </c>
      <c r="B3" s="1346"/>
      <c r="C3" s="1346"/>
      <c r="D3" s="1346"/>
      <c r="E3" s="1346"/>
      <c r="F3" s="1346"/>
      <c r="G3" s="1346"/>
      <c r="H3" s="1346"/>
      <c r="I3" s="1346"/>
      <c r="J3" s="1346"/>
      <c r="K3" s="1346"/>
      <c r="L3" s="1346"/>
      <c r="M3" s="1346"/>
      <c r="N3" s="1346"/>
    </row>
    <row r="4" spans="1:14" ht="14.45" customHeight="1" x14ac:dyDescent="0.25">
      <c r="A4" s="1346"/>
      <c r="B4" s="1346"/>
      <c r="C4" s="1346"/>
      <c r="D4" s="1346"/>
      <c r="E4" s="1346"/>
      <c r="F4" s="1346"/>
      <c r="G4" s="1346"/>
      <c r="H4" s="1346"/>
      <c r="I4" s="1346"/>
      <c r="J4" s="1346"/>
      <c r="K4" s="1346"/>
      <c r="L4" s="1346"/>
      <c r="M4" s="1346"/>
      <c r="N4" s="1346"/>
    </row>
    <row r="6" spans="1:14" x14ac:dyDescent="0.25">
      <c r="A6" s="1332" t="s">
        <v>6043</v>
      </c>
      <c r="B6" s="1332"/>
      <c r="C6" s="1332"/>
      <c r="D6" s="1332"/>
      <c r="E6" s="1332"/>
      <c r="F6" s="1332"/>
      <c r="G6" s="1332"/>
      <c r="H6" s="1332"/>
      <c r="I6" s="1332"/>
      <c r="J6" s="1332"/>
      <c r="K6" s="1332"/>
      <c r="L6" s="1332"/>
      <c r="M6" s="1332"/>
      <c r="N6" s="1332"/>
    </row>
    <row r="7" spans="1:14" x14ac:dyDescent="0.25">
      <c r="A7" s="1332"/>
      <c r="B7" s="1332"/>
      <c r="C7" s="1332"/>
      <c r="D7" s="1332"/>
      <c r="E7" s="1332"/>
      <c r="F7" s="1332"/>
      <c r="G7" s="1332"/>
      <c r="H7" s="1332"/>
      <c r="I7" s="1332"/>
      <c r="J7" s="1332"/>
      <c r="K7" s="1332"/>
      <c r="L7" s="1332"/>
      <c r="M7" s="1332"/>
      <c r="N7" s="1332"/>
    </row>
    <row r="8" spans="1:14" x14ac:dyDescent="0.25">
      <c r="A8" s="1333" t="s">
        <v>6074</v>
      </c>
      <c r="B8" s="1333"/>
      <c r="C8" s="1333"/>
      <c r="D8" s="1333"/>
      <c r="E8" s="1333"/>
      <c r="F8" s="1333"/>
      <c r="G8" s="1333"/>
      <c r="H8" s="1333"/>
      <c r="I8" s="1333"/>
      <c r="J8" s="1333"/>
      <c r="K8" s="1333"/>
      <c r="L8" s="1333"/>
      <c r="M8" s="1333"/>
      <c r="N8" s="1333"/>
    </row>
    <row r="9" spans="1:14" x14ac:dyDescent="0.25">
      <c r="A9" s="1333"/>
      <c r="B9" s="1333"/>
      <c r="C9" s="1333"/>
      <c r="D9" s="1333"/>
      <c r="E9" s="1333"/>
      <c r="F9" s="1333"/>
      <c r="G9" s="1333"/>
      <c r="H9" s="1333"/>
      <c r="I9" s="1333"/>
      <c r="J9" s="1333"/>
      <c r="K9" s="1333"/>
      <c r="L9" s="1333"/>
      <c r="M9" s="1333"/>
      <c r="N9" s="1333"/>
    </row>
    <row r="10" spans="1:14" ht="14.45" customHeight="1" x14ac:dyDescent="0.25">
      <c r="A10" s="1334" t="s">
        <v>1907</v>
      </c>
      <c r="B10" s="1335"/>
      <c r="C10" s="1335"/>
      <c r="D10" s="1336"/>
      <c r="E10" s="472"/>
      <c r="F10" s="1343" t="s">
        <v>4790</v>
      </c>
      <c r="G10" s="1343"/>
      <c r="H10" s="1343"/>
      <c r="I10" s="1343"/>
      <c r="K10" s="1344" t="s">
        <v>1209</v>
      </c>
      <c r="L10" s="1344"/>
      <c r="M10" s="1344"/>
      <c r="N10" s="1344"/>
    </row>
    <row r="11" spans="1:14" ht="14.45" customHeight="1" x14ac:dyDescent="0.25">
      <c r="A11" s="1337"/>
      <c r="B11" s="1338"/>
      <c r="C11" s="1338"/>
      <c r="D11" s="1339"/>
      <c r="E11" s="473"/>
      <c r="F11" s="1343"/>
      <c r="G11" s="1343"/>
      <c r="H11" s="1343"/>
      <c r="I11" s="1343"/>
      <c r="K11" s="1344"/>
      <c r="L11" s="1344"/>
      <c r="M11" s="1344"/>
      <c r="N11" s="1344"/>
    </row>
    <row r="12" spans="1:14" ht="14.45" customHeight="1" x14ac:dyDescent="0.25">
      <c r="A12" s="1340"/>
      <c r="B12" s="1341"/>
      <c r="C12" s="1341"/>
      <c r="D12" s="1342"/>
      <c r="E12" s="474"/>
      <c r="F12" s="1343"/>
      <c r="G12" s="1343"/>
      <c r="H12" s="1343"/>
      <c r="I12" s="1343"/>
      <c r="K12" s="1344"/>
      <c r="L12" s="1344"/>
      <c r="M12" s="1344"/>
      <c r="N12" s="1344"/>
    </row>
    <row r="13" spans="1:14" ht="27" thickBot="1" x14ac:dyDescent="0.3">
      <c r="A13" s="1324" t="s">
        <v>4629</v>
      </c>
      <c r="B13" s="1325"/>
      <c r="C13" s="1325"/>
      <c r="D13" s="1326"/>
      <c r="E13" s="475"/>
      <c r="F13" s="1327" t="s">
        <v>4629</v>
      </c>
      <c r="G13" s="1328"/>
      <c r="H13" s="1328"/>
      <c r="I13" s="1329"/>
      <c r="K13" s="1327" t="s">
        <v>4629</v>
      </c>
      <c r="L13" s="1328"/>
      <c r="M13" s="1328"/>
      <c r="N13" s="1329"/>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296" t="s">
        <v>4635</v>
      </c>
      <c r="B39" s="1296"/>
      <c r="C39" s="1296"/>
      <c r="D39" s="211">
        <f>SUM(D15:D38)</f>
        <v>6567291</v>
      </c>
      <c r="E39" s="481"/>
      <c r="F39" s="1330" t="s">
        <v>4635</v>
      </c>
      <c r="G39" s="1330"/>
      <c r="H39" s="1331"/>
      <c r="I39" s="437">
        <f>SUM(I15:I38)</f>
        <v>6374135</v>
      </c>
      <c r="K39" s="1330" t="s">
        <v>4635</v>
      </c>
      <c r="L39" s="1330"/>
      <c r="M39" s="1331"/>
      <c r="N39" s="437">
        <f>SUM(N15:N38)</f>
        <v>6374135</v>
      </c>
    </row>
    <row r="40" spans="1:14" x14ac:dyDescent="0.25">
      <c r="D40" s="52"/>
      <c r="E40" s="481"/>
      <c r="I40" s="52"/>
    </row>
    <row r="41" spans="1:14" x14ac:dyDescent="0.25">
      <c r="D41" s="52"/>
      <c r="E41" s="481"/>
      <c r="I41" s="52"/>
    </row>
    <row r="42" spans="1:14" x14ac:dyDescent="0.25">
      <c r="A42" s="1332" t="s">
        <v>6192</v>
      </c>
      <c r="B42" s="1332"/>
      <c r="C42" s="1332"/>
      <c r="D42" s="1332"/>
      <c r="E42" s="1332"/>
      <c r="F42" s="1332"/>
      <c r="G42" s="1332"/>
      <c r="H42" s="1332"/>
      <c r="I42" s="1332"/>
      <c r="J42" s="1332"/>
      <c r="K42" s="1332"/>
      <c r="L42" s="1332"/>
      <c r="M42" s="1332"/>
      <c r="N42" s="1332"/>
    </row>
    <row r="43" spans="1:14" x14ac:dyDescent="0.25">
      <c r="A43" s="1332"/>
      <c r="B43" s="1332"/>
      <c r="C43" s="1332"/>
      <c r="D43" s="1332"/>
      <c r="E43" s="1332"/>
      <c r="F43" s="1332"/>
      <c r="G43" s="1332"/>
      <c r="H43" s="1332"/>
      <c r="I43" s="1332"/>
      <c r="J43" s="1332"/>
      <c r="K43" s="1332"/>
      <c r="L43" s="1332"/>
      <c r="M43" s="1332"/>
      <c r="N43" s="1332"/>
    </row>
    <row r="44" spans="1:14" x14ac:dyDescent="0.25">
      <c r="A44" s="1333" t="s">
        <v>6193</v>
      </c>
      <c r="B44" s="1333"/>
      <c r="C44" s="1333"/>
      <c r="D44" s="1333"/>
      <c r="E44" s="1333"/>
      <c r="F44" s="1333"/>
      <c r="G44" s="1333"/>
      <c r="H44" s="1333"/>
      <c r="I44" s="1333"/>
      <c r="J44" s="1333"/>
      <c r="K44" s="1333"/>
      <c r="L44" s="1333"/>
      <c r="M44" s="1333"/>
      <c r="N44" s="1333"/>
    </row>
    <row r="45" spans="1:14" x14ac:dyDescent="0.25">
      <c r="A45" s="1333"/>
      <c r="B45" s="1333"/>
      <c r="C45" s="1333"/>
      <c r="D45" s="1333"/>
      <c r="E45" s="1333"/>
      <c r="F45" s="1333"/>
      <c r="G45" s="1333"/>
      <c r="H45" s="1333"/>
      <c r="I45" s="1333"/>
      <c r="J45" s="1333"/>
      <c r="K45" s="1333"/>
      <c r="L45" s="1333"/>
      <c r="M45" s="1333"/>
      <c r="N45" s="1333"/>
    </row>
    <row r="46" spans="1:14" ht="14.45" customHeight="1" x14ac:dyDescent="0.25">
      <c r="A46" s="1334" t="s">
        <v>1907</v>
      </c>
      <c r="B46" s="1335"/>
      <c r="C46" s="1335"/>
      <c r="D46" s="1336"/>
      <c r="E46" s="472"/>
      <c r="F46" s="1343" t="s">
        <v>4790</v>
      </c>
      <c r="G46" s="1343"/>
      <c r="H46" s="1343"/>
      <c r="I46" s="1343"/>
      <c r="K46" s="1344" t="s">
        <v>1209</v>
      </c>
      <c r="L46" s="1344"/>
      <c r="M46" s="1344"/>
      <c r="N46" s="1344"/>
    </row>
    <row r="47" spans="1:14" ht="14.45" customHeight="1" x14ac:dyDescent="0.25">
      <c r="A47" s="1337"/>
      <c r="B47" s="1338"/>
      <c r="C47" s="1338"/>
      <c r="D47" s="1339"/>
      <c r="E47" s="473"/>
      <c r="F47" s="1343"/>
      <c r="G47" s="1343"/>
      <c r="H47" s="1343"/>
      <c r="I47" s="1343"/>
      <c r="K47" s="1344"/>
      <c r="L47" s="1344"/>
      <c r="M47" s="1344"/>
      <c r="N47" s="1344"/>
    </row>
    <row r="48" spans="1:14" ht="14.45" customHeight="1" x14ac:dyDescent="0.25">
      <c r="A48" s="1340"/>
      <c r="B48" s="1341"/>
      <c r="C48" s="1341"/>
      <c r="D48" s="1342"/>
      <c r="E48" s="474"/>
      <c r="F48" s="1343"/>
      <c r="G48" s="1343"/>
      <c r="H48" s="1343"/>
      <c r="I48" s="1343"/>
      <c r="K48" s="1344"/>
      <c r="L48" s="1344"/>
      <c r="M48" s="1344"/>
      <c r="N48" s="1344"/>
    </row>
    <row r="49" spans="1:14" ht="27" thickBot="1" x14ac:dyDescent="0.3">
      <c r="A49" s="1324" t="s">
        <v>4629</v>
      </c>
      <c r="B49" s="1325"/>
      <c r="C49" s="1325"/>
      <c r="D49" s="1326"/>
      <c r="E49" s="475"/>
      <c r="F49" s="1327" t="s">
        <v>4629</v>
      </c>
      <c r="G49" s="1328"/>
      <c r="H49" s="1328"/>
      <c r="I49" s="1329"/>
      <c r="K49" s="1327" t="s">
        <v>4629</v>
      </c>
      <c r="L49" s="1328"/>
      <c r="M49" s="1328"/>
      <c r="N49" s="1329"/>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296" t="s">
        <v>4635</v>
      </c>
      <c r="B79" s="1296"/>
      <c r="C79" s="1296"/>
      <c r="D79" s="211">
        <f>SUM(D51:D78)</f>
        <v>4135000</v>
      </c>
      <c r="E79" s="481"/>
      <c r="F79" s="1330" t="s">
        <v>4635</v>
      </c>
      <c r="G79" s="1330"/>
      <c r="H79" s="1331"/>
      <c r="I79" s="211">
        <f>SUM(I51:I78)</f>
        <v>4012280</v>
      </c>
      <c r="K79" s="1330" t="s">
        <v>4635</v>
      </c>
      <c r="L79" s="1330"/>
      <c r="M79" s="1331"/>
      <c r="N79" s="211">
        <f>SUM(N51:N78)</f>
        <v>4012280</v>
      </c>
    </row>
    <row r="82" spans="1:14" ht="27.75" customHeight="1" x14ac:dyDescent="0.25">
      <c r="A82" s="1332" t="s">
        <v>7156</v>
      </c>
      <c r="B82" s="1332"/>
      <c r="C82" s="1332"/>
      <c r="D82" s="1332"/>
      <c r="E82" s="1332"/>
      <c r="F82" s="1332"/>
      <c r="G82" s="1332"/>
      <c r="H82" s="1332"/>
      <c r="I82" s="1332"/>
      <c r="J82" s="1332"/>
      <c r="K82" s="1332"/>
      <c r="L82" s="1332"/>
      <c r="M82" s="1332"/>
      <c r="N82" s="1332"/>
    </row>
    <row r="83" spans="1:14" ht="15" customHeight="1" x14ac:dyDescent="0.25">
      <c r="A83" s="1333" t="s">
        <v>7157</v>
      </c>
      <c r="B83" s="1333"/>
      <c r="C83" s="1333"/>
      <c r="D83" s="1333"/>
      <c r="E83" s="1333"/>
      <c r="F83" s="1333"/>
      <c r="G83" s="1333"/>
      <c r="H83" s="1333"/>
      <c r="I83" s="1333"/>
      <c r="J83" s="1333"/>
      <c r="K83" s="1333"/>
      <c r="L83" s="1333"/>
      <c r="M83" s="1333"/>
      <c r="N83" s="1333"/>
    </row>
    <row r="84" spans="1:14" ht="15" customHeight="1" x14ac:dyDescent="0.25">
      <c r="A84" s="1333"/>
      <c r="B84" s="1333"/>
      <c r="C84" s="1333"/>
      <c r="D84" s="1333"/>
      <c r="E84" s="1333"/>
      <c r="F84" s="1333"/>
      <c r="G84" s="1333"/>
      <c r="H84" s="1333"/>
      <c r="I84" s="1333"/>
      <c r="J84" s="1333"/>
      <c r="K84" s="1333"/>
      <c r="L84" s="1333"/>
      <c r="M84" s="1333"/>
      <c r="N84" s="1333"/>
    </row>
    <row r="85" spans="1:14" ht="14.45" customHeight="1" x14ac:dyDescent="0.25">
      <c r="A85" s="1334" t="s">
        <v>1907</v>
      </c>
      <c r="B85" s="1335"/>
      <c r="C85" s="1335"/>
      <c r="D85" s="1336"/>
      <c r="E85" s="472"/>
      <c r="F85" s="1343" t="s">
        <v>4790</v>
      </c>
      <c r="G85" s="1343"/>
      <c r="H85" s="1343"/>
      <c r="I85" s="1343"/>
      <c r="K85" s="1344" t="s">
        <v>1209</v>
      </c>
      <c r="L85" s="1344"/>
      <c r="M85" s="1344"/>
      <c r="N85" s="1344"/>
    </row>
    <row r="86" spans="1:14" ht="14.45" customHeight="1" x14ac:dyDescent="0.25">
      <c r="A86" s="1337"/>
      <c r="B86" s="1338"/>
      <c r="C86" s="1338"/>
      <c r="D86" s="1339"/>
      <c r="E86" s="473"/>
      <c r="F86" s="1343"/>
      <c r="G86" s="1343"/>
      <c r="H86" s="1343"/>
      <c r="I86" s="1343"/>
      <c r="K86" s="1344"/>
      <c r="L86" s="1344"/>
      <c r="M86" s="1344"/>
      <c r="N86" s="1344"/>
    </row>
    <row r="87" spans="1:14" ht="14.45" customHeight="1" x14ac:dyDescent="0.25">
      <c r="A87" s="1340"/>
      <c r="B87" s="1341"/>
      <c r="C87" s="1341"/>
      <c r="D87" s="1342"/>
      <c r="E87" s="474"/>
      <c r="F87" s="1343"/>
      <c r="G87" s="1343"/>
      <c r="H87" s="1343"/>
      <c r="I87" s="1343"/>
      <c r="K87" s="1344"/>
      <c r="L87" s="1344"/>
      <c r="M87" s="1344"/>
      <c r="N87" s="1344"/>
    </row>
    <row r="88" spans="1:14" ht="27" thickBot="1" x14ac:dyDescent="0.3">
      <c r="A88" s="1324" t="s">
        <v>4629</v>
      </c>
      <c r="B88" s="1325"/>
      <c r="C88" s="1325"/>
      <c r="D88" s="1326"/>
      <c r="E88" s="475"/>
      <c r="F88" s="1327" t="s">
        <v>4629</v>
      </c>
      <c r="G88" s="1328"/>
      <c r="H88" s="1328"/>
      <c r="I88" s="1329"/>
      <c r="K88" s="1327" t="s">
        <v>4629</v>
      </c>
      <c r="L88" s="1328"/>
      <c r="M88" s="1328"/>
      <c r="N88" s="1329"/>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10707</v>
      </c>
      <c r="C98" s="99"/>
      <c r="D98" s="99">
        <v>100000</v>
      </c>
      <c r="E98" s="1078"/>
      <c r="F98" s="438">
        <v>45030</v>
      </c>
      <c r="G98" s="122" t="s">
        <v>9650</v>
      </c>
      <c r="H98" s="439"/>
      <c r="I98" s="375">
        <v>100000</v>
      </c>
      <c r="J98" s="1079"/>
      <c r="K98" s="438"/>
      <c r="L98" s="726"/>
      <c r="M98" s="439"/>
      <c r="N98" s="375"/>
    </row>
    <row r="99" spans="1:14" ht="45" x14ac:dyDescent="0.25">
      <c r="A99" s="438">
        <v>45146</v>
      </c>
      <c r="B99" s="726" t="s">
        <v>10707</v>
      </c>
      <c r="C99" s="313"/>
      <c r="D99" s="15">
        <v>50000</v>
      </c>
      <c r="E99" s="479"/>
      <c r="F99" s="438">
        <v>45033</v>
      </c>
      <c r="G99" s="102" t="s">
        <v>9788</v>
      </c>
      <c r="H99" s="336"/>
      <c r="I99" s="375">
        <v>490000</v>
      </c>
      <c r="K99" s="438"/>
      <c r="L99" s="102"/>
      <c r="M99" s="336"/>
      <c r="N99" s="375"/>
    </row>
    <row r="100" spans="1:14" ht="45" x14ac:dyDescent="0.25">
      <c r="A100" s="438">
        <v>45225</v>
      </c>
      <c r="B100" s="726" t="s">
        <v>11576</v>
      </c>
      <c r="C100" s="439"/>
      <c r="D100" s="375">
        <v>2352000</v>
      </c>
      <c r="E100" s="480"/>
      <c r="F100" s="438">
        <v>45034</v>
      </c>
      <c r="G100" s="102" t="s">
        <v>10888</v>
      </c>
      <c r="H100" s="336"/>
      <c r="I100" s="375">
        <v>500000</v>
      </c>
      <c r="K100" s="438"/>
      <c r="L100" s="102"/>
      <c r="M100" s="336"/>
      <c r="N100" s="375"/>
    </row>
    <row r="101" spans="1:14" ht="30" x14ac:dyDescent="0.25">
      <c r="A101" s="438">
        <v>45244</v>
      </c>
      <c r="B101" s="102" t="s">
        <v>11784</v>
      </c>
      <c r="C101" s="336"/>
      <c r="D101" s="798">
        <v>100000</v>
      </c>
      <c r="E101" s="480"/>
      <c r="F101" s="438">
        <v>45084</v>
      </c>
      <c r="G101" s="2" t="s">
        <v>9650</v>
      </c>
      <c r="H101" s="313"/>
      <c r="I101" s="15">
        <v>100000</v>
      </c>
      <c r="K101" s="350"/>
      <c r="L101" s="102"/>
      <c r="M101" s="313"/>
      <c r="N101" s="15"/>
    </row>
    <row r="102" spans="1:14" ht="30" x14ac:dyDescent="0.25">
      <c r="A102" s="438">
        <v>45277</v>
      </c>
      <c r="B102" s="102" t="s">
        <v>11828</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296" t="s">
        <v>4635</v>
      </c>
      <c r="B109" s="1296"/>
      <c r="C109" s="1296"/>
      <c r="D109" s="211">
        <f>SUM(D90:D108)</f>
        <v>4652000</v>
      </c>
      <c r="E109" s="481"/>
      <c r="F109" s="1330" t="s">
        <v>4635</v>
      </c>
      <c r="G109" s="1330"/>
      <c r="H109" s="1331"/>
      <c r="I109" s="437">
        <f>SUM(I90:I107)</f>
        <v>4531000</v>
      </c>
      <c r="K109" s="1330" t="s">
        <v>4635</v>
      </c>
      <c r="L109" s="1330"/>
      <c r="M109" s="1331"/>
      <c r="N109" s="437">
        <f>SUM(N90:N107)</f>
        <v>4531779</v>
      </c>
    </row>
    <row r="112" spans="1:14" ht="27.75" customHeight="1" x14ac:dyDescent="0.25">
      <c r="A112" s="1332" t="s">
        <v>10548</v>
      </c>
      <c r="B112" s="1332"/>
      <c r="C112" s="1332"/>
      <c r="D112" s="1332"/>
      <c r="E112" s="1332"/>
      <c r="F112" s="1332"/>
      <c r="G112" s="1332"/>
      <c r="H112" s="1332"/>
      <c r="I112" s="1332"/>
      <c r="J112" s="1332"/>
      <c r="K112" s="1332"/>
      <c r="L112" s="1332"/>
      <c r="M112" s="1332"/>
      <c r="N112" s="1332"/>
    </row>
    <row r="113" spans="1:14" ht="15" customHeight="1" x14ac:dyDescent="0.25">
      <c r="A113" s="1333" t="s">
        <v>10549</v>
      </c>
      <c r="B113" s="1333"/>
      <c r="C113" s="1333"/>
      <c r="D113" s="1333"/>
      <c r="E113" s="1333"/>
      <c r="F113" s="1333"/>
      <c r="G113" s="1333"/>
      <c r="H113" s="1333"/>
      <c r="I113" s="1333"/>
      <c r="J113" s="1333"/>
      <c r="K113" s="1333"/>
      <c r="L113" s="1333"/>
      <c r="M113" s="1333"/>
      <c r="N113" s="1333"/>
    </row>
    <row r="114" spans="1:14" ht="15" customHeight="1" x14ac:dyDescent="0.25">
      <c r="A114" s="1333"/>
      <c r="B114" s="1333"/>
      <c r="C114" s="1333"/>
      <c r="D114" s="1333"/>
      <c r="E114" s="1333"/>
      <c r="F114" s="1333"/>
      <c r="G114" s="1333"/>
      <c r="H114" s="1333"/>
      <c r="I114" s="1333"/>
      <c r="J114" s="1333"/>
      <c r="K114" s="1333"/>
      <c r="L114" s="1333"/>
      <c r="M114" s="1333"/>
      <c r="N114" s="1333"/>
    </row>
    <row r="115" spans="1:14" ht="14.45" customHeight="1" x14ac:dyDescent="0.25">
      <c r="A115" s="1334" t="s">
        <v>1907</v>
      </c>
      <c r="B115" s="1335"/>
      <c r="C115" s="1335"/>
      <c r="D115" s="1336"/>
      <c r="E115" s="472"/>
      <c r="F115" s="1343" t="s">
        <v>4790</v>
      </c>
      <c r="G115" s="1343"/>
      <c r="H115" s="1343"/>
      <c r="I115" s="1343"/>
      <c r="K115" s="1344" t="s">
        <v>1209</v>
      </c>
      <c r="L115" s="1344"/>
      <c r="M115" s="1344"/>
      <c r="N115" s="1344"/>
    </row>
    <row r="116" spans="1:14" ht="14.45" customHeight="1" x14ac:dyDescent="0.25">
      <c r="A116" s="1337"/>
      <c r="B116" s="1338"/>
      <c r="C116" s="1338"/>
      <c r="D116" s="1339"/>
      <c r="E116" s="473"/>
      <c r="F116" s="1343"/>
      <c r="G116" s="1343"/>
      <c r="H116" s="1343"/>
      <c r="I116" s="1343"/>
      <c r="K116" s="1344"/>
      <c r="L116" s="1344"/>
      <c r="M116" s="1344"/>
      <c r="N116" s="1344"/>
    </row>
    <row r="117" spans="1:14" ht="14.45" customHeight="1" x14ac:dyDescent="0.25">
      <c r="A117" s="1340"/>
      <c r="B117" s="1341"/>
      <c r="C117" s="1341"/>
      <c r="D117" s="1342"/>
      <c r="E117" s="474"/>
      <c r="F117" s="1343"/>
      <c r="G117" s="1343"/>
      <c r="H117" s="1343"/>
      <c r="I117" s="1343"/>
      <c r="K117" s="1344"/>
      <c r="L117" s="1344"/>
      <c r="M117" s="1344"/>
      <c r="N117" s="1344"/>
    </row>
    <row r="118" spans="1:14" ht="27" thickBot="1" x14ac:dyDescent="0.3">
      <c r="A118" s="1324" t="s">
        <v>4629</v>
      </c>
      <c r="B118" s="1325"/>
      <c r="C118" s="1325"/>
      <c r="D118" s="1326"/>
      <c r="E118" s="475"/>
      <c r="F118" s="1327" t="s">
        <v>4629</v>
      </c>
      <c r="G118" s="1328"/>
      <c r="H118" s="1328"/>
      <c r="I118" s="1329"/>
      <c r="K118" s="1327" t="s">
        <v>4629</v>
      </c>
      <c r="L118" s="1328"/>
      <c r="M118" s="1328"/>
      <c r="N118" s="1329"/>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10859</v>
      </c>
      <c r="C120" s="313"/>
      <c r="D120" s="15">
        <v>40000</v>
      </c>
      <c r="E120" s="477"/>
      <c r="F120" s="350">
        <v>45121</v>
      </c>
      <c r="G120" s="102" t="s">
        <v>10550</v>
      </c>
      <c r="H120" s="336"/>
      <c r="I120" s="320">
        <v>575000</v>
      </c>
      <c r="K120" s="438">
        <v>45167</v>
      </c>
      <c r="L120" s="726" t="s">
        <v>10975</v>
      </c>
      <c r="M120" s="966"/>
      <c r="N120" s="123">
        <v>3500000</v>
      </c>
    </row>
    <row r="121" spans="1:14" ht="37.5" customHeight="1" x14ac:dyDescent="0.25">
      <c r="A121" s="350">
        <v>45219</v>
      </c>
      <c r="B121" s="102" t="s">
        <v>11570</v>
      </c>
      <c r="C121" s="313"/>
      <c r="D121" s="15">
        <v>40000</v>
      </c>
      <c r="E121" s="478"/>
      <c r="F121" s="350">
        <v>45127</v>
      </c>
      <c r="G121" s="102" t="s">
        <v>10635</v>
      </c>
      <c r="H121" s="336"/>
      <c r="I121" s="15">
        <v>722500</v>
      </c>
      <c r="K121" s="438">
        <v>45167</v>
      </c>
      <c r="L121" s="726" t="s">
        <v>11040</v>
      </c>
      <c r="M121" s="336"/>
      <c r="N121" s="375">
        <v>500000</v>
      </c>
    </row>
    <row r="122" spans="1:14" x14ac:dyDescent="0.25">
      <c r="A122" s="350">
        <v>45276</v>
      </c>
      <c r="B122" s="102" t="s">
        <v>12075</v>
      </c>
      <c r="C122" s="313"/>
      <c r="D122" s="15">
        <v>40000</v>
      </c>
      <c r="E122" s="478"/>
      <c r="F122" s="438">
        <v>45033</v>
      </c>
      <c r="G122" s="102" t="s">
        <v>10889</v>
      </c>
      <c r="H122" s="336"/>
      <c r="I122" s="15">
        <v>2500</v>
      </c>
      <c r="K122" s="438">
        <v>45217</v>
      </c>
      <c r="L122" s="726" t="s">
        <v>11599</v>
      </c>
      <c r="M122" s="336"/>
      <c r="N122" s="320">
        <v>1500000</v>
      </c>
    </row>
    <row r="123" spans="1:14" ht="30" x14ac:dyDescent="0.25">
      <c r="A123" s="350">
        <v>45279</v>
      </c>
      <c r="B123" s="102" t="s">
        <v>12099</v>
      </c>
      <c r="C123" s="313"/>
      <c r="D123" s="15">
        <v>100000</v>
      </c>
      <c r="E123" s="478"/>
      <c r="F123" s="438">
        <v>45156</v>
      </c>
      <c r="G123" s="102" t="s">
        <v>10888</v>
      </c>
      <c r="H123" s="336"/>
      <c r="I123" s="375">
        <v>500000</v>
      </c>
      <c r="K123" s="438">
        <v>45254</v>
      </c>
      <c r="L123" s="102" t="s">
        <v>10054</v>
      </c>
      <c r="M123" s="336"/>
      <c r="N123" s="798">
        <v>4000000</v>
      </c>
    </row>
    <row r="124" spans="1:14" ht="30" x14ac:dyDescent="0.25">
      <c r="A124" s="350">
        <v>45279</v>
      </c>
      <c r="B124" s="102" t="s">
        <v>12099</v>
      </c>
      <c r="C124" s="313"/>
      <c r="D124" s="15">
        <v>150000</v>
      </c>
      <c r="E124" s="478"/>
      <c r="F124" s="438">
        <v>45161</v>
      </c>
      <c r="G124" s="102" t="s">
        <v>10635</v>
      </c>
      <c r="H124" s="774"/>
      <c r="I124" s="798">
        <v>400000</v>
      </c>
      <c r="K124" s="366"/>
      <c r="L124" s="102"/>
      <c r="M124" s="336"/>
      <c r="N124" s="320"/>
    </row>
    <row r="125" spans="1:14" ht="30" x14ac:dyDescent="0.25">
      <c r="A125" s="350">
        <v>45279</v>
      </c>
      <c r="B125" s="102" t="s">
        <v>12100</v>
      </c>
      <c r="C125" s="313"/>
      <c r="D125" s="15">
        <v>250000</v>
      </c>
      <c r="E125" s="478"/>
      <c r="F125" s="438">
        <v>45175</v>
      </c>
      <c r="G125" s="2" t="s">
        <v>11165</v>
      </c>
      <c r="H125" s="313"/>
      <c r="I125" s="320">
        <v>2000000</v>
      </c>
      <c r="K125" s="366"/>
      <c r="L125" s="2"/>
      <c r="M125" s="313"/>
      <c r="N125" s="320"/>
    </row>
    <row r="126" spans="1:14" ht="30" x14ac:dyDescent="0.25">
      <c r="A126" s="350">
        <v>45280</v>
      </c>
      <c r="B126" s="102" t="s">
        <v>12100</v>
      </c>
      <c r="C126" s="313"/>
      <c r="D126" s="15">
        <v>250000</v>
      </c>
      <c r="E126" s="478"/>
      <c r="F126" s="438">
        <v>45177</v>
      </c>
      <c r="G126" s="2" t="s">
        <v>11233</v>
      </c>
      <c r="H126" s="313"/>
      <c r="I126" s="320">
        <v>400000</v>
      </c>
      <c r="K126" s="366"/>
      <c r="L126" s="2"/>
      <c r="M126" s="313"/>
      <c r="N126" s="320"/>
    </row>
    <row r="127" spans="1:14" ht="30" x14ac:dyDescent="0.25">
      <c r="A127" s="350">
        <v>45280</v>
      </c>
      <c r="B127" s="102" t="s">
        <v>12100</v>
      </c>
      <c r="C127" s="313"/>
      <c r="D127" s="15">
        <v>1500000</v>
      </c>
      <c r="E127" s="478"/>
      <c r="F127" s="438">
        <v>45178</v>
      </c>
      <c r="G127" s="2" t="s">
        <v>11165</v>
      </c>
      <c r="H127" s="313"/>
      <c r="I127" s="320">
        <v>1000000</v>
      </c>
      <c r="K127" s="366"/>
      <c r="L127" s="102"/>
      <c r="M127" s="336"/>
      <c r="N127" s="320"/>
    </row>
    <row r="128" spans="1:14" s="310" customFormat="1" x14ac:dyDescent="0.25">
      <c r="A128" s="350">
        <v>45281</v>
      </c>
      <c r="B128" s="102" t="s">
        <v>12117</v>
      </c>
      <c r="C128" s="313"/>
      <c r="D128" s="15">
        <v>700000</v>
      </c>
      <c r="E128" s="479"/>
      <c r="F128" s="438">
        <v>45194</v>
      </c>
      <c r="G128" s="102" t="s">
        <v>10635</v>
      </c>
      <c r="H128" s="336"/>
      <c r="I128" s="15">
        <v>500000</v>
      </c>
      <c r="J128" s="484"/>
      <c r="K128" s="438"/>
      <c r="L128" s="102"/>
      <c r="M128" s="439"/>
      <c r="N128" s="375"/>
    </row>
    <row r="129" spans="1:14" x14ac:dyDescent="0.25">
      <c r="A129" s="350">
        <v>45281</v>
      </c>
      <c r="B129" s="102" t="s">
        <v>12117</v>
      </c>
      <c r="C129" s="313"/>
      <c r="D129" s="15">
        <v>700000</v>
      </c>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11927</v>
      </c>
      <c r="H131" s="336"/>
      <c r="I131" s="375">
        <v>500000</v>
      </c>
      <c r="K131" s="350"/>
      <c r="L131" s="102"/>
      <c r="M131" s="313"/>
      <c r="N131" s="15"/>
    </row>
    <row r="132" spans="1:14" x14ac:dyDescent="0.25">
      <c r="A132" s="350"/>
      <c r="B132" s="102"/>
      <c r="C132" s="15"/>
      <c r="D132" s="15"/>
      <c r="E132" s="480"/>
      <c r="F132" s="438">
        <v>45258</v>
      </c>
      <c r="G132" s="102" t="s">
        <v>11928</v>
      </c>
      <c r="H132" s="336"/>
      <c r="I132" s="375">
        <v>830000</v>
      </c>
      <c r="K132" s="350"/>
      <c r="L132" s="102"/>
      <c r="M132" s="313"/>
      <c r="N132" s="15"/>
    </row>
    <row r="133" spans="1:14" x14ac:dyDescent="0.25">
      <c r="A133" s="350"/>
      <c r="B133" s="102"/>
      <c r="C133" s="15"/>
      <c r="D133" s="15"/>
      <c r="E133" s="480"/>
      <c r="F133" s="438">
        <v>45258</v>
      </c>
      <c r="G133" s="102" t="s">
        <v>11928</v>
      </c>
      <c r="H133" s="313"/>
      <c r="I133" s="375">
        <v>840000</v>
      </c>
      <c r="K133" s="350"/>
      <c r="L133" s="102"/>
      <c r="M133" s="313"/>
      <c r="N133" s="15"/>
    </row>
    <row r="134" spans="1:14" x14ac:dyDescent="0.25">
      <c r="A134" s="350"/>
      <c r="B134" s="102"/>
      <c r="C134" s="15"/>
      <c r="D134" s="15"/>
      <c r="E134" s="480"/>
      <c r="F134" s="438">
        <v>45258</v>
      </c>
      <c r="G134" s="102" t="s">
        <v>11928</v>
      </c>
      <c r="H134" s="313"/>
      <c r="I134" s="15">
        <v>850000</v>
      </c>
      <c r="K134" s="350"/>
      <c r="L134" s="102"/>
      <c r="M134" s="313"/>
      <c r="N134" s="15"/>
    </row>
    <row r="135" spans="1:14" x14ac:dyDescent="0.25">
      <c r="A135" s="350"/>
      <c r="B135" s="102"/>
      <c r="C135" s="15"/>
      <c r="D135" s="15"/>
      <c r="E135" s="480"/>
      <c r="F135" s="438">
        <v>45258</v>
      </c>
      <c r="G135" s="102" t="s">
        <v>11928</v>
      </c>
      <c r="H135" s="313"/>
      <c r="I135" s="15">
        <v>800000</v>
      </c>
      <c r="K135" s="350"/>
      <c r="L135" s="102"/>
      <c r="M135" s="313"/>
      <c r="N135" s="15"/>
    </row>
    <row r="136" spans="1:14" x14ac:dyDescent="0.25">
      <c r="A136" s="350"/>
      <c r="B136" s="102"/>
      <c r="C136" s="15"/>
      <c r="D136" s="15"/>
      <c r="E136" s="480"/>
      <c r="F136" s="438">
        <v>45258</v>
      </c>
      <c r="G136" s="102" t="s">
        <v>11928</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296" t="s">
        <v>4635</v>
      </c>
      <c r="B139" s="1296"/>
      <c r="C139" s="1296"/>
      <c r="D139" s="211">
        <f>SUM(D120:D138)</f>
        <v>3770000</v>
      </c>
      <c r="E139" s="481"/>
      <c r="F139" s="1330" t="s">
        <v>4635</v>
      </c>
      <c r="G139" s="1330"/>
      <c r="H139" s="1331"/>
      <c r="I139" s="437">
        <f>SUM(I120:I137)</f>
        <v>11609683</v>
      </c>
      <c r="K139" s="1330" t="s">
        <v>4635</v>
      </c>
      <c r="L139" s="1330"/>
      <c r="M139" s="1331"/>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3" t="s">
        <v>2634</v>
      </c>
      <c r="B2" s="1363"/>
      <c r="C2" s="1363"/>
      <c r="D2" s="1363"/>
      <c r="E2" s="1363"/>
      <c r="F2" s="1363"/>
      <c r="G2" s="1363"/>
      <c r="H2" s="1363"/>
      <c r="I2" s="1363"/>
      <c r="J2" s="1363"/>
      <c r="K2" s="1363"/>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60">
        <v>28459027</v>
      </c>
      <c r="B4" s="1360">
        <v>35457479</v>
      </c>
      <c r="C4" s="1360">
        <f>B4-A4</f>
        <v>6998452</v>
      </c>
      <c r="D4" s="1360" t="s">
        <v>2642</v>
      </c>
      <c r="E4" s="232"/>
      <c r="F4" s="232"/>
      <c r="G4" s="232"/>
      <c r="H4" s="1360">
        <f>C4</f>
        <v>6998452</v>
      </c>
      <c r="I4" s="1360">
        <f>H4*25%</f>
        <v>1749613</v>
      </c>
      <c r="J4" s="1360">
        <f>H4*25%</f>
        <v>1749613</v>
      </c>
      <c r="K4" s="1360">
        <f>H4*50%</f>
        <v>3499226</v>
      </c>
    </row>
    <row r="5" spans="1:11" ht="21" customHeight="1" x14ac:dyDescent="0.25">
      <c r="A5" s="1360"/>
      <c r="B5" s="1360"/>
      <c r="C5" s="1360"/>
      <c r="D5" s="1360"/>
      <c r="E5" s="232"/>
      <c r="F5" s="232"/>
      <c r="G5" s="232"/>
      <c r="H5" s="1360"/>
      <c r="I5" s="1360"/>
      <c r="J5" s="1360"/>
      <c r="K5" s="1360"/>
    </row>
    <row r="6" spans="1:11" ht="15.75" x14ac:dyDescent="0.25">
      <c r="A6" s="1361" t="s">
        <v>2643</v>
      </c>
      <c r="B6" s="1361"/>
      <c r="C6" s="1361"/>
      <c r="D6" s="1361"/>
      <c r="E6" s="1361"/>
      <c r="F6" s="1361"/>
      <c r="G6" s="1361"/>
      <c r="H6" s="1361"/>
      <c r="I6" s="193" t="s">
        <v>158</v>
      </c>
      <c r="J6" s="193" t="s">
        <v>2644</v>
      </c>
      <c r="K6" s="193" t="s">
        <v>2644</v>
      </c>
    </row>
    <row r="7" spans="1:11" ht="15.75" x14ac:dyDescent="0.25">
      <c r="A7" s="1361" t="s">
        <v>2645</v>
      </c>
      <c r="B7" s="1361"/>
      <c r="C7" s="1361"/>
      <c r="D7" s="1361"/>
      <c r="E7" s="1361"/>
      <c r="F7" s="1361"/>
      <c r="G7" s="1361"/>
      <c r="H7" s="1361"/>
      <c r="I7" s="193" t="s">
        <v>2646</v>
      </c>
      <c r="J7" s="194">
        <f>J4</f>
        <v>1749613</v>
      </c>
      <c r="K7" s="194">
        <f>K4</f>
        <v>3499226</v>
      </c>
    </row>
    <row r="9" spans="1:11" ht="18" x14ac:dyDescent="0.25">
      <c r="A9" s="1363" t="s">
        <v>2647</v>
      </c>
      <c r="B9" s="1363"/>
      <c r="C9" s="1363"/>
      <c r="D9" s="1363"/>
      <c r="E9" s="1363"/>
      <c r="F9" s="1363"/>
      <c r="G9" s="1363"/>
      <c r="H9" s="1363"/>
      <c r="I9" s="1363"/>
      <c r="J9" s="1363"/>
      <c r="K9" s="1363"/>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60">
        <v>42596884</v>
      </c>
      <c r="B11" s="1360">
        <v>51367818</v>
      </c>
      <c r="C11" s="1360">
        <f>B11-A11</f>
        <v>8770934</v>
      </c>
      <c r="D11" s="1360" t="s">
        <v>2642</v>
      </c>
      <c r="E11" s="232"/>
      <c r="F11" s="232"/>
      <c r="G11" s="232"/>
      <c r="H11" s="1360">
        <f>C11</f>
        <v>8770934</v>
      </c>
      <c r="I11" s="1360">
        <f>H11*25%</f>
        <v>2192733.5</v>
      </c>
      <c r="J11" s="1360">
        <f>H11*25%</f>
        <v>2192733.5</v>
      </c>
      <c r="K11" s="1360">
        <f>H11*50%</f>
        <v>4385467</v>
      </c>
    </row>
    <row r="12" spans="1:11" ht="12.75" customHeight="1" x14ac:dyDescent="0.25">
      <c r="A12" s="1360"/>
      <c r="B12" s="1360"/>
      <c r="C12" s="1360"/>
      <c r="D12" s="1360"/>
      <c r="E12" s="232"/>
      <c r="F12" s="232"/>
      <c r="G12" s="232"/>
      <c r="H12" s="1360"/>
      <c r="I12" s="1360"/>
      <c r="J12" s="1360"/>
      <c r="K12" s="1360"/>
    </row>
    <row r="13" spans="1:11" ht="15.75" x14ac:dyDescent="0.25">
      <c r="A13" s="1361" t="s">
        <v>2648</v>
      </c>
      <c r="B13" s="1361"/>
      <c r="C13" s="1361"/>
      <c r="D13" s="1361"/>
      <c r="E13" s="1361"/>
      <c r="F13" s="1361"/>
      <c r="G13" s="1361"/>
      <c r="H13" s="1361"/>
      <c r="I13" s="193" t="s">
        <v>158</v>
      </c>
      <c r="J13" s="195">
        <v>84775</v>
      </c>
      <c r="K13" s="193" t="s">
        <v>2644</v>
      </c>
    </row>
    <row r="14" spans="1:11" ht="15.75" x14ac:dyDescent="0.25">
      <c r="A14" s="1361" t="s">
        <v>2645</v>
      </c>
      <c r="B14" s="1361"/>
      <c r="C14" s="1361"/>
      <c r="D14" s="1361"/>
      <c r="E14" s="1361"/>
      <c r="F14" s="1361"/>
      <c r="G14" s="1361"/>
      <c r="H14" s="1361"/>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63" t="s">
        <v>2649</v>
      </c>
      <c r="B17" s="1363"/>
      <c r="C17" s="1363"/>
      <c r="D17" s="1363"/>
      <c r="E17" s="1363"/>
      <c r="F17" s="1363"/>
      <c r="G17" s="1363"/>
      <c r="H17" s="1363"/>
      <c r="I17" s="1363"/>
      <c r="J17" s="1363"/>
      <c r="K17" s="1363"/>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60">
        <v>91625888</v>
      </c>
      <c r="B19" s="1360">
        <v>130688607</v>
      </c>
      <c r="C19" s="1360">
        <f>B19-A19</f>
        <v>39062719</v>
      </c>
      <c r="D19" s="1360">
        <v>7500000</v>
      </c>
      <c r="E19" s="232"/>
      <c r="F19" s="232"/>
      <c r="G19" s="232"/>
      <c r="H19" s="1360">
        <f>C19</f>
        <v>39062719</v>
      </c>
      <c r="I19" s="1360">
        <f>H19*25%</f>
        <v>9765679.75</v>
      </c>
      <c r="J19" s="1360">
        <f>H19*25%</f>
        <v>9765679.75</v>
      </c>
      <c r="K19" s="1360">
        <f>H19*50%</f>
        <v>19531359.5</v>
      </c>
    </row>
    <row r="20" spans="1:11" ht="12.75" customHeight="1" x14ac:dyDescent="0.25">
      <c r="A20" s="1360"/>
      <c r="B20" s="1360"/>
      <c r="C20" s="1360"/>
      <c r="D20" s="1360"/>
      <c r="E20" s="232"/>
      <c r="F20" s="232"/>
      <c r="G20" s="232"/>
      <c r="H20" s="1360"/>
      <c r="I20" s="1360"/>
      <c r="J20" s="1360"/>
      <c r="K20" s="1360"/>
    </row>
    <row r="21" spans="1:11" ht="15.75" x14ac:dyDescent="0.25">
      <c r="A21" s="1361" t="s">
        <v>2648</v>
      </c>
      <c r="B21" s="1361"/>
      <c r="C21" s="1361"/>
      <c r="D21" s="1361"/>
      <c r="E21" s="1361"/>
      <c r="F21" s="1361"/>
      <c r="G21" s="1361"/>
      <c r="H21" s="1361"/>
      <c r="I21" s="195">
        <v>13000000</v>
      </c>
      <c r="J21" s="193"/>
      <c r="K21" s="193"/>
    </row>
    <row r="22" spans="1:11" ht="15.75" x14ac:dyDescent="0.25">
      <c r="A22" s="1361" t="s">
        <v>2645</v>
      </c>
      <c r="B22" s="1361"/>
      <c r="C22" s="1361"/>
      <c r="D22" s="1361"/>
      <c r="E22" s="1361"/>
      <c r="F22" s="1361"/>
      <c r="G22" s="1361"/>
      <c r="H22" s="1361"/>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1" t="s">
        <v>2659</v>
      </c>
      <c r="B36" s="1351"/>
      <c r="C36" s="1351"/>
      <c r="D36" s="1351"/>
      <c r="E36" s="1351"/>
      <c r="F36" s="1351"/>
      <c r="G36" s="1351"/>
      <c r="H36" s="1351"/>
      <c r="I36" s="1351"/>
      <c r="J36" s="1351"/>
      <c r="K36" s="1351"/>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56">
        <f>'Main Summary'!$AG$73</f>
        <v>31688154.002880182</v>
      </c>
      <c r="B38" s="1356">
        <f>'Main Summary'!$AH$73</f>
        <v>37164776</v>
      </c>
      <c r="C38" s="1356">
        <f>B38-A38</f>
        <v>5476621.9971198179</v>
      </c>
      <c r="D38" s="1356">
        <v>6000000</v>
      </c>
      <c r="E38" s="1358"/>
      <c r="F38" s="1358"/>
      <c r="G38" s="1356">
        <v>300000</v>
      </c>
      <c r="H38" s="1356">
        <f>C38-D38-G38</f>
        <v>-823378.00288018212</v>
      </c>
      <c r="I38" s="1356">
        <f>H38*33%</f>
        <v>-271714.74095046014</v>
      </c>
      <c r="J38" s="1356">
        <f>H38*33%</f>
        <v>-271714.74095046014</v>
      </c>
      <c r="K38" s="1356">
        <f>H38*34%</f>
        <v>-279948.52097926196</v>
      </c>
    </row>
    <row r="39" spans="1:13" ht="16.899999999999999" customHeight="1" x14ac:dyDescent="0.25">
      <c r="A39" s="1356"/>
      <c r="B39" s="1356"/>
      <c r="C39" s="1356"/>
      <c r="D39" s="1356"/>
      <c r="E39" s="1359"/>
      <c r="F39" s="1359"/>
      <c r="G39" s="1356"/>
      <c r="H39" s="1356"/>
      <c r="I39" s="1356"/>
      <c r="J39" s="1356"/>
      <c r="K39" s="1356"/>
    </row>
    <row r="40" spans="1:13" ht="16.5" x14ac:dyDescent="0.25">
      <c r="A40" s="1357" t="s">
        <v>2660</v>
      </c>
      <c r="B40" s="1357"/>
      <c r="C40" s="1357"/>
      <c r="D40" s="1357"/>
      <c r="E40" s="1357"/>
      <c r="F40" s="1357"/>
      <c r="G40" s="1357"/>
      <c r="H40" s="1357"/>
      <c r="I40" s="238">
        <v>3234320</v>
      </c>
      <c r="J40" s="238"/>
      <c r="K40" s="238"/>
    </row>
    <row r="41" spans="1:13" ht="16.5" x14ac:dyDescent="0.25">
      <c r="A41" s="1357" t="s">
        <v>2888</v>
      </c>
      <c r="B41" s="1357"/>
      <c r="C41" s="1357"/>
      <c r="D41" s="1357"/>
      <c r="E41" s="1357"/>
      <c r="F41" s="1357"/>
      <c r="G41" s="1357"/>
      <c r="H41" s="1357"/>
      <c r="I41" s="238"/>
      <c r="J41" s="238">
        <v>1676486</v>
      </c>
      <c r="K41" s="238">
        <v>6090000</v>
      </c>
    </row>
    <row r="42" spans="1:13" ht="16.5" x14ac:dyDescent="0.25">
      <c r="A42" s="1357" t="s">
        <v>2661</v>
      </c>
      <c r="B42" s="1357"/>
      <c r="C42" s="1357"/>
      <c r="D42" s="1357"/>
      <c r="E42" s="1357"/>
      <c r="F42" s="1357"/>
      <c r="G42" s="1357"/>
      <c r="H42" s="1357"/>
      <c r="I42" s="238">
        <v>1568356</v>
      </c>
      <c r="J42" s="238"/>
      <c r="K42" s="238"/>
    </row>
    <row r="43" spans="1:13" ht="16.5" x14ac:dyDescent="0.25">
      <c r="A43" s="1355" t="s">
        <v>2662</v>
      </c>
      <c r="B43" s="1355"/>
      <c r="C43" s="1355"/>
      <c r="D43" s="1355"/>
      <c r="E43" s="1355"/>
      <c r="F43" s="1355"/>
      <c r="G43" s="1355"/>
      <c r="H43" s="1355"/>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62" t="s">
        <v>2797</v>
      </c>
      <c r="B45" s="1362"/>
      <c r="C45" s="1362"/>
      <c r="D45" s="1362"/>
      <c r="E45" s="1362"/>
      <c r="F45" s="1362"/>
      <c r="G45" s="1362"/>
      <c r="H45" s="1362"/>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51" t="s">
        <v>3323</v>
      </c>
      <c r="B49" s="1351"/>
      <c r="C49" s="1351"/>
      <c r="D49" s="1351"/>
      <c r="E49" s="1351"/>
      <c r="F49" s="1351"/>
      <c r="G49" s="1351"/>
      <c r="H49" s="1351"/>
      <c r="I49" s="1351"/>
      <c r="J49" s="1351"/>
      <c r="K49" s="1351"/>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52">
        <f>'Main Summary'!Z19</f>
        <v>113012540.90419273</v>
      </c>
      <c r="B51" s="1352">
        <f>'Main Summary'!AA19</f>
        <v>164353252</v>
      </c>
      <c r="C51" s="1352">
        <f>B51-A51</f>
        <v>51340711.095807269</v>
      </c>
      <c r="D51" s="1352">
        <v>7000000</v>
      </c>
      <c r="E51" s="1353">
        <f>15000000+6000000</f>
        <v>21000000</v>
      </c>
      <c r="F51" s="353"/>
      <c r="G51" s="1352">
        <v>500000</v>
      </c>
      <c r="H51" s="1352">
        <f>C51-D51-G51-E51</f>
        <v>22840711.095807269</v>
      </c>
      <c r="I51" s="1352">
        <f>H51*33%</f>
        <v>7537434.661616399</v>
      </c>
      <c r="J51" s="1352">
        <f>H51*33%</f>
        <v>7537434.661616399</v>
      </c>
      <c r="K51" s="1352">
        <f>H51*34%</f>
        <v>7765841.7725744722</v>
      </c>
    </row>
    <row r="52" spans="1:13" ht="16.899999999999999" customHeight="1" x14ac:dyDescent="0.25">
      <c r="A52" s="1352"/>
      <c r="B52" s="1352"/>
      <c r="C52" s="1352"/>
      <c r="D52" s="1352"/>
      <c r="E52" s="1354"/>
      <c r="F52" s="354"/>
      <c r="G52" s="1352"/>
      <c r="H52" s="1352"/>
      <c r="I52" s="1352"/>
      <c r="J52" s="1352"/>
      <c r="K52" s="1352"/>
    </row>
    <row r="53" spans="1:13" ht="15.75" x14ac:dyDescent="0.25">
      <c r="A53" s="1348" t="s">
        <v>2660</v>
      </c>
      <c r="B53" s="1348"/>
      <c r="C53" s="1348"/>
      <c r="D53" s="1348"/>
      <c r="E53" s="1348"/>
      <c r="F53" s="1348"/>
      <c r="G53" s="1348"/>
      <c r="H53" s="1348"/>
      <c r="I53" s="232"/>
      <c r="J53" s="232"/>
      <c r="K53" s="232"/>
      <c r="M53" s="1">
        <v>1682985</v>
      </c>
    </row>
    <row r="54" spans="1:13" ht="15.75" x14ac:dyDescent="0.25">
      <c r="A54" s="1348" t="s">
        <v>2888</v>
      </c>
      <c r="B54" s="1348"/>
      <c r="C54" s="1348"/>
      <c r="D54" s="1348"/>
      <c r="E54" s="1348"/>
      <c r="F54" s="1348"/>
      <c r="G54" s="1348"/>
      <c r="H54" s="1348"/>
      <c r="I54" s="232">
        <f>450000+3000000+1300000+200000+6000000</f>
        <v>10950000</v>
      </c>
      <c r="J54" s="232">
        <f>3800000+300000+1500000+89000+1000000+1300000</f>
        <v>7989000</v>
      </c>
      <c r="K54" s="232">
        <f>150000+500000+500000+5000000</f>
        <v>6150000</v>
      </c>
      <c r="M54" s="1">
        <v>26656</v>
      </c>
    </row>
    <row r="55" spans="1:13" ht="15.75" x14ac:dyDescent="0.25">
      <c r="A55" s="1348" t="s">
        <v>4310</v>
      </c>
      <c r="B55" s="1348"/>
      <c r="C55" s="1348"/>
      <c r="D55" s="1348"/>
      <c r="E55" s="1348"/>
      <c r="F55" s="1348"/>
      <c r="G55" s="1348"/>
      <c r="H55" s="1348"/>
      <c r="I55" s="232"/>
      <c r="J55" s="232">
        <v>493250</v>
      </c>
      <c r="K55" s="232"/>
      <c r="M55" s="1">
        <v>7143</v>
      </c>
    </row>
    <row r="56" spans="1:13" ht="15.75" x14ac:dyDescent="0.25">
      <c r="A56" s="1349" t="s">
        <v>2662</v>
      </c>
      <c r="B56" s="1349"/>
      <c r="C56" s="1349"/>
      <c r="D56" s="1349"/>
      <c r="E56" s="1349"/>
      <c r="F56" s="1349"/>
      <c r="G56" s="1349"/>
      <c r="H56" s="1349"/>
      <c r="I56" s="270">
        <f>I51-I53-I54-I55</f>
        <v>-3412565.338383601</v>
      </c>
      <c r="J56" s="270">
        <f>J51+J55-J54</f>
        <v>41684.661616398953</v>
      </c>
      <c r="K56" s="270">
        <f>K51-K53-K54-K55</f>
        <v>1615841.7725744722</v>
      </c>
      <c r="M56" s="1">
        <v>7257</v>
      </c>
    </row>
    <row r="57" spans="1:13" ht="15.75" x14ac:dyDescent="0.25">
      <c r="A57" s="1350" t="s">
        <v>2797</v>
      </c>
      <c r="B57" s="1350"/>
      <c r="C57" s="1350"/>
      <c r="D57" s="1350"/>
      <c r="E57" s="1350"/>
      <c r="F57" s="1350"/>
      <c r="G57" s="1350"/>
      <c r="H57" s="1350"/>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51" t="s">
        <v>3700</v>
      </c>
      <c r="B61" s="1351"/>
      <c r="C61" s="1351"/>
      <c r="D61" s="1351"/>
      <c r="E61" s="1351"/>
      <c r="F61" s="1351"/>
      <c r="G61" s="1351"/>
      <c r="H61" s="1351"/>
      <c r="I61" s="1351"/>
      <c r="J61" s="1351"/>
      <c r="K61" s="1351"/>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52">
        <f>'Main Summary'!V19</f>
        <v>138622950.11069509</v>
      </c>
      <c r="B63" s="1352">
        <f>'Main Summary'!W19</f>
        <v>174948764</v>
      </c>
      <c r="C63" s="1352">
        <f>B63-A63</f>
        <v>36325813.889304906</v>
      </c>
      <c r="D63" s="1352">
        <v>2000000</v>
      </c>
      <c r="E63" s="1353">
        <v>4500000</v>
      </c>
      <c r="F63" s="1353">
        <v>889800</v>
      </c>
      <c r="G63" s="1352">
        <v>500000</v>
      </c>
      <c r="H63" s="1352">
        <f>C63-D63-G63-E63-F63</f>
        <v>28436013.889304906</v>
      </c>
      <c r="I63" s="1352">
        <f>H63*33%</f>
        <v>9383884.5834706202</v>
      </c>
      <c r="J63" s="1352">
        <f>H63*33%</f>
        <v>9383884.5834706202</v>
      </c>
      <c r="K63" s="1352">
        <f>H63*34%</f>
        <v>9668244.7223636694</v>
      </c>
    </row>
    <row r="64" spans="1:13" ht="15" customHeight="1" x14ac:dyDescent="0.25">
      <c r="A64" s="1352"/>
      <c r="B64" s="1352"/>
      <c r="C64" s="1352"/>
      <c r="D64" s="1352"/>
      <c r="E64" s="1354"/>
      <c r="F64" s="1354"/>
      <c r="G64" s="1352"/>
      <c r="H64" s="1352"/>
      <c r="I64" s="1352"/>
      <c r="J64" s="1352"/>
      <c r="K64" s="1352"/>
    </row>
    <row r="65" spans="1:18" ht="27" customHeight="1" x14ac:dyDescent="0.25">
      <c r="A65" s="1348" t="s">
        <v>2888</v>
      </c>
      <c r="B65" s="1348"/>
      <c r="C65" s="1348"/>
      <c r="D65" s="1348"/>
      <c r="E65" s="1348"/>
      <c r="F65" s="1348"/>
      <c r="G65" s="1348"/>
      <c r="H65" s="1348"/>
      <c r="I65" s="232">
        <f>'old Sharing details'!H30</f>
        <v>20909127</v>
      </c>
      <c r="J65" s="232">
        <f>'old Sharing details'!H65</f>
        <v>20630910</v>
      </c>
      <c r="K65" s="232">
        <f>'old Sharing details'!D125</f>
        <v>17742859</v>
      </c>
    </row>
    <row r="66" spans="1:18" ht="27" customHeight="1" x14ac:dyDescent="0.25">
      <c r="A66" s="1349" t="s">
        <v>2662</v>
      </c>
      <c r="B66" s="1349"/>
      <c r="C66" s="1349"/>
      <c r="D66" s="1349"/>
      <c r="E66" s="1349"/>
      <c r="F66" s="1349"/>
      <c r="G66" s="1349"/>
      <c r="H66" s="1349"/>
      <c r="I66" s="270">
        <f>I63-I65</f>
        <v>-11525242.41652938</v>
      </c>
      <c r="J66" s="270">
        <f t="shared" ref="J66:K66" si="0">J63-J65</f>
        <v>-11247025.41652938</v>
      </c>
      <c r="K66" s="270">
        <f t="shared" si="0"/>
        <v>-8074614.2776363306</v>
      </c>
    </row>
    <row r="67" spans="1:18" ht="15.75" x14ac:dyDescent="0.25">
      <c r="A67" s="1350" t="s">
        <v>2797</v>
      </c>
      <c r="B67" s="1350"/>
      <c r="C67" s="1350"/>
      <c r="D67" s="1350"/>
      <c r="E67" s="1350"/>
      <c r="F67" s="1350"/>
      <c r="G67" s="1350"/>
      <c r="H67" s="1350"/>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47" t="s">
        <v>5211</v>
      </c>
      <c r="B69" s="1347"/>
      <c r="C69" s="1347"/>
      <c r="D69" s="1347"/>
      <c r="E69" s="291">
        <v>3118282</v>
      </c>
      <c r="M69"/>
      <c r="N69" s="1">
        <v>4629646</v>
      </c>
      <c r="O69" s="1">
        <v>7330193</v>
      </c>
      <c r="P69" s="1">
        <v>1850440</v>
      </c>
      <c r="R69" s="1"/>
    </row>
    <row r="70" spans="1:18" x14ac:dyDescent="0.25">
      <c r="A70" s="1347" t="s">
        <v>5209</v>
      </c>
      <c r="B70" s="1347"/>
      <c r="C70" s="1347"/>
      <c r="D70" s="1347"/>
      <c r="E70" s="15">
        <v>1000000</v>
      </c>
      <c r="M70"/>
      <c r="N70" s="3"/>
      <c r="R70" s="1"/>
    </row>
    <row r="71" spans="1:18" ht="26.25" x14ac:dyDescent="0.25">
      <c r="A71" s="1347" t="s">
        <v>5210</v>
      </c>
      <c r="B71" s="1347"/>
      <c r="C71" s="1347"/>
      <c r="D71" s="1347"/>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64" t="s">
        <v>4751</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2" t="s">
        <v>1779</v>
      </c>
      <c r="D1" s="1132"/>
      <c r="E1" s="1132"/>
    </row>
    <row r="2" spans="1:8" x14ac:dyDescent="0.25">
      <c r="C2" s="1132"/>
      <c r="D2" s="1132"/>
      <c r="E2" s="1132"/>
    </row>
    <row r="3" spans="1:8" x14ac:dyDescent="0.25">
      <c r="C3" s="1346" t="s">
        <v>4752</v>
      </c>
      <c r="D3" s="1346"/>
      <c r="E3" s="1346"/>
    </row>
    <row r="4" spans="1:8" x14ac:dyDescent="0.25">
      <c r="C4" s="1346"/>
      <c r="D4" s="1346"/>
      <c r="E4" s="1346"/>
    </row>
    <row r="6" spans="1:8" ht="14.45" customHeight="1" x14ac:dyDescent="0.25">
      <c r="A6" s="1379" t="s">
        <v>1907</v>
      </c>
      <c r="B6" s="1380"/>
      <c r="C6" s="1380"/>
      <c r="D6" s="1381"/>
      <c r="E6" s="1388" t="s">
        <v>4790</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324" t="s">
        <v>4629</v>
      </c>
      <c r="B9" s="1325"/>
      <c r="C9" s="1325"/>
      <c r="D9" s="1326"/>
      <c r="E9" s="1327" t="s">
        <v>4629</v>
      </c>
      <c r="F9" s="1328"/>
      <c r="G9" s="1328"/>
      <c r="H9" s="1329"/>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30" t="s">
        <v>4635</v>
      </c>
      <c r="F30" s="1330"/>
      <c r="G30" s="1331"/>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78" t="s">
        <v>4787</v>
      </c>
      <c r="F37" s="1328"/>
      <c r="G37" s="1328"/>
      <c r="H37" s="1329"/>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296" t="s">
        <v>4635</v>
      </c>
      <c r="B54" s="1296"/>
      <c r="C54" s="1296"/>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68" t="s">
        <v>4639</v>
      </c>
      <c r="B58" s="1369"/>
      <c r="C58" s="1369"/>
      <c r="D58" s="1369"/>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296" t="s">
        <v>4635</v>
      </c>
      <c r="F65" s="1296"/>
      <c r="G65" s="1296"/>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74" t="s">
        <v>4784</v>
      </c>
      <c r="F73" s="1374"/>
      <c r="G73" s="1374"/>
      <c r="H73" s="1374"/>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75" t="s">
        <v>4635</v>
      </c>
      <c r="F87" s="1376"/>
      <c r="G87" s="1377"/>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70" t="s">
        <v>4635</v>
      </c>
      <c r="B102" s="1311"/>
      <c r="C102" s="1312"/>
      <c r="D102" s="322">
        <f>SUM(D60:D101)</f>
        <v>8325000</v>
      </c>
    </row>
    <row r="104" spans="1:4" ht="15.75" thickBot="1" x14ac:dyDescent="0.3">
      <c r="D104" s="52"/>
    </row>
    <row r="105" spans="1:4" ht="21.75" thickBot="1" x14ac:dyDescent="0.3">
      <c r="A105" s="1371" t="s">
        <v>4636</v>
      </c>
      <c r="B105" s="1372"/>
      <c r="C105" s="1372"/>
      <c r="D105" s="1373"/>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10" t="s">
        <v>4635</v>
      </c>
      <c r="B124" s="1311"/>
      <c r="C124" s="1312"/>
      <c r="D124" s="329">
        <f>SUM(D107:D123)</f>
        <v>3665720</v>
      </c>
    </row>
    <row r="125" spans="1:4" ht="19.5" thickBot="1" x14ac:dyDescent="0.35">
      <c r="A125" s="1365" t="s">
        <v>4656</v>
      </c>
      <c r="B125" s="1366"/>
      <c r="C125" s="1367"/>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2023-12-23T11:31:51Z</dcterms:modified>
</cp:coreProperties>
</file>